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a.urke\Desktop\Audit 2023\"/>
    </mc:Choice>
  </mc:AlternateContent>
  <bookViews>
    <workbookView xWindow="0" yWindow="0" windowWidth="28800" windowHeight="12300"/>
  </bookViews>
  <sheets>
    <sheet name="aruanne" sheetId="1" r:id="rId1"/>
    <sheet name="vordlus" sheetId="2" r:id="rId2"/>
    <sheet name="lisa1" sheetId="4" r:id="rId3"/>
  </sheets>
  <externalReferences>
    <externalReference r:id="rId4"/>
  </externalReferences>
  <definedNames>
    <definedName name="_xlnm._FilterDatabase" localSheetId="1" hidden="1">vordlus!$A$4:$J$17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4" l="1"/>
  <c r="C41" i="1"/>
  <c r="C54" i="1"/>
  <c r="C53" i="1"/>
  <c r="C50" i="1"/>
  <c r="E53" i="1"/>
  <c r="D53" i="1"/>
  <c r="C16" i="2" l="1"/>
  <c r="C15" i="2"/>
  <c r="D49" i="1" l="1"/>
  <c r="E49" i="1"/>
  <c r="C49" i="1"/>
  <c r="D16" i="1"/>
  <c r="C16" i="1"/>
  <c r="D17" i="1"/>
  <c r="C17" i="1"/>
  <c r="D42" i="1"/>
  <c r="E42" i="1"/>
  <c r="F42" i="1"/>
  <c r="D14" i="2" l="1"/>
  <c r="D14" i="1" l="1"/>
  <c r="C42" i="1" l="1"/>
  <c r="D15" i="2"/>
  <c r="C14" i="2" l="1"/>
  <c r="C12" i="2" s="1"/>
  <c r="E36" i="1" l="1"/>
  <c r="E16" i="1" s="1"/>
  <c r="E37" i="1"/>
  <c r="E39" i="1"/>
  <c r="E17" i="1" l="1"/>
  <c r="E14" i="1"/>
  <c r="E12" i="1" l="1"/>
  <c r="D12" i="2" s="1"/>
  <c r="C11" i="2"/>
  <c r="C9" i="2"/>
  <c r="E10" i="1"/>
  <c r="E7" i="1"/>
  <c r="E47" i="1"/>
  <c r="D55" i="1"/>
  <c r="G55" i="1" s="1"/>
  <c r="D41" i="1" l="1"/>
  <c r="E45" i="1"/>
  <c r="E43" i="1"/>
  <c r="E41" i="1" s="1"/>
  <c r="E8" i="1" l="1"/>
  <c r="E5" i="1" s="1"/>
  <c r="D40" i="1"/>
  <c r="D12" i="1" s="1"/>
  <c r="C3" i="2" l="1"/>
  <c r="C19" i="4" l="1"/>
  <c r="G50" i="1" l="1"/>
  <c r="G49" i="1"/>
  <c r="G46" i="1"/>
  <c r="F34" i="1"/>
  <c r="G45" i="1" l="1"/>
  <c r="F35" i="1"/>
  <c r="E15" i="1"/>
  <c r="E13" i="1" s="1"/>
  <c r="C15" i="1"/>
  <c r="C13" i="1" s="1"/>
  <c r="C14" i="1"/>
  <c r="C12" i="1" s="1"/>
  <c r="F17" i="1" l="1"/>
  <c r="F15" i="1" s="1"/>
  <c r="F13" i="1" s="1"/>
  <c r="D15" i="1"/>
  <c r="D13" i="1" s="1"/>
  <c r="F56" i="1"/>
  <c r="F55" i="1"/>
  <c r="F41" i="1" s="1"/>
  <c r="F40" i="1"/>
  <c r="F32" i="1"/>
  <c r="F18" i="1"/>
  <c r="F8" i="1"/>
  <c r="F7" i="1"/>
  <c r="H6" i="2" s="1"/>
  <c r="F16" i="1" l="1"/>
  <c r="F14" i="1"/>
  <c r="F12" i="1" s="1"/>
  <c r="G48" i="1"/>
  <c r="G47" i="1"/>
  <c r="G16" i="2"/>
  <c r="G15" i="2"/>
  <c r="G12" i="2"/>
  <c r="G11" i="2"/>
  <c r="D6" i="2" l="1"/>
  <c r="G54" i="1" l="1"/>
  <c r="G53" i="1"/>
  <c r="G52" i="1"/>
  <c r="G51" i="1"/>
  <c r="G44" i="1"/>
  <c r="G42" i="1" s="1"/>
  <c r="G43" i="1"/>
  <c r="G40" i="1"/>
  <c r="G39" i="1"/>
  <c r="G38" i="1"/>
  <c r="G37" i="1"/>
  <c r="G36" i="1"/>
  <c r="G35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D11" i="1"/>
  <c r="D10" i="1"/>
  <c r="D9" i="1"/>
  <c r="G9" i="1" s="1"/>
  <c r="D8" i="1"/>
  <c r="D7" i="1"/>
  <c r="D6" i="1"/>
  <c r="D17" i="2"/>
  <c r="D13" i="2"/>
  <c r="D11" i="2"/>
  <c r="D9" i="2"/>
  <c r="E9" i="2" s="1"/>
  <c r="D8" i="2"/>
  <c r="E8" i="2" s="1"/>
  <c r="D7" i="2"/>
  <c r="E7" i="2" s="1"/>
  <c r="E6" i="2"/>
  <c r="D5" i="2"/>
  <c r="E5" i="2" s="1"/>
  <c r="H15" i="2"/>
  <c r="H14" i="2"/>
  <c r="H17" i="2"/>
  <c r="I16" i="2"/>
  <c r="E16" i="2"/>
  <c r="H9" i="2"/>
  <c r="I9" i="2" s="1"/>
  <c r="H8" i="2"/>
  <c r="I8" i="2" s="1"/>
  <c r="H7" i="2"/>
  <c r="I7" i="2" s="1"/>
  <c r="H5" i="2"/>
  <c r="I10" i="2"/>
  <c r="G41" i="1" l="1"/>
  <c r="E14" i="2"/>
  <c r="G7" i="1"/>
  <c r="G6" i="1"/>
  <c r="G8" i="1"/>
  <c r="G10" i="1"/>
  <c r="G11" i="1"/>
  <c r="D5" i="1"/>
  <c r="C5" i="1"/>
  <c r="H11" i="2" l="1"/>
  <c r="I6" i="2"/>
  <c r="G5" i="1"/>
  <c r="F5" i="1"/>
  <c r="C22" i="4" l="1"/>
  <c r="C24" i="4" s="1"/>
  <c r="H12" i="2" l="1"/>
  <c r="E17" i="2" l="1"/>
  <c r="E10" i="2"/>
  <c r="E11" i="2"/>
  <c r="B7" i="4" l="1"/>
  <c r="B22" i="4" s="1"/>
  <c r="H13" i="2" l="1"/>
  <c r="I13" i="2" s="1"/>
  <c r="E13" i="2"/>
  <c r="I17" i="2"/>
  <c r="E56" i="1"/>
  <c r="G33" i="1"/>
  <c r="G17" i="1" s="1"/>
  <c r="G32" i="1"/>
  <c r="G15" i="1" l="1"/>
  <c r="G13" i="1" s="1"/>
  <c r="I11" i="2"/>
  <c r="I14" i="2"/>
  <c r="B23" i="4"/>
  <c r="B24" i="4" s="1"/>
  <c r="I5" i="2" l="1"/>
  <c r="E15" i="2"/>
  <c r="I15" i="2"/>
  <c r="G3" i="2"/>
  <c r="H3" i="2" l="1"/>
  <c r="I12" i="2"/>
  <c r="I3" i="2" l="1"/>
  <c r="G34" i="1" l="1"/>
  <c r="G16" i="1" s="1"/>
  <c r="G14" i="1" l="1"/>
  <c r="E12" i="2"/>
  <c r="E3" i="2" s="1"/>
  <c r="D3" i="2"/>
  <c r="G12" i="1" l="1"/>
</calcChain>
</file>

<file path=xl/sharedStrings.xml><?xml version="1.0" encoding="utf-8"?>
<sst xmlns="http://schemas.openxmlformats.org/spreadsheetml/2006/main" count="152" uniqueCount="110">
  <si>
    <t>eurodes</t>
  </si>
  <si>
    <t>Algne eelarve</t>
  </si>
  <si>
    <t>Lõplik eelarve</t>
  </si>
  <si>
    <t>Täitmine miinus lõplik eelarve</t>
  </si>
  <si>
    <t>Saadud toetused</t>
  </si>
  <si>
    <t>Tulu majandustegevusest</t>
  </si>
  <si>
    <t>Intressi- ja omanikutulud</t>
  </si>
  <si>
    <t>sh piirmääraga vahendid</t>
  </si>
  <si>
    <t>Mitterahaliselt antud toetused</t>
  </si>
  <si>
    <t xml:space="preserve">TULUD </t>
  </si>
  <si>
    <t>KULUD</t>
  </si>
  <si>
    <t xml:space="preserve">INVESTEERINGUD </t>
  </si>
  <si>
    <t>KORRIGEERIMISED</t>
  </si>
  <si>
    <t>Intressikulu pensionieraldistelt</t>
  </si>
  <si>
    <t>Avaliku sektori eripensionid ja pensionisuurendused</t>
  </si>
  <si>
    <t>Investeeringud</t>
  </si>
  <si>
    <t>Teistelt valitsemisaladelt saadud välistoetuste kaasfinantseerimine</t>
  </si>
  <si>
    <t>Tulemusvaldkond: JULGEOLEK JA RIIGIKAITSE</t>
  </si>
  <si>
    <t>Mitterahaliselt saadud välistoetused</t>
  </si>
  <si>
    <t>Mitterahaliselt saadud kodumaised toetused</t>
  </si>
  <si>
    <t>Mitterahaliste toetuste arvel tehtud kulud</t>
  </si>
  <si>
    <t xml:space="preserve">Lisa </t>
  </si>
  <si>
    <t>Eelarve täitmise ja raamatupidamisaruannete võrdlus</t>
  </si>
  <si>
    <t>Kirje</t>
  </si>
  <si>
    <t>Selgitus</t>
  </si>
  <si>
    <t>Finantstulud</t>
  </si>
  <si>
    <t>Finantskulud</t>
  </si>
  <si>
    <t>3sisesed</t>
  </si>
  <si>
    <t>KAM</t>
  </si>
  <si>
    <t>Lõpliku eelarve kujunemine</t>
  </si>
  <si>
    <t>Tulud</t>
  </si>
  <si>
    <t>Esialgne eelarve</t>
  </si>
  <si>
    <t>Üle toodud eelmisest aastast</t>
  </si>
  <si>
    <t>Sihtotstarbeliste vahendite reservist</t>
  </si>
  <si>
    <t>Eelarves kavandatud toetused</t>
  </si>
  <si>
    <t>Tegelikult saadud toetused ja avatud sildfinantseerimine</t>
  </si>
  <si>
    <t>Eelarves kavandatud saastekvootide müügist</t>
  </si>
  <si>
    <t>Saastekvootide müügist saadud eelarve ümberjaotamine</t>
  </si>
  <si>
    <t>Eelarves kavandatud majandustegevusest laekuv tulu</t>
  </si>
  <si>
    <t>Tegelikult majandustegevusest saadud tulu</t>
  </si>
  <si>
    <t>Eelarves kavandatud muud tuludest sõltuvad kulud</t>
  </si>
  <si>
    <t xml:space="preserve">Saadud Vabariigi Valitsuse reservfondist </t>
  </si>
  <si>
    <t>Kokku lõplik eelarve</t>
  </si>
  <si>
    <t>Käibemaks</t>
  </si>
  <si>
    <t>Käibemaksukulu tegevuskuludelt</t>
  </si>
  <si>
    <t>Muud tulud</t>
  </si>
  <si>
    <t>Tegelik välistoetuste kaasrahastamine</t>
  </si>
  <si>
    <t>Täitmine 2022</t>
  </si>
  <si>
    <t>Raamatupidamisandmed 2022</t>
  </si>
  <si>
    <t>RE aruanne 2022</t>
  </si>
  <si>
    <t>Vahe 2022</t>
  </si>
  <si>
    <t>Käibemaksukulu investeeringutelt</t>
  </si>
  <si>
    <t>Tegevuskulud, v.a käibemaksukulu</t>
  </si>
  <si>
    <t>Tulu põhivarade ja varude müügist</t>
  </si>
  <si>
    <t>Kulud, investeeringud</t>
  </si>
  <si>
    <t>Trahvid ja varalised karistused</t>
  </si>
  <si>
    <t xml:space="preserve">KAITSEMINISTEERIUMI valitsemisala </t>
  </si>
  <si>
    <t>Väeloome: maavägi</t>
  </si>
  <si>
    <t>Väeloome: merevägi</t>
  </si>
  <si>
    <t>Väeloome: õhuvägi</t>
  </si>
  <si>
    <t>Väeloome: muud üksused</t>
  </si>
  <si>
    <t>Kaitsevalmidus</t>
  </si>
  <si>
    <t>Liitlaste kohalolek Eestis</t>
  </si>
  <si>
    <t>Riigikaitseline inimvara</t>
  </si>
  <si>
    <t>Riigikaitseline investeeringute korraldus</t>
  </si>
  <si>
    <t>Hoonete ja rajatiste soetus ning renoveerimine</t>
  </si>
  <si>
    <t>Kaitseotstarbeline erivarustus</t>
  </si>
  <si>
    <t>Kaitseinvesteeringute programm</t>
  </si>
  <si>
    <t>Muud investeeringud</t>
  </si>
  <si>
    <t>JO01100100</t>
  </si>
  <si>
    <t>JO01100200</t>
  </si>
  <si>
    <t>JO01100300</t>
  </si>
  <si>
    <t>JO01100400</t>
  </si>
  <si>
    <t>JO01100500</t>
  </si>
  <si>
    <t>JO02010100</t>
  </si>
  <si>
    <t>JO02020500</t>
  </si>
  <si>
    <t>JO03010100</t>
  </si>
  <si>
    <t>JO04010400</t>
  </si>
  <si>
    <t>JO04011400</t>
  </si>
  <si>
    <t>JO04011500</t>
  </si>
  <si>
    <t>2023. aasta riigieelarve täitmise arunne</t>
  </si>
  <si>
    <t>Täitmine 2023</t>
  </si>
  <si>
    <t>JO05010800</t>
  </si>
  <si>
    <t>JO05010900</t>
  </si>
  <si>
    <t>JO05011000</t>
  </si>
  <si>
    <t>JO05010100</t>
  </si>
  <si>
    <t>JO05010200</t>
  </si>
  <si>
    <t>JO05011100</t>
  </si>
  <si>
    <t>Liitlaste kaasamine ja rahvusvaheline koostöö</t>
  </si>
  <si>
    <t>JO05010400</t>
  </si>
  <si>
    <t>Luure ja eelhoiatus</t>
  </si>
  <si>
    <t>JO05010500</t>
  </si>
  <si>
    <t>Kaitsetahe</t>
  </si>
  <si>
    <t>JO05010300</t>
  </si>
  <si>
    <t>JO05010700</t>
  </si>
  <si>
    <t>JO05010600</t>
  </si>
  <si>
    <t>Sõjalise riigikaitse ja heidutuse programm</t>
  </si>
  <si>
    <t>Liitlaste taristu</t>
  </si>
  <si>
    <t>Radarid taastuvenergia statistikaakubanduse ülekantud vahenditest</t>
  </si>
  <si>
    <t>Masinad ja seadmed CO2 tuludest</t>
  </si>
  <si>
    <t>Muudatused riigieelarve seaduse muutmise seaduse alusel alates 01.07.2023</t>
  </si>
  <si>
    <t>Muudatused riigieelarve seaduse muutmise seaduse alusel detsembris 2023</t>
  </si>
  <si>
    <t>Taastuvenergia statistiliste ühikute eelarve ümberjaotamine</t>
  </si>
  <si>
    <t>Raamatupidamisandmed 2023</t>
  </si>
  <si>
    <t>RE aruanne 2023</t>
  </si>
  <si>
    <t>Vahe 2023</t>
  </si>
  <si>
    <t>15 ettemaksed</t>
  </si>
  <si>
    <t>kontroll</t>
  </si>
  <si>
    <t>ettemaksete vähenemine 38 459 928,40</t>
  </si>
  <si>
    <t>ettemaksete suurenemine 137 388 479,85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</si>
</sst>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#,##0_ ;\-#,##0\ 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rgb="FF0000FF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9"/>
      <color rgb="FF333333"/>
      <name val="Arial"/>
      <family val="2"/>
      <charset val="186"/>
    </font>
    <font>
      <sz val="8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3" fontId="4" fillId="0" borderId="0" xfId="0" applyNumberFormat="1" applyFont="1"/>
    <xf numFmtId="3" fontId="0" fillId="0" borderId="0" xfId="0" applyNumberFormat="1"/>
    <xf numFmtId="3" fontId="3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right"/>
    </xf>
    <xf numFmtId="3" fontId="7" fillId="0" borderId="1" xfId="2" applyNumberFormat="1" applyFont="1" applyBorder="1" applyAlignment="1" applyProtection="1">
      <alignment horizontal="right"/>
      <protection locked="0"/>
    </xf>
    <xf numFmtId="3" fontId="7" fillId="0" borderId="1" xfId="1" applyNumberFormat="1" applyFont="1" applyBorder="1" applyAlignment="1" applyProtection="1">
      <alignment horizontal="right"/>
      <protection locked="0"/>
    </xf>
    <xf numFmtId="3" fontId="7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10" fillId="0" borderId="0" xfId="0" applyFont="1"/>
    <xf numFmtId="3" fontId="9" fillId="0" borderId="0" xfId="0" applyNumberFormat="1" applyFont="1"/>
    <xf numFmtId="4" fontId="9" fillId="0" borderId="0" xfId="0" applyNumberFormat="1" applyFont="1"/>
    <xf numFmtId="4" fontId="9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2" fillId="0" borderId="0" xfId="0" applyNumberFormat="1" applyFont="1" applyAlignment="1">
      <alignment wrapText="1"/>
    </xf>
    <xf numFmtId="4" fontId="0" fillId="0" borderId="0" xfId="0" applyNumberFormat="1"/>
    <xf numFmtId="0" fontId="10" fillId="2" borderId="1" xfId="0" applyFont="1" applyFill="1" applyBorder="1" applyAlignment="1">
      <alignment vertical="top"/>
    </xf>
    <xf numFmtId="4" fontId="10" fillId="2" borderId="1" xfId="0" applyNumberFormat="1" applyFont="1" applyFill="1" applyBorder="1" applyAlignment="1">
      <alignment vertical="top" wrapText="1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0" fontId="12" fillId="0" borderId="0" xfId="0" applyFont="1"/>
    <xf numFmtId="0" fontId="10" fillId="3" borderId="1" xfId="0" applyFont="1" applyFill="1" applyBorder="1" applyAlignment="1">
      <alignment vertical="top"/>
    </xf>
    <xf numFmtId="3" fontId="12" fillId="3" borderId="1" xfId="0" applyNumberFormat="1" applyFont="1" applyFill="1" applyBorder="1" applyAlignment="1">
      <alignment horizontal="center" vertical="top" wrapText="1"/>
    </xf>
    <xf numFmtId="4" fontId="9" fillId="0" borderId="0" xfId="0" quotePrefix="1" applyNumberFormat="1" applyFont="1"/>
    <xf numFmtId="0" fontId="10" fillId="0" borderId="1" xfId="0" applyFont="1" applyBorder="1" applyAlignment="1">
      <alignment vertical="top"/>
    </xf>
    <xf numFmtId="3" fontId="10" fillId="0" borderId="1" xfId="0" applyNumberFormat="1" applyFont="1" applyBorder="1" applyAlignment="1">
      <alignment vertical="top"/>
    </xf>
    <xf numFmtId="3" fontId="12" fillId="0" borderId="0" xfId="0" applyNumberFormat="1" applyFont="1"/>
    <xf numFmtId="3" fontId="12" fillId="0" borderId="2" xfId="0" applyNumberFormat="1" applyFont="1" applyBorder="1" applyAlignment="1">
      <alignment vertical="top"/>
    </xf>
    <xf numFmtId="0" fontId="11" fillId="0" borderId="0" xfId="0" applyFont="1"/>
    <xf numFmtId="4" fontId="0" fillId="0" borderId="0" xfId="0" applyNumberFormat="1" applyAlignment="1">
      <alignment horizontal="right"/>
    </xf>
    <xf numFmtId="3" fontId="6" fillId="0" borderId="1" xfId="2" applyNumberFormat="1" applyFont="1" applyBorder="1" applyAlignment="1" applyProtection="1">
      <alignment horizontal="right"/>
      <protection locked="0"/>
    </xf>
    <xf numFmtId="3" fontId="5" fillId="0" borderId="1" xfId="2" applyNumberFormat="1" applyFont="1" applyBorder="1" applyAlignment="1" applyProtection="1">
      <alignment horizontal="right"/>
      <protection locked="0"/>
    </xf>
    <xf numFmtId="43" fontId="0" fillId="0" borderId="0" xfId="6" applyFont="1"/>
    <xf numFmtId="4" fontId="9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 wrapText="1"/>
    </xf>
    <xf numFmtId="3" fontId="9" fillId="0" borderId="0" xfId="0" applyNumberFormat="1" applyFont="1" applyFill="1"/>
    <xf numFmtId="4" fontId="9" fillId="0" borderId="0" xfId="0" applyNumberFormat="1" applyFont="1" applyFill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43" fontId="1" fillId="0" borderId="0" xfId="6" applyFont="1"/>
    <xf numFmtId="0" fontId="0" fillId="0" borderId="0" xfId="0" applyFont="1"/>
    <xf numFmtId="43" fontId="11" fillId="0" borderId="0" xfId="6" applyFont="1"/>
    <xf numFmtId="0" fontId="3" fillId="0" borderId="0" xfId="0" applyFont="1" applyAlignment="1"/>
    <xf numFmtId="0" fontId="0" fillId="0" borderId="0" xfId="0" applyAlignment="1"/>
    <xf numFmtId="3" fontId="4" fillId="0" borderId="0" xfId="0" applyNumberFormat="1" applyFont="1" applyAlignment="1"/>
    <xf numFmtId="3" fontId="0" fillId="0" borderId="0" xfId="0" applyNumberFormat="1" applyAlignment="1"/>
    <xf numFmtId="3" fontId="5" fillId="0" borderId="0" xfId="0" applyNumberFormat="1" applyFont="1" applyAlignment="1"/>
    <xf numFmtId="0" fontId="0" fillId="0" borderId="1" xfId="0" applyBorder="1" applyAlignment="1"/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3" fontId="3" fillId="0" borderId="1" xfId="0" applyNumberFormat="1" applyFont="1" applyBorder="1" applyAlignment="1"/>
    <xf numFmtId="0" fontId="3" fillId="0" borderId="1" xfId="2" applyFont="1" applyBorder="1" applyAlignment="1" applyProtection="1">
      <alignment horizontal="left"/>
      <protection locked="0"/>
    </xf>
    <xf numFmtId="0" fontId="5" fillId="0" borderId="1" xfId="2" applyFont="1" applyBorder="1" applyAlignment="1" applyProtection="1">
      <alignment horizontal="left"/>
      <protection locked="0"/>
    </xf>
    <xf numFmtId="0" fontId="7" fillId="0" borderId="1" xfId="2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left"/>
      <protection locked="0"/>
    </xf>
    <xf numFmtId="0" fontId="5" fillId="0" borderId="1" xfId="1" applyFont="1" applyBorder="1" applyAlignment="1" applyProtection="1">
      <alignment horizontal="left"/>
      <protection locked="0"/>
    </xf>
    <xf numFmtId="0" fontId="5" fillId="0" borderId="1" xfId="0" applyFont="1" applyBorder="1" applyAlignment="1"/>
    <xf numFmtId="0" fontId="3" fillId="0" borderId="1" xfId="0" applyFont="1" applyBorder="1" applyAlignment="1"/>
    <xf numFmtId="0" fontId="3" fillId="4" borderId="1" xfId="2" applyFont="1" applyFill="1" applyBorder="1" applyAlignment="1" applyProtection="1">
      <alignment horizontal="left"/>
      <protection locked="0"/>
    </xf>
    <xf numFmtId="3" fontId="7" fillId="0" borderId="1" xfId="2" applyNumberFormat="1" applyFont="1" applyFill="1" applyBorder="1" applyAlignment="1" applyProtection="1">
      <alignment horizontal="right"/>
      <protection locked="0"/>
    </xf>
    <xf numFmtId="3" fontId="7" fillId="0" borderId="0" xfId="2" applyNumberFormat="1" applyFont="1" applyFill="1" applyBorder="1" applyAlignment="1" applyProtection="1">
      <alignment horizontal="right"/>
      <protection locked="0"/>
    </xf>
    <xf numFmtId="3" fontId="1" fillId="0" borderId="0" xfId="6" applyNumberFormat="1" applyFont="1"/>
    <xf numFmtId="3" fontId="0" fillId="0" borderId="0" xfId="0" applyNumberFormat="1" applyFont="1"/>
    <xf numFmtId="43" fontId="0" fillId="0" borderId="0" xfId="6" applyFont="1" applyAlignment="1">
      <alignment horizontal="center"/>
    </xf>
    <xf numFmtId="43" fontId="1" fillId="0" borderId="0" xfId="6" applyFont="1" applyAlignment="1">
      <alignment horizontal="center"/>
    </xf>
    <xf numFmtId="3" fontId="3" fillId="0" borderId="0" xfId="0" applyNumberFormat="1" applyFont="1" applyFill="1" applyBorder="1" applyAlignment="1">
      <alignment horizontal="center" wrapText="1"/>
    </xf>
    <xf numFmtId="3" fontId="7" fillId="5" borderId="1" xfId="2" applyNumberFormat="1" applyFont="1" applyFill="1" applyBorder="1" applyAlignment="1" applyProtection="1">
      <alignment horizontal="right"/>
      <protection locked="0"/>
    </xf>
    <xf numFmtId="3" fontId="6" fillId="5" borderId="1" xfId="0" applyNumberFormat="1" applyFont="1" applyFill="1" applyBorder="1" applyAlignment="1">
      <alignment horizontal="right"/>
    </xf>
    <xf numFmtId="4" fontId="0" fillId="0" borderId="0" xfId="0" applyNumberFormat="1" applyBorder="1"/>
    <xf numFmtId="0" fontId="12" fillId="5" borderId="1" xfId="0" applyFont="1" applyFill="1" applyBorder="1" applyAlignment="1">
      <alignment vertical="top"/>
    </xf>
    <xf numFmtId="0" fontId="12" fillId="5" borderId="1" xfId="0" applyFont="1" applyFill="1" applyBorder="1"/>
    <xf numFmtId="164" fontId="0" fillId="0" borderId="0" xfId="6" applyNumberFormat="1" applyFont="1" applyAlignment="1">
      <alignment horizontal="left"/>
    </xf>
    <xf numFmtId="49" fontId="13" fillId="6" borderId="3" xfId="0" applyNumberFormat="1" applyFont="1" applyFill="1" applyBorder="1" applyAlignment="1">
      <alignment horizontal="left"/>
    </xf>
    <xf numFmtId="3" fontId="7" fillId="5" borderId="1" xfId="0" applyNumberFormat="1" applyFont="1" applyFill="1" applyBorder="1" applyAlignment="1">
      <alignment horizontal="right"/>
    </xf>
    <xf numFmtId="3" fontId="11" fillId="0" borderId="0" xfId="0" applyNumberFormat="1" applyFont="1"/>
    <xf numFmtId="165" fontId="0" fillId="0" borderId="0" xfId="6" applyNumberFormat="1" applyFont="1"/>
    <xf numFmtId="43" fontId="0" fillId="0" borderId="0" xfId="6" applyFont="1" applyAlignment="1">
      <alignment horizontal="right"/>
    </xf>
    <xf numFmtId="3" fontId="12" fillId="0" borderId="0" xfId="0" applyNumberFormat="1" applyFont="1" applyAlignment="1">
      <alignment horizontal="right"/>
    </xf>
    <xf numFmtId="49" fontId="1" fillId="0" borderId="0" xfId="6" applyNumberFormat="1" applyFont="1" applyAlignment="1">
      <alignment horizontal="right"/>
    </xf>
    <xf numFmtId="0" fontId="0" fillId="0" borderId="0" xfId="0" applyFont="1" applyAlignment="1">
      <alignment horizontal="right"/>
    </xf>
    <xf numFmtId="3" fontId="0" fillId="0" borderId="0" xfId="0" applyNumberFormat="1" applyAlignment="1">
      <alignment horizontal="left"/>
    </xf>
    <xf numFmtId="3" fontId="3" fillId="5" borderId="1" xfId="0" applyNumberFormat="1" applyFont="1" applyFill="1" applyBorder="1" applyAlignment="1">
      <alignment horizontal="center" wrapText="1"/>
    </xf>
    <xf numFmtId="3" fontId="6" fillId="5" borderId="1" xfId="2" applyNumberFormat="1" applyFont="1" applyFill="1" applyBorder="1" applyAlignment="1" applyProtection="1">
      <alignment horizontal="right"/>
      <protection locked="0"/>
    </xf>
    <xf numFmtId="3" fontId="8" fillId="5" borderId="1" xfId="2" applyNumberFormat="1" applyFont="1" applyFill="1" applyBorder="1" applyAlignment="1" applyProtection="1">
      <alignment horizontal="right"/>
      <protection locked="0"/>
    </xf>
    <xf numFmtId="3" fontId="5" fillId="5" borderId="1" xfId="2" applyNumberFormat="1" applyFont="1" applyFill="1" applyBorder="1" applyAlignment="1" applyProtection="1">
      <alignment horizontal="right"/>
      <protection locked="0"/>
    </xf>
    <xf numFmtId="3" fontId="0" fillId="5" borderId="0" xfId="0" applyNumberFormat="1" applyFill="1"/>
    <xf numFmtId="3" fontId="0" fillId="5" borderId="1" xfId="0" applyNumberFormat="1" applyFill="1" applyBorder="1"/>
    <xf numFmtId="3" fontId="4" fillId="5" borderId="0" xfId="0" applyNumberFormat="1" applyFont="1" applyFill="1" applyAlignment="1"/>
    <xf numFmtId="3" fontId="6" fillId="5" borderId="4" xfId="0" applyNumberFormat="1" applyFont="1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10" fillId="2" borderId="4" xfId="0" applyNumberFormat="1" applyFont="1" applyFill="1" applyBorder="1" applyAlignment="1">
      <alignment horizontal="right" vertical="top" wrapText="1"/>
    </xf>
    <xf numFmtId="4" fontId="10" fillId="2" borderId="4" xfId="0" applyNumberFormat="1" applyFont="1" applyFill="1" applyBorder="1" applyAlignment="1">
      <alignment vertical="top"/>
    </xf>
    <xf numFmtId="3" fontId="12" fillId="5" borderId="1" xfId="0" applyNumberFormat="1" applyFont="1" applyFill="1" applyBorder="1" applyAlignment="1">
      <alignment vertical="top"/>
    </xf>
  </cellXfs>
  <cellStyles count="8">
    <cellStyle name="Comma" xfId="6" builtinId="3"/>
    <cellStyle name="Comma 2" xfId="7"/>
    <cellStyle name="Normaallaad 2" xfId="5"/>
    <cellStyle name="Normal" xfId="0" builtinId="0"/>
    <cellStyle name="Normal 10 2" xfId="1"/>
    <cellStyle name="Normal 25 3 6" xfId="4"/>
    <cellStyle name="Normal 25 9" xfId="2"/>
    <cellStyle name="Normal 25 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5%20FA%20ja%20Aruandlus\5-15%20FA%20aruanded\KAM\_MAJAASTA_L&#213;PETAMISED\2023%20aasta%20l&#245;petamine\KAM%20ASUTUSED\RETA\Riigieelarve_t&#228;itmise_aruann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uanne"/>
      <sheetName val="vordlus"/>
      <sheetName val="lisa1"/>
      <sheetName val="yleviimised"/>
      <sheetName val="SR"/>
      <sheetName val="VR"/>
      <sheetName val="OR"/>
      <sheetName val="finteh"/>
      <sheetName val="bilansid"/>
      <sheetName val="tulud"/>
      <sheetName val="aavordlus"/>
      <sheetName val="valalavordlus"/>
    </sheetNames>
    <sheetDataSet>
      <sheetData sheetId="0">
        <row r="399">
          <cell r="E399">
            <v>-282718096.75999999</v>
          </cell>
        </row>
        <row r="413">
          <cell r="E413">
            <v>-33245389.329999998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zoomScale="90" zoomScaleNormal="90" workbookViewId="0">
      <selection activeCell="I9" sqref="I9"/>
    </sheetView>
  </sheetViews>
  <sheetFormatPr defaultRowHeight="15" x14ac:dyDescent="0.25"/>
  <cols>
    <col min="1" max="1" width="7.42578125" style="42" customWidth="1"/>
    <col min="2" max="2" width="53.42578125" style="42" customWidth="1"/>
    <col min="3" max="7" width="22" style="44" customWidth="1"/>
    <col min="8" max="8" width="20.7109375" style="32" customWidth="1"/>
    <col min="9" max="9" width="14.85546875" style="32" customWidth="1"/>
    <col min="10" max="10" width="8.7109375" customWidth="1"/>
    <col min="11" max="11" width="20" customWidth="1"/>
    <col min="12" max="12" width="13" customWidth="1"/>
    <col min="13" max="13" width="14.7109375" customWidth="1"/>
  </cols>
  <sheetData>
    <row r="1" spans="1:13" ht="15.75" x14ac:dyDescent="0.25">
      <c r="A1" s="41" t="s">
        <v>80</v>
      </c>
      <c r="C1" s="87"/>
      <c r="G1" s="45"/>
    </row>
    <row r="2" spans="1:13" ht="15.75" x14ac:dyDescent="0.25">
      <c r="A2" s="42" t="s">
        <v>0</v>
      </c>
      <c r="C2" s="43"/>
      <c r="G2" s="45"/>
    </row>
    <row r="3" spans="1:13" ht="31.5" x14ac:dyDescent="0.25">
      <c r="A3" s="46"/>
      <c r="B3" s="46"/>
      <c r="C3" s="3" t="s">
        <v>1</v>
      </c>
      <c r="D3" s="81" t="s">
        <v>2</v>
      </c>
      <c r="E3" s="3" t="s">
        <v>81</v>
      </c>
      <c r="F3" s="3" t="s">
        <v>47</v>
      </c>
      <c r="G3" s="3" t="s">
        <v>3</v>
      </c>
      <c r="J3" s="65"/>
    </row>
    <row r="4" spans="1:13" ht="15.75" x14ac:dyDescent="0.25">
      <c r="A4" s="58" t="s">
        <v>56</v>
      </c>
      <c r="B4" s="58"/>
      <c r="C4" s="82"/>
      <c r="D4" s="83"/>
      <c r="E4" s="84"/>
      <c r="F4" s="31"/>
      <c r="G4" s="4"/>
    </row>
    <row r="5" spans="1:13" ht="15.75" x14ac:dyDescent="0.25">
      <c r="A5" s="50" t="s">
        <v>9</v>
      </c>
      <c r="B5" s="50"/>
      <c r="C5" s="82">
        <f t="shared" ref="C5:D5" si="0">SUM(C6:C11)</f>
        <v>16252531</v>
      </c>
      <c r="D5" s="82">
        <f t="shared" si="0"/>
        <v>16252531</v>
      </c>
      <c r="E5" s="82">
        <f>SUM(E6:E11)</f>
        <v>44066167.460000001</v>
      </c>
      <c r="F5" s="30">
        <f>SUM(F6:F11)</f>
        <v>7544461</v>
      </c>
      <c r="G5" s="30">
        <f>SUM(G6:G11)</f>
        <v>27813636.460000008</v>
      </c>
      <c r="H5" s="63"/>
      <c r="J5" s="2"/>
    </row>
    <row r="6" spans="1:13" s="39" customFormat="1" ht="15.75" x14ac:dyDescent="0.25">
      <c r="A6" s="52"/>
      <c r="B6" s="51" t="s">
        <v>5</v>
      </c>
      <c r="C6" s="66">
        <v>177154</v>
      </c>
      <c r="D6" s="66">
        <f>C6</f>
        <v>177154</v>
      </c>
      <c r="E6" s="66">
        <v>3369784.26</v>
      </c>
      <c r="F6" s="5">
        <v>3884146.31</v>
      </c>
      <c r="G6" s="5">
        <f>E6-D6</f>
        <v>3192630.26</v>
      </c>
      <c r="H6" s="78"/>
      <c r="I6" s="61"/>
      <c r="J6" s="60"/>
    </row>
    <row r="7" spans="1:13" s="39" customFormat="1" ht="15.75" x14ac:dyDescent="0.25">
      <c r="A7" s="52"/>
      <c r="B7" s="51" t="s">
        <v>4</v>
      </c>
      <c r="C7" s="66">
        <v>11802017</v>
      </c>
      <c r="D7" s="66">
        <f t="shared" ref="D7:D11" si="1">C7</f>
        <v>11802017</v>
      </c>
      <c r="E7" s="66">
        <f>69071729.78-29240968.77-999603.07-44342.23</f>
        <v>38786815.710000008</v>
      </c>
      <c r="F7" s="5">
        <f>11534774.23-1305458.66-7337859.26-23456.47-69328.38</f>
        <v>2798671.4600000004</v>
      </c>
      <c r="G7" s="5">
        <f t="shared" ref="G7:G11" si="2">E7-D7</f>
        <v>26984798.710000008</v>
      </c>
      <c r="H7" s="78"/>
      <c r="J7" s="62"/>
    </row>
    <row r="8" spans="1:13" s="39" customFormat="1" ht="15.75" x14ac:dyDescent="0.25">
      <c r="A8" s="52"/>
      <c r="B8" s="51" t="s">
        <v>53</v>
      </c>
      <c r="C8" s="66">
        <v>1837000</v>
      </c>
      <c r="D8" s="66">
        <f t="shared" si="1"/>
        <v>1837000</v>
      </c>
      <c r="E8" s="66">
        <f>412625.28-70</f>
        <v>412555.28</v>
      </c>
      <c r="F8" s="5">
        <f>556642.04-13209.04</f>
        <v>543433</v>
      </c>
      <c r="G8" s="5">
        <f t="shared" si="2"/>
        <v>-1424444.72</v>
      </c>
      <c r="H8" s="78"/>
      <c r="I8" s="61"/>
      <c r="J8" s="62"/>
    </row>
    <row r="9" spans="1:13" s="39" customFormat="1" ht="15.75" x14ac:dyDescent="0.25">
      <c r="A9" s="52"/>
      <c r="B9" s="51" t="s">
        <v>55</v>
      </c>
      <c r="C9" s="66">
        <v>135360</v>
      </c>
      <c r="D9" s="66">
        <f t="shared" si="1"/>
        <v>135360</v>
      </c>
      <c r="E9" s="66">
        <v>1272022.33</v>
      </c>
      <c r="F9" s="5">
        <v>210203.27</v>
      </c>
      <c r="G9" s="5">
        <f>E9-D9</f>
        <v>1136662.33</v>
      </c>
      <c r="H9" s="78"/>
      <c r="I9" s="61"/>
      <c r="J9" s="60"/>
    </row>
    <row r="10" spans="1:13" s="39" customFormat="1" ht="15.75" x14ac:dyDescent="0.25">
      <c r="A10" s="52"/>
      <c r="B10" s="51" t="s">
        <v>45</v>
      </c>
      <c r="C10" s="66">
        <v>2301000</v>
      </c>
      <c r="D10" s="66">
        <f t="shared" si="1"/>
        <v>2301000</v>
      </c>
      <c r="E10" s="66">
        <f>22662.95+232770.24</f>
        <v>255433.19</v>
      </c>
      <c r="F10" s="5">
        <v>49351.93</v>
      </c>
      <c r="G10" s="5">
        <f t="shared" si="2"/>
        <v>-2045566.81</v>
      </c>
      <c r="H10" s="79"/>
      <c r="I10" s="61"/>
      <c r="J10" s="1"/>
      <c r="K10" s="62"/>
    </row>
    <row r="11" spans="1:13" s="39" customFormat="1" ht="15.75" x14ac:dyDescent="0.25">
      <c r="A11" s="52"/>
      <c r="B11" s="51" t="s">
        <v>6</v>
      </c>
      <c r="C11" s="66">
        <v>0</v>
      </c>
      <c r="D11" s="66">
        <f t="shared" si="1"/>
        <v>0</v>
      </c>
      <c r="E11" s="66">
        <v>-30443.31</v>
      </c>
      <c r="F11" s="5">
        <v>58655.03</v>
      </c>
      <c r="G11" s="5">
        <f t="shared" si="2"/>
        <v>-30443.31</v>
      </c>
      <c r="H11" s="64"/>
      <c r="I11" s="38"/>
      <c r="J11"/>
      <c r="K11"/>
      <c r="L11"/>
    </row>
    <row r="12" spans="1:13" ht="15.75" x14ac:dyDescent="0.25">
      <c r="A12" s="50" t="s">
        <v>10</v>
      </c>
      <c r="B12" s="50"/>
      <c r="C12" s="82">
        <f>C14+C40</f>
        <v>-899395678</v>
      </c>
      <c r="D12" s="82">
        <f>D14+D40</f>
        <v>-1028020580.537277</v>
      </c>
      <c r="E12" s="82">
        <f>E14+E40</f>
        <v>-1005603640.13</v>
      </c>
      <c r="F12" s="82">
        <f>F14+F40</f>
        <v>-663661959.83000016</v>
      </c>
      <c r="G12" s="82">
        <f>G14+G40</f>
        <v>22416940.407276988</v>
      </c>
      <c r="J12" s="15"/>
      <c r="L12" s="80"/>
    </row>
    <row r="13" spans="1:13" ht="15.75" x14ac:dyDescent="0.25">
      <c r="A13" s="52"/>
      <c r="B13" s="51" t="s">
        <v>7</v>
      </c>
      <c r="C13" s="66">
        <f>C15</f>
        <v>-744865090</v>
      </c>
      <c r="D13" s="66">
        <f t="shared" ref="D13:G13" si="3">D15</f>
        <v>-820499426.681692</v>
      </c>
      <c r="E13" s="66">
        <f t="shared" si="3"/>
        <v>-791535874</v>
      </c>
      <c r="F13" s="66">
        <f t="shared" si="3"/>
        <v>-527096400.36999995</v>
      </c>
      <c r="G13" s="66">
        <f t="shared" si="3"/>
        <v>28963552.6816919</v>
      </c>
    </row>
    <row r="14" spans="1:13" ht="15.75" x14ac:dyDescent="0.25">
      <c r="A14" s="47" t="s">
        <v>17</v>
      </c>
      <c r="B14" s="47"/>
      <c r="C14" s="67">
        <f>C16</f>
        <v>-826612387</v>
      </c>
      <c r="D14" s="67">
        <f>D16</f>
        <v>-955190195.96727705</v>
      </c>
      <c r="E14" s="67">
        <f>E16</f>
        <v>-918459049</v>
      </c>
      <c r="F14" s="8">
        <f t="shared" ref="F14:G14" si="4">F16</f>
        <v>-616630306.21000016</v>
      </c>
      <c r="G14" s="8">
        <f t="shared" si="4"/>
        <v>36731146.96727699</v>
      </c>
      <c r="H14" s="76"/>
      <c r="K14" s="2"/>
    </row>
    <row r="15" spans="1:13" ht="15.75" x14ac:dyDescent="0.25">
      <c r="A15" s="48"/>
      <c r="B15" s="51" t="s">
        <v>7</v>
      </c>
      <c r="C15" s="73">
        <f>C17</f>
        <v>-744865090</v>
      </c>
      <c r="D15" s="73">
        <f>D17</f>
        <v>-820499426.681692</v>
      </c>
      <c r="E15" s="73">
        <f t="shared" ref="E15:G15" si="5">E17</f>
        <v>-791535874</v>
      </c>
      <c r="F15" s="7">
        <f t="shared" si="5"/>
        <v>-527096400.36999995</v>
      </c>
      <c r="G15" s="7">
        <f t="shared" si="5"/>
        <v>28963552.6816919</v>
      </c>
      <c r="M15" s="2"/>
    </row>
    <row r="16" spans="1:13" ht="15.75" x14ac:dyDescent="0.25">
      <c r="A16" s="49" t="s">
        <v>96</v>
      </c>
      <c r="B16" s="47"/>
      <c r="C16" s="67">
        <f>C18+C20+C22+C24+C26+C28+C30+C32+C34+C36+C38</f>
        <v>-826612387</v>
      </c>
      <c r="D16" s="67">
        <f t="shared" ref="D16:G16" si="6">D18+D20+D22+D24+D26+D28+D30+D32+D34+D36+D38</f>
        <v>-955190195.96727705</v>
      </c>
      <c r="E16" s="67">
        <f t="shared" si="6"/>
        <v>-918459049</v>
      </c>
      <c r="F16" s="67">
        <f t="shared" si="6"/>
        <v>-616630306.21000016</v>
      </c>
      <c r="G16" s="67">
        <f t="shared" si="6"/>
        <v>36731146.96727699</v>
      </c>
    </row>
    <row r="17" spans="1:9" ht="15.75" x14ac:dyDescent="0.25">
      <c r="A17" s="56"/>
      <c r="B17" s="51" t="s">
        <v>7</v>
      </c>
      <c r="C17" s="73">
        <f>C19+C21+C23+C25+C27+C29+C31+C33+C35+C37+C39</f>
        <v>-744865090</v>
      </c>
      <c r="D17" s="73">
        <f t="shared" ref="D17:G17" si="7">D19+D21+D23+D25+D27+D29+D31+D33+D35+D37+D39</f>
        <v>-820499426.681692</v>
      </c>
      <c r="E17" s="73">
        <f t="shared" si="7"/>
        <v>-791535874</v>
      </c>
      <c r="F17" s="73">
        <f t="shared" si="7"/>
        <v>-527096400.36999995</v>
      </c>
      <c r="G17" s="73">
        <f t="shared" si="7"/>
        <v>28963552.6816919</v>
      </c>
    </row>
    <row r="18" spans="1:9" ht="15.75" x14ac:dyDescent="0.25">
      <c r="A18" s="56" t="s">
        <v>57</v>
      </c>
      <c r="B18" s="51"/>
      <c r="C18" s="73">
        <v>-199300422</v>
      </c>
      <c r="D18" s="66">
        <v>-220819497</v>
      </c>
      <c r="E18" s="73">
        <v>-235899149</v>
      </c>
      <c r="F18" s="37">
        <f>-158405774.51-30</f>
        <v>-158405804.50999999</v>
      </c>
      <c r="G18" s="5">
        <f t="shared" ref="G18:G27" si="8">E18-D18</f>
        <v>-15079652</v>
      </c>
      <c r="H18" s="32" t="s">
        <v>82</v>
      </c>
      <c r="I18" s="32" t="s">
        <v>69</v>
      </c>
    </row>
    <row r="19" spans="1:9" ht="15.75" x14ac:dyDescent="0.25">
      <c r="A19" s="56"/>
      <c r="B19" s="51" t="s">
        <v>7</v>
      </c>
      <c r="C19" s="73">
        <v>-186943527</v>
      </c>
      <c r="D19" s="66">
        <v>-214268216</v>
      </c>
      <c r="E19" s="73">
        <v>-213568927</v>
      </c>
      <c r="F19" s="37">
        <v>-128675161.41</v>
      </c>
      <c r="G19" s="5">
        <f t="shared" si="8"/>
        <v>699289</v>
      </c>
    </row>
    <row r="20" spans="1:9" ht="15.75" x14ac:dyDescent="0.25">
      <c r="A20" s="56" t="s">
        <v>58</v>
      </c>
      <c r="B20" s="51"/>
      <c r="C20" s="73">
        <v>-36136157</v>
      </c>
      <c r="D20" s="66">
        <v>-34282084</v>
      </c>
      <c r="E20" s="73">
        <v>-40644393</v>
      </c>
      <c r="F20" s="37">
        <v>-23231634.920000002</v>
      </c>
      <c r="G20" s="5">
        <f t="shared" si="8"/>
        <v>-6362309</v>
      </c>
      <c r="H20" s="32" t="s">
        <v>83</v>
      </c>
      <c r="I20" s="32" t="s">
        <v>70</v>
      </c>
    </row>
    <row r="21" spans="1:9" ht="15.75" x14ac:dyDescent="0.25">
      <c r="A21" s="56"/>
      <c r="B21" s="51" t="s">
        <v>7</v>
      </c>
      <c r="C21" s="73">
        <v>-35740563</v>
      </c>
      <c r="D21" s="66">
        <v>-33755535</v>
      </c>
      <c r="E21" s="85">
        <v>-33675651</v>
      </c>
      <c r="F21" s="37">
        <v>-17249057.800000001</v>
      </c>
      <c r="G21" s="5">
        <f t="shared" si="8"/>
        <v>79884</v>
      </c>
    </row>
    <row r="22" spans="1:9" ht="15.75" x14ac:dyDescent="0.25">
      <c r="A22" s="56" t="s">
        <v>59</v>
      </c>
      <c r="B22" s="51"/>
      <c r="C22" s="73">
        <v>-28168423</v>
      </c>
      <c r="D22" s="66">
        <v>-26827883</v>
      </c>
      <c r="E22" s="73">
        <v>-24585589</v>
      </c>
      <c r="F22" s="37">
        <v>-25787646.510000002</v>
      </c>
      <c r="G22" s="5">
        <f t="shared" si="8"/>
        <v>2242294</v>
      </c>
      <c r="H22" s="32" t="s">
        <v>84</v>
      </c>
      <c r="I22" s="32" t="s">
        <v>71</v>
      </c>
    </row>
    <row r="23" spans="1:9" ht="15.75" x14ac:dyDescent="0.25">
      <c r="A23" s="56"/>
      <c r="B23" s="51" t="s">
        <v>7</v>
      </c>
      <c r="C23" s="73">
        <v>-27093592</v>
      </c>
      <c r="D23" s="66">
        <v>-25753052</v>
      </c>
      <c r="E23" s="86">
        <v>-21367340</v>
      </c>
      <c r="F23" s="59">
        <v>-20020381.050000001</v>
      </c>
      <c r="G23" s="5">
        <f t="shared" si="8"/>
        <v>4385712</v>
      </c>
    </row>
    <row r="24" spans="1:9" ht="15.75" x14ac:dyDescent="0.25">
      <c r="A24" s="56" t="s">
        <v>60</v>
      </c>
      <c r="B24" s="51"/>
      <c r="C24" s="73">
        <v>-353965109</v>
      </c>
      <c r="D24" s="66">
        <v>-413461586</v>
      </c>
      <c r="E24" s="86">
        <v>-382515142</v>
      </c>
      <c r="F24" s="37">
        <v>-191418717.49000001</v>
      </c>
      <c r="G24" s="5">
        <f t="shared" si="8"/>
        <v>30946444</v>
      </c>
      <c r="H24" s="32" t="s">
        <v>85</v>
      </c>
      <c r="I24" s="32" t="s">
        <v>72</v>
      </c>
    </row>
    <row r="25" spans="1:9" ht="15.75" x14ac:dyDescent="0.25">
      <c r="A25" s="56"/>
      <c r="B25" s="51" t="s">
        <v>7</v>
      </c>
      <c r="C25" s="73">
        <v>-288991755</v>
      </c>
      <c r="D25" s="66">
        <v>-300211524</v>
      </c>
      <c r="E25" s="86">
        <v>-293459658</v>
      </c>
      <c r="F25" s="37">
        <v>-157496772.84999999</v>
      </c>
      <c r="G25" s="5">
        <f t="shared" si="8"/>
        <v>6751866</v>
      </c>
    </row>
    <row r="26" spans="1:9" ht="15.75" x14ac:dyDescent="0.25">
      <c r="A26" s="56" t="s">
        <v>61</v>
      </c>
      <c r="B26" s="51"/>
      <c r="C26" s="73">
        <v>-14047802</v>
      </c>
      <c r="D26" s="66">
        <v>-15427173</v>
      </c>
      <c r="E26" s="73">
        <v>-15058538</v>
      </c>
      <c r="F26" s="37">
        <v>-51843849.229999997</v>
      </c>
      <c r="G26" s="5">
        <f t="shared" si="8"/>
        <v>368635</v>
      </c>
      <c r="H26" s="32" t="s">
        <v>86</v>
      </c>
      <c r="I26" s="32" t="s">
        <v>73</v>
      </c>
    </row>
    <row r="27" spans="1:9" ht="15.75" x14ac:dyDescent="0.25">
      <c r="A27" s="56"/>
      <c r="B27" s="51" t="s">
        <v>7</v>
      </c>
      <c r="C27" s="73">
        <v>-14024548</v>
      </c>
      <c r="D27" s="66">
        <v>-15072575</v>
      </c>
      <c r="E27" s="85">
        <v>-14548214</v>
      </c>
      <c r="F27" s="37">
        <v>-43305831.530000001</v>
      </c>
      <c r="G27" s="5">
        <f t="shared" si="8"/>
        <v>524361</v>
      </c>
    </row>
    <row r="28" spans="1:9" ht="15.75" x14ac:dyDescent="0.25">
      <c r="A28" s="56" t="s">
        <v>88</v>
      </c>
      <c r="B28" s="51"/>
      <c r="C28" s="73">
        <v>-34886648</v>
      </c>
      <c r="D28" s="66">
        <v>-48118866</v>
      </c>
      <c r="E28" s="73">
        <v>-47325248</v>
      </c>
      <c r="F28" s="7">
        <v>-39884633.049999997</v>
      </c>
      <c r="G28" s="5">
        <f t="shared" ref="G28:G31" si="9">E28-D28</f>
        <v>793618</v>
      </c>
      <c r="H28" s="32" t="s">
        <v>89</v>
      </c>
      <c r="I28" s="32" t="s">
        <v>74</v>
      </c>
    </row>
    <row r="29" spans="1:9" ht="15.75" x14ac:dyDescent="0.25">
      <c r="A29" s="56"/>
      <c r="B29" s="51" t="s">
        <v>7</v>
      </c>
      <c r="C29" s="73">
        <v>-34352839</v>
      </c>
      <c r="D29" s="66">
        <v>-46556643</v>
      </c>
      <c r="E29" s="73">
        <v>-46013332</v>
      </c>
      <c r="F29" s="7">
        <v>-38426652.740000002</v>
      </c>
      <c r="G29" s="5">
        <f t="shared" si="9"/>
        <v>543311</v>
      </c>
    </row>
    <row r="30" spans="1:9" ht="15.75" x14ac:dyDescent="0.25">
      <c r="A30" s="56" t="s">
        <v>62</v>
      </c>
      <c r="B30" s="51"/>
      <c r="C30" s="73">
        <v>-9683014</v>
      </c>
      <c r="D30" s="66">
        <v>-24277819</v>
      </c>
      <c r="E30" s="73">
        <v>-22778656</v>
      </c>
      <c r="F30" s="7">
        <v>-12272645.51</v>
      </c>
      <c r="G30" s="5">
        <f t="shared" si="9"/>
        <v>1499163</v>
      </c>
      <c r="H30" s="32" t="s">
        <v>87</v>
      </c>
      <c r="I30" s="32" t="s">
        <v>75</v>
      </c>
    </row>
    <row r="31" spans="1:9" ht="15.75" x14ac:dyDescent="0.25">
      <c r="A31" s="56"/>
      <c r="B31" s="51" t="s">
        <v>7</v>
      </c>
      <c r="C31" s="73">
        <v>-9683014</v>
      </c>
      <c r="D31" s="66">
        <v>-24277819.399999999</v>
      </c>
      <c r="E31" s="73">
        <v>-22778656</v>
      </c>
      <c r="F31" s="7">
        <v>-11834684.189999999</v>
      </c>
      <c r="G31" s="5">
        <f t="shared" si="9"/>
        <v>1499163.3999999985</v>
      </c>
    </row>
    <row r="32" spans="1:9" s="39" customFormat="1" ht="15.75" x14ac:dyDescent="0.25">
      <c r="A32" s="48" t="s">
        <v>90</v>
      </c>
      <c r="B32" s="48"/>
      <c r="C32" s="73">
        <v>-51513211</v>
      </c>
      <c r="D32" s="73">
        <v>-60511341</v>
      </c>
      <c r="E32" s="86">
        <v>-55902984</v>
      </c>
      <c r="F32" s="7">
        <f>F33</f>
        <v>-51333607.579999998</v>
      </c>
      <c r="G32" s="5">
        <f>E32-D32</f>
        <v>4608357</v>
      </c>
      <c r="H32" s="38" t="s">
        <v>91</v>
      </c>
      <c r="I32" s="38" t="s">
        <v>76</v>
      </c>
    </row>
    <row r="33" spans="1:11" ht="15.75" x14ac:dyDescent="0.25">
      <c r="A33" s="48"/>
      <c r="B33" s="51" t="s">
        <v>7</v>
      </c>
      <c r="C33" s="73">
        <v>-51513211</v>
      </c>
      <c r="D33" s="66">
        <v>-60511341.469999999</v>
      </c>
      <c r="E33" s="86">
        <v>-55902984</v>
      </c>
      <c r="F33" s="7">
        <v>-51333607.579999998</v>
      </c>
      <c r="G33" s="5">
        <f>E33-D33</f>
        <v>4608357.4699999988</v>
      </c>
    </row>
    <row r="34" spans="1:11" ht="15.75" x14ac:dyDescent="0.25">
      <c r="A34" s="56" t="s">
        <v>92</v>
      </c>
      <c r="B34" s="51"/>
      <c r="C34" s="73">
        <v>-30552747</v>
      </c>
      <c r="D34" s="66">
        <v>-32978062</v>
      </c>
      <c r="E34" s="86">
        <v>-29823432</v>
      </c>
      <c r="F34" s="7">
        <f>-17315116.76-6596719.57</f>
        <v>-23911836.330000002</v>
      </c>
      <c r="G34" s="5">
        <f t="shared" ref="G34:G40" si="10">E34-D34</f>
        <v>3154630</v>
      </c>
      <c r="H34" s="32" t="s">
        <v>93</v>
      </c>
      <c r="I34" s="32" t="s">
        <v>77</v>
      </c>
    </row>
    <row r="35" spans="1:11" ht="15.75" x14ac:dyDescent="0.25">
      <c r="A35" s="56"/>
      <c r="B35" s="51" t="s">
        <v>7</v>
      </c>
      <c r="C35" s="73">
        <v>-30164880</v>
      </c>
      <c r="D35" s="66">
        <v>-32122315.390000001</v>
      </c>
      <c r="E35" s="73">
        <v>-29049397</v>
      </c>
      <c r="F35" s="7">
        <f>-16786997.89-6414607.37</f>
        <v>-23201605.260000002</v>
      </c>
      <c r="G35" s="5">
        <f t="shared" si="10"/>
        <v>3072918.3900000006</v>
      </c>
    </row>
    <row r="36" spans="1:11" ht="15.75" x14ac:dyDescent="0.25">
      <c r="A36" s="56" t="s">
        <v>63</v>
      </c>
      <c r="B36" s="51"/>
      <c r="C36" s="73">
        <v>-51174809</v>
      </c>
      <c r="D36" s="66">
        <v>-54558305</v>
      </c>
      <c r="E36" s="73">
        <f>-51908047-3</f>
        <v>-51908050</v>
      </c>
      <c r="F36" s="73">
        <v>-25594866.07</v>
      </c>
      <c r="G36" s="66">
        <f t="shared" si="10"/>
        <v>2650255</v>
      </c>
      <c r="H36" s="32" t="s">
        <v>94</v>
      </c>
      <c r="I36" s="32" t="s">
        <v>78</v>
      </c>
    </row>
    <row r="37" spans="1:11" ht="15.75" x14ac:dyDescent="0.25">
      <c r="A37" s="56"/>
      <c r="B37" s="51" t="s">
        <v>7</v>
      </c>
      <c r="C37" s="73">
        <v>-50838197</v>
      </c>
      <c r="D37" s="66">
        <v>-53961014.490452468</v>
      </c>
      <c r="E37" s="73">
        <f>-51291285-3</f>
        <v>-51291288</v>
      </c>
      <c r="F37" s="73">
        <v>-23790045.210000001</v>
      </c>
      <c r="G37" s="66">
        <f t="shared" si="10"/>
        <v>2669726.4904524684</v>
      </c>
    </row>
    <row r="38" spans="1:11" ht="15.75" x14ac:dyDescent="0.25">
      <c r="A38" s="56" t="s">
        <v>64</v>
      </c>
      <c r="B38" s="51"/>
      <c r="C38" s="73">
        <v>-17184045</v>
      </c>
      <c r="D38" s="66">
        <v>-23927579.96727699</v>
      </c>
      <c r="E38" s="73">
        <v>-12017868</v>
      </c>
      <c r="F38" s="73">
        <v>-12945065.01</v>
      </c>
      <c r="G38" s="66">
        <f t="shared" si="10"/>
        <v>11909711.96727699</v>
      </c>
      <c r="H38" s="32" t="s">
        <v>95</v>
      </c>
      <c r="I38" s="32" t="s">
        <v>79</v>
      </c>
    </row>
    <row r="39" spans="1:11" ht="15.75" x14ac:dyDescent="0.25">
      <c r="A39" s="56"/>
      <c r="B39" s="51" t="s">
        <v>7</v>
      </c>
      <c r="C39" s="73">
        <v>-15518964</v>
      </c>
      <c r="D39" s="66">
        <v>-14009390.931239432</v>
      </c>
      <c r="E39" s="73">
        <f>-9880427</f>
        <v>-9880427</v>
      </c>
      <c r="F39" s="73">
        <v>-11762600.75</v>
      </c>
      <c r="G39" s="66">
        <f t="shared" si="10"/>
        <v>4128963.9312394317</v>
      </c>
      <c r="J39" s="2"/>
    </row>
    <row r="40" spans="1:11" s="28" customFormat="1" ht="15.75" x14ac:dyDescent="0.25">
      <c r="A40" s="57" t="s">
        <v>43</v>
      </c>
      <c r="B40" s="50"/>
      <c r="C40" s="67">
        <v>-72783291</v>
      </c>
      <c r="D40" s="67">
        <f>C40+3000-50093.57</f>
        <v>-72830384.569999993</v>
      </c>
      <c r="E40" s="88">
        <v>-87144591.129999995</v>
      </c>
      <c r="F40" s="67">
        <f>-47159959.38+128305.76</f>
        <v>-47031653.620000005</v>
      </c>
      <c r="G40" s="82">
        <f t="shared" si="10"/>
        <v>-14314206.560000002</v>
      </c>
      <c r="H40" s="40"/>
      <c r="I40" s="40"/>
    </row>
    <row r="41" spans="1:11" ht="15.75" x14ac:dyDescent="0.25">
      <c r="A41" s="57" t="s">
        <v>11</v>
      </c>
      <c r="B41" s="47"/>
      <c r="C41" s="67">
        <f>C43+C45+C47+C49+C50+C51+C53+C55</f>
        <v>-313191976</v>
      </c>
      <c r="D41" s="67">
        <f>D43+D45+D47+D49+D50+D51+D53+D55</f>
        <v>-396471433.89872599</v>
      </c>
      <c r="E41" s="67">
        <f>E43+E45+E47+E49+E50+E51+E53+E55</f>
        <v>-282718096.95999998</v>
      </c>
      <c r="F41" s="67">
        <f>F43+F45+F47+F49+F50+F51+F53+F55</f>
        <v>-186744299.06999999</v>
      </c>
      <c r="G41" s="67">
        <f>G43+G45+G47+G49+G50+G51+G53+G55</f>
        <v>113753336.93872601</v>
      </c>
      <c r="I41" s="74"/>
      <c r="J41" s="74"/>
    </row>
    <row r="42" spans="1:11" ht="15.75" x14ac:dyDescent="0.25">
      <c r="A42" s="56"/>
      <c r="B42" s="51" t="s">
        <v>7</v>
      </c>
      <c r="C42" s="73">
        <f>C44+C46+C48+C52+C54</f>
        <v>-227232065</v>
      </c>
      <c r="D42" s="73">
        <f t="shared" ref="D42:G42" si="11">D44+D46+D48+D52+D54</f>
        <v>-256776090.26999998</v>
      </c>
      <c r="E42" s="73">
        <f t="shared" si="11"/>
        <v>-222897933.67999998</v>
      </c>
      <c r="F42" s="73">
        <f t="shared" si="11"/>
        <v>-151573811.33000001</v>
      </c>
      <c r="G42" s="73">
        <f t="shared" si="11"/>
        <v>33878156.590000004</v>
      </c>
      <c r="I42" s="75"/>
      <c r="J42" s="2"/>
    </row>
    <row r="43" spans="1:11" ht="15.75" x14ac:dyDescent="0.25">
      <c r="A43" s="56" t="s">
        <v>65</v>
      </c>
      <c r="B43" s="51"/>
      <c r="C43" s="73">
        <v>-44766851</v>
      </c>
      <c r="D43" s="66">
        <v>-107098381.63892001</v>
      </c>
      <c r="E43" s="73">
        <f>-48722790.67-493281.75</f>
        <v>-49216072.420000002</v>
      </c>
      <c r="F43" s="73">
        <v>-43451119.469999999</v>
      </c>
      <c r="G43" s="66">
        <f t="shared" ref="G43:G54" si="12">E43-D43</f>
        <v>57882309.218920007</v>
      </c>
    </row>
    <row r="44" spans="1:11" ht="15.75" x14ac:dyDescent="0.25">
      <c r="A44" s="56"/>
      <c r="B44" s="51" t="s">
        <v>7</v>
      </c>
      <c r="C44" s="73">
        <v>-41770340</v>
      </c>
      <c r="D44" s="66">
        <v>-54196413.079999998</v>
      </c>
      <c r="E44" s="73">
        <v>-48722790.670000002</v>
      </c>
      <c r="F44" s="73">
        <v>-43451119.469999999</v>
      </c>
      <c r="G44" s="66">
        <f t="shared" si="12"/>
        <v>5473622.4099999964</v>
      </c>
      <c r="J44" s="2"/>
      <c r="K44" s="2"/>
    </row>
    <row r="45" spans="1:11" ht="15.75" x14ac:dyDescent="0.25">
      <c r="A45" s="56" t="s">
        <v>97</v>
      </c>
      <c r="B45" s="51"/>
      <c r="C45" s="73">
        <v>-31458239</v>
      </c>
      <c r="D45" s="66">
        <v>-50988208</v>
      </c>
      <c r="E45" s="73">
        <f>-44692607.08-646340.63</f>
        <v>-45338947.710000001</v>
      </c>
      <c r="F45" s="73">
        <v>0</v>
      </c>
      <c r="G45" s="66">
        <f t="shared" si="12"/>
        <v>5649260.2899999991</v>
      </c>
    </row>
    <row r="46" spans="1:11" ht="15.75" x14ac:dyDescent="0.25">
      <c r="A46" s="56"/>
      <c r="B46" s="51" t="s">
        <v>7</v>
      </c>
      <c r="C46" s="73">
        <v>-31458239</v>
      </c>
      <c r="D46" s="66">
        <v>-50242214.469999999</v>
      </c>
      <c r="E46" s="73">
        <v>-44692607.079999998</v>
      </c>
      <c r="F46" s="73">
        <v>0</v>
      </c>
      <c r="G46" s="66">
        <f t="shared" si="12"/>
        <v>5549607.3900000006</v>
      </c>
    </row>
    <row r="47" spans="1:11" ht="15.75" x14ac:dyDescent="0.25">
      <c r="A47" s="56" t="s">
        <v>66</v>
      </c>
      <c r="B47" s="51"/>
      <c r="C47" s="73">
        <v>-124669502</v>
      </c>
      <c r="D47" s="66">
        <v>-110427290.109806</v>
      </c>
      <c r="E47" s="73">
        <f>-76196593.59</f>
        <v>-76196593.590000004</v>
      </c>
      <c r="F47" s="73">
        <v>-93757779.430000007</v>
      </c>
      <c r="G47" s="66">
        <f t="shared" si="12"/>
        <v>34230696.519805998</v>
      </c>
    </row>
    <row r="48" spans="1:11" ht="15.75" x14ac:dyDescent="0.25">
      <c r="A48" s="56"/>
      <c r="B48" s="51" t="s">
        <v>7</v>
      </c>
      <c r="C48" s="73">
        <v>-124583698</v>
      </c>
      <c r="D48" s="66">
        <v>-87330912.390000001</v>
      </c>
      <c r="E48" s="73">
        <v>-68263015.349999994</v>
      </c>
      <c r="F48" s="73">
        <v>-93757779.430000007</v>
      </c>
      <c r="G48" s="66">
        <f t="shared" si="12"/>
        <v>19067897.040000007</v>
      </c>
    </row>
    <row r="49" spans="1:11" ht="15.75" x14ac:dyDescent="0.25">
      <c r="A49" s="56" t="s">
        <v>98</v>
      </c>
      <c r="B49" s="51"/>
      <c r="C49" s="73">
        <f>-11133334</f>
        <v>-11133334</v>
      </c>
      <c r="D49" s="66">
        <f>-7840000</f>
        <v>-7840000</v>
      </c>
      <c r="E49" s="73">
        <f>-7840000</f>
        <v>-7840000</v>
      </c>
      <c r="F49" s="73">
        <v>0</v>
      </c>
      <c r="G49" s="66">
        <f t="shared" si="12"/>
        <v>0</v>
      </c>
    </row>
    <row r="50" spans="1:11" ht="15.75" x14ac:dyDescent="0.25">
      <c r="A50" s="56" t="s">
        <v>99</v>
      </c>
      <c r="B50" s="51"/>
      <c r="C50" s="73">
        <f>-12686047</f>
        <v>-12686047</v>
      </c>
      <c r="D50" s="66">
        <v>-7870298</v>
      </c>
      <c r="E50" s="73">
        <v>-7870297</v>
      </c>
      <c r="F50" s="73">
        <v>0</v>
      </c>
      <c r="G50" s="66">
        <f t="shared" si="12"/>
        <v>1</v>
      </c>
    </row>
    <row r="51" spans="1:11" ht="15.75" x14ac:dyDescent="0.25">
      <c r="A51" s="56" t="s">
        <v>67</v>
      </c>
      <c r="B51" s="51"/>
      <c r="C51" s="73">
        <v>0</v>
      </c>
      <c r="D51" s="66">
        <v>-45685644.329999998</v>
      </c>
      <c r="E51" s="73">
        <v>-45685523.359999999</v>
      </c>
      <c r="F51" s="73">
        <v>-452291</v>
      </c>
      <c r="G51" s="66">
        <f t="shared" si="12"/>
        <v>120.96999999880791</v>
      </c>
    </row>
    <row r="52" spans="1:11" ht="15.75" x14ac:dyDescent="0.25">
      <c r="A52" s="56"/>
      <c r="B52" s="51" t="s">
        <v>7</v>
      </c>
      <c r="C52" s="73">
        <v>0</v>
      </c>
      <c r="D52" s="66">
        <v>-45685644.329999998</v>
      </c>
      <c r="E52" s="73">
        <v>-45685523.359999999</v>
      </c>
      <c r="F52" s="73">
        <v>-452291</v>
      </c>
      <c r="G52" s="66">
        <f t="shared" si="12"/>
        <v>120.96999999880791</v>
      </c>
    </row>
    <row r="53" spans="1:11" ht="15.75" x14ac:dyDescent="0.25">
      <c r="A53" s="56" t="s">
        <v>68</v>
      </c>
      <c r="B53" s="51"/>
      <c r="C53" s="73">
        <f>-41279937</f>
        <v>-41279937</v>
      </c>
      <c r="D53" s="66">
        <f>-19812647+4-1364138</f>
        <v>-21176781</v>
      </c>
      <c r="E53" s="73">
        <f>-15973295.55-1351978</f>
        <v>-17325273.550000001</v>
      </c>
      <c r="F53" s="73">
        <v>-22055594.16</v>
      </c>
      <c r="G53" s="66">
        <f t="shared" si="12"/>
        <v>3851507.4499999993</v>
      </c>
    </row>
    <row r="54" spans="1:11" ht="15.75" x14ac:dyDescent="0.25">
      <c r="A54" s="56"/>
      <c r="B54" s="51" t="s">
        <v>7</v>
      </c>
      <c r="C54" s="73">
        <f>-29419788</f>
        <v>-29419788</v>
      </c>
      <c r="D54" s="66">
        <v>-19320906</v>
      </c>
      <c r="E54" s="73">
        <v>-15533997.220000001</v>
      </c>
      <c r="F54" s="73">
        <v>-13912621.43</v>
      </c>
      <c r="G54" s="66">
        <f t="shared" si="12"/>
        <v>3786908.7799999993</v>
      </c>
    </row>
    <row r="55" spans="1:11" s="39" customFormat="1" ht="15.75" x14ac:dyDescent="0.25">
      <c r="A55" s="56" t="s">
        <v>43</v>
      </c>
      <c r="B55" s="51"/>
      <c r="C55" s="73">
        <v>-47198066</v>
      </c>
      <c r="D55" s="73">
        <f>C55-247698+7017363-103974.85-1574059.42-3008000-270395.55</f>
        <v>-45384830.82</v>
      </c>
      <c r="E55" s="73">
        <v>-33245389.329999998</v>
      </c>
      <c r="F55" s="73">
        <f>-26986393.41-41121.6</f>
        <v>-27027515.010000002</v>
      </c>
      <c r="G55" s="66">
        <f>E55-D55</f>
        <v>12139441.490000002</v>
      </c>
      <c r="H55" s="38"/>
      <c r="I55" s="38"/>
      <c r="J55" s="15"/>
      <c r="K55" s="62"/>
    </row>
    <row r="56" spans="1:11" ht="15.75" x14ac:dyDescent="0.25">
      <c r="A56" s="54" t="s">
        <v>12</v>
      </c>
      <c r="B56" s="54"/>
      <c r="C56" s="30"/>
      <c r="D56" s="30"/>
      <c r="E56" s="30">
        <f>SUM(E57:E63)</f>
        <v>-45601932.690000005</v>
      </c>
      <c r="F56" s="30">
        <f>SUM(F57:F63)</f>
        <v>-64566855.830000006</v>
      </c>
      <c r="G56" s="30"/>
    </row>
    <row r="57" spans="1:11" ht="15.75" x14ac:dyDescent="0.25">
      <c r="A57" s="53"/>
      <c r="B57" s="51" t="s">
        <v>14</v>
      </c>
      <c r="C57" s="6"/>
      <c r="D57" s="6"/>
      <c r="E57" s="6">
        <v>-38847541</v>
      </c>
      <c r="F57" s="6">
        <v>-38715379</v>
      </c>
      <c r="G57" s="4"/>
      <c r="H57" s="72"/>
    </row>
    <row r="58" spans="1:11" ht="15.75" x14ac:dyDescent="0.25">
      <c r="A58" s="53"/>
      <c r="B58" s="55" t="s">
        <v>13</v>
      </c>
      <c r="C58" s="6"/>
      <c r="D58" s="6"/>
      <c r="E58" s="6">
        <v>-28479813</v>
      </c>
      <c r="F58" s="6">
        <v>-29033093</v>
      </c>
      <c r="G58" s="4"/>
      <c r="H58" s="72"/>
    </row>
    <row r="59" spans="1:11" ht="15.75" x14ac:dyDescent="0.25">
      <c r="A59" s="53"/>
      <c r="B59" s="55" t="s">
        <v>16</v>
      </c>
      <c r="C59" s="6"/>
      <c r="D59" s="6"/>
      <c r="E59" s="6">
        <v>44342.23</v>
      </c>
      <c r="F59" s="6">
        <v>69328.38</v>
      </c>
      <c r="G59" s="4"/>
    </row>
    <row r="60" spans="1:11" ht="15.75" x14ac:dyDescent="0.25">
      <c r="A60" s="53"/>
      <c r="B60" s="55" t="s">
        <v>18</v>
      </c>
      <c r="C60" s="6"/>
      <c r="D60" s="6"/>
      <c r="E60" s="6">
        <v>29240968.77</v>
      </c>
      <c r="F60" s="6">
        <v>7337859.2599999998</v>
      </c>
      <c r="G60" s="4"/>
    </row>
    <row r="61" spans="1:11" ht="15.75" x14ac:dyDescent="0.25">
      <c r="A61" s="53"/>
      <c r="B61" s="55" t="s">
        <v>19</v>
      </c>
      <c r="C61" s="6"/>
      <c r="D61" s="6"/>
      <c r="E61" s="6">
        <v>0</v>
      </c>
      <c r="F61" s="6">
        <v>23456.47</v>
      </c>
      <c r="G61" s="4"/>
    </row>
    <row r="62" spans="1:11" ht="15.75" x14ac:dyDescent="0.25">
      <c r="A62" s="53"/>
      <c r="B62" s="55" t="s">
        <v>8</v>
      </c>
      <c r="C62" s="6"/>
      <c r="D62" s="6"/>
      <c r="E62" s="5">
        <v>-1615013.77</v>
      </c>
      <c r="F62" s="5">
        <v>-1553698.75</v>
      </c>
      <c r="G62" s="4"/>
      <c r="H62" s="71"/>
    </row>
    <row r="63" spans="1:11" ht="15.75" x14ac:dyDescent="0.25">
      <c r="A63" s="53"/>
      <c r="B63" s="55" t="s">
        <v>20</v>
      </c>
      <c r="C63" s="6"/>
      <c r="D63" s="6"/>
      <c r="E63" s="6">
        <v>-5944875.9199999999</v>
      </c>
      <c r="F63" s="6">
        <v>-2695329.19</v>
      </c>
      <c r="G63" s="4"/>
      <c r="H63" s="71"/>
    </row>
  </sheetData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E28" sqref="E28"/>
    </sheetView>
  </sheetViews>
  <sheetFormatPr defaultRowHeight="15" x14ac:dyDescent="0.25"/>
  <cols>
    <col min="1" max="1" width="20.85546875" customWidth="1"/>
    <col min="2" max="2" width="39.140625" customWidth="1"/>
    <col min="3" max="3" width="21" style="29" customWidth="1"/>
    <col min="4" max="4" width="19" style="29" customWidth="1"/>
    <col min="5" max="5" width="16.85546875" style="29" customWidth="1"/>
    <col min="6" max="6" width="38.5703125" style="15" customWidth="1"/>
    <col min="7" max="7" width="16" style="15" bestFit="1" customWidth="1"/>
    <col min="8" max="8" width="16.7109375" style="15" bestFit="1" customWidth="1"/>
    <col min="9" max="9" width="15.85546875" style="15" bestFit="1" customWidth="1"/>
    <col min="10" max="10" width="26.85546875" customWidth="1"/>
    <col min="11" max="11" width="13.28515625" bestFit="1" customWidth="1"/>
  </cols>
  <sheetData>
    <row r="1" spans="1:10" x14ac:dyDescent="0.25">
      <c r="A1" s="9" t="s">
        <v>21</v>
      </c>
      <c r="B1" s="35"/>
      <c r="C1" s="36"/>
      <c r="D1" s="33"/>
      <c r="E1" s="33"/>
      <c r="F1" s="11"/>
      <c r="G1" s="12"/>
      <c r="H1" s="13"/>
      <c r="I1" s="14"/>
      <c r="J1" s="15"/>
    </row>
    <row r="2" spans="1:10" x14ac:dyDescent="0.25">
      <c r="A2" s="9" t="s">
        <v>22</v>
      </c>
      <c r="B2" s="10"/>
      <c r="C2" s="33"/>
      <c r="D2" s="33"/>
      <c r="E2" s="33"/>
      <c r="F2" s="11"/>
      <c r="G2" s="12"/>
      <c r="H2" s="13"/>
      <c r="I2" s="13"/>
      <c r="J2" s="15"/>
    </row>
    <row r="3" spans="1:10" x14ac:dyDescent="0.25">
      <c r="A3" s="9"/>
      <c r="B3" s="10"/>
      <c r="C3" s="34">
        <f>SUBTOTAL(9,C5:C17)</f>
        <v>-1289857502.8599999</v>
      </c>
      <c r="D3" s="34">
        <f>SUBTOTAL(9,D5:D17)</f>
        <v>-1289857502.1199999</v>
      </c>
      <c r="E3" s="34">
        <f>SUBTOTAL(9,E5:E17)</f>
        <v>-0.7400001585483551</v>
      </c>
      <c r="F3" s="11"/>
      <c r="G3" s="13">
        <f>SUBTOTAL(9,G5:G17)</f>
        <v>-907428653.65999997</v>
      </c>
      <c r="H3" s="13">
        <f>SUBTOTAL(9,H5:H17)</f>
        <v>-907428653.73000026</v>
      </c>
      <c r="I3" s="13">
        <f>SUBTOTAL(9,I5:I17)</f>
        <v>7.000017911195755E-2</v>
      </c>
    </row>
    <row r="4" spans="1:10" ht="25.5" x14ac:dyDescent="0.25">
      <c r="A4" s="16"/>
      <c r="B4" s="16" t="s">
        <v>23</v>
      </c>
      <c r="C4" s="90" t="s">
        <v>103</v>
      </c>
      <c r="D4" s="90" t="s">
        <v>104</v>
      </c>
      <c r="E4" s="90" t="s">
        <v>105</v>
      </c>
      <c r="F4" s="91" t="s">
        <v>24</v>
      </c>
      <c r="G4" s="17" t="s">
        <v>48</v>
      </c>
      <c r="H4" s="17" t="s">
        <v>49</v>
      </c>
      <c r="I4" s="17" t="s">
        <v>50</v>
      </c>
      <c r="J4" s="16" t="s">
        <v>24</v>
      </c>
    </row>
    <row r="5" spans="1:10" x14ac:dyDescent="0.25">
      <c r="A5" t="s">
        <v>28</v>
      </c>
      <c r="B5" t="s">
        <v>5</v>
      </c>
      <c r="C5" s="15">
        <v>3369784.26</v>
      </c>
      <c r="D5" s="15">
        <f>aruanne!E6</f>
        <v>3369784.26</v>
      </c>
      <c r="E5" s="15">
        <f t="shared" ref="E5:E12" si="0">C5-D5</f>
        <v>0</v>
      </c>
      <c r="G5" s="29">
        <v>3884146.31</v>
      </c>
      <c r="H5" s="13">
        <f>aruanne!F6</f>
        <v>3884146.31</v>
      </c>
      <c r="I5" s="13">
        <f t="shared" ref="I5:I12" si="1">G5-H5</f>
        <v>0</v>
      </c>
    </row>
    <row r="6" spans="1:10" x14ac:dyDescent="0.25">
      <c r="A6" t="s">
        <v>28</v>
      </c>
      <c r="B6" t="s">
        <v>4</v>
      </c>
      <c r="C6" s="15">
        <v>68072126.709999993</v>
      </c>
      <c r="D6" s="15">
        <f>aruanne!E7+aruanne!E60+aruanne!E61+aruanne!E59</f>
        <v>68072126.710000008</v>
      </c>
      <c r="E6" s="15">
        <f t="shared" si="0"/>
        <v>0</v>
      </c>
      <c r="G6" s="29">
        <v>10229315.57</v>
      </c>
      <c r="H6" s="13">
        <f>aruanne!F7+aruanne!F60+aruanne!F61+aruanne!F59</f>
        <v>10229315.570000002</v>
      </c>
      <c r="I6" s="13">
        <f t="shared" si="1"/>
        <v>0</v>
      </c>
    </row>
    <row r="7" spans="1:10" x14ac:dyDescent="0.25">
      <c r="A7" t="s">
        <v>28</v>
      </c>
      <c r="B7" t="s">
        <v>53</v>
      </c>
      <c r="C7" s="15">
        <v>412555.28</v>
      </c>
      <c r="D7" s="15">
        <f>aruanne!E8</f>
        <v>412555.28</v>
      </c>
      <c r="E7" s="15">
        <f t="shared" si="0"/>
        <v>0</v>
      </c>
      <c r="G7" s="29">
        <v>543433</v>
      </c>
      <c r="H7" s="13">
        <f>aruanne!F8</f>
        <v>543433</v>
      </c>
      <c r="I7" s="13">
        <f t="shared" si="1"/>
        <v>0</v>
      </c>
    </row>
    <row r="8" spans="1:10" x14ac:dyDescent="0.25">
      <c r="A8" t="s">
        <v>28</v>
      </c>
      <c r="B8" t="s">
        <v>55</v>
      </c>
      <c r="C8" s="15">
        <v>1272022.33</v>
      </c>
      <c r="D8" s="15">
        <f>aruanne!E9</f>
        <v>1272022.33</v>
      </c>
      <c r="E8" s="15">
        <f t="shared" si="0"/>
        <v>0</v>
      </c>
      <c r="G8" s="29">
        <v>210203.27</v>
      </c>
      <c r="H8" s="13">
        <f>aruanne!F9</f>
        <v>210203.27</v>
      </c>
      <c r="I8" s="13">
        <f t="shared" si="1"/>
        <v>0</v>
      </c>
    </row>
    <row r="9" spans="1:10" x14ac:dyDescent="0.25">
      <c r="A9" t="s">
        <v>28</v>
      </c>
      <c r="B9" t="s">
        <v>45</v>
      </c>
      <c r="C9" s="15">
        <f>22662.95+232770.24</f>
        <v>255433.19</v>
      </c>
      <c r="D9" s="15">
        <f>aruanne!E10</f>
        <v>255433.19</v>
      </c>
      <c r="E9" s="15">
        <f t="shared" si="0"/>
        <v>0</v>
      </c>
      <c r="G9" s="29">
        <v>49351.93</v>
      </c>
      <c r="H9" s="13">
        <f>aruanne!F10</f>
        <v>49351.93</v>
      </c>
      <c r="I9" s="13">
        <f t="shared" si="1"/>
        <v>0</v>
      </c>
    </row>
    <row r="10" spans="1:10" x14ac:dyDescent="0.25">
      <c r="A10" t="s">
        <v>28</v>
      </c>
      <c r="B10" t="s">
        <v>27</v>
      </c>
      <c r="C10" s="15">
        <v>0</v>
      </c>
      <c r="D10" s="15"/>
      <c r="E10" s="15">
        <f t="shared" si="0"/>
        <v>0</v>
      </c>
      <c r="G10" s="29"/>
      <c r="H10" s="13"/>
      <c r="I10" s="13">
        <f t="shared" si="1"/>
        <v>0</v>
      </c>
    </row>
    <row r="11" spans="1:10" x14ac:dyDescent="0.25">
      <c r="A11" t="s">
        <v>28</v>
      </c>
      <c r="B11" t="s">
        <v>25</v>
      </c>
      <c r="C11" s="15">
        <f>-33113.98+2670.67</f>
        <v>-30443.310000000005</v>
      </c>
      <c r="D11" s="15">
        <f>aruanne!E11</f>
        <v>-30443.31</v>
      </c>
      <c r="E11" s="15">
        <f t="shared" si="0"/>
        <v>0</v>
      </c>
      <c r="G11" s="29">
        <f>56087.08+2567.95</f>
        <v>58655.03</v>
      </c>
      <c r="H11" s="13">
        <f>aruanne!F11</f>
        <v>58655.03</v>
      </c>
      <c r="I11" s="13">
        <f t="shared" si="1"/>
        <v>0</v>
      </c>
    </row>
    <row r="12" spans="1:10" x14ac:dyDescent="0.25">
      <c r="A12" t="s">
        <v>28</v>
      </c>
      <c r="B12" t="s">
        <v>52</v>
      </c>
      <c r="C12" s="15">
        <f>-1085256460.89-C14-C17</f>
        <v>-964866480.43000007</v>
      </c>
      <c r="D12" s="15">
        <f>aruanne!E12+aruanne!E57+aruanne!E62+aruanne!E63-D14</f>
        <v>-964866479.68999994</v>
      </c>
      <c r="E12" s="15">
        <f t="shared" si="0"/>
        <v>-0.74000012874603271</v>
      </c>
      <c r="G12" s="29">
        <f>-733653881.71-G14-G17</f>
        <v>-659594713.08000004</v>
      </c>
      <c r="H12" s="13">
        <f>aruanne!F12+aruanne!F57+aruanne!F62+aruanne!F63-aruanne!F40</f>
        <v>-659594713.15000021</v>
      </c>
      <c r="I12" s="13">
        <f t="shared" si="1"/>
        <v>7.0000171661376953E-2</v>
      </c>
    </row>
    <row r="13" spans="1:10" x14ac:dyDescent="0.25">
      <c r="A13" t="s">
        <v>28</v>
      </c>
      <c r="B13" t="s">
        <v>26</v>
      </c>
      <c r="C13" s="15">
        <v>-28479813</v>
      </c>
      <c r="D13" s="15">
        <f>aruanne!E58</f>
        <v>-28479813</v>
      </c>
      <c r="E13" s="15">
        <f t="shared" ref="E13:E17" si="2">C13-D13</f>
        <v>0</v>
      </c>
      <c r="G13" s="29">
        <v>-29033093</v>
      </c>
      <c r="H13" s="13">
        <f>aruanne!F58</f>
        <v>-29033093</v>
      </c>
      <c r="I13" s="13">
        <f t="shared" ref="I13:I17" si="3">G13-H13</f>
        <v>0</v>
      </c>
    </row>
    <row r="14" spans="1:10" x14ac:dyDescent="0.25">
      <c r="A14" t="s">
        <v>28</v>
      </c>
      <c r="B14" s="18" t="s">
        <v>44</v>
      </c>
      <c r="C14" s="15">
        <f>-87144591.13</f>
        <v>-87144591.129999995</v>
      </c>
      <c r="D14" s="15">
        <f>aruanne!E40</f>
        <v>-87144591.129999995</v>
      </c>
      <c r="E14" s="15">
        <f>C14-D14</f>
        <v>0</v>
      </c>
      <c r="G14" s="29">
        <v>-47031653.619999997</v>
      </c>
      <c r="H14" s="13">
        <f>aruanne!F40</f>
        <v>-47031653.620000005</v>
      </c>
      <c r="I14" s="13">
        <f t="shared" si="3"/>
        <v>0</v>
      </c>
    </row>
    <row r="15" spans="1:10" x14ac:dyDescent="0.25">
      <c r="A15" t="s">
        <v>28</v>
      </c>
      <c r="B15" s="18" t="s">
        <v>15</v>
      </c>
      <c r="C15" s="29">
        <f>-389881392.37+5286324.33-2266119.07</f>
        <v>-386861187.11000001</v>
      </c>
      <c r="D15" s="15">
        <f>[1]aruanne!E399-[1]aruanne!E413</f>
        <v>-249472707.43000001</v>
      </c>
      <c r="E15" s="15">
        <f t="shared" si="2"/>
        <v>-137388479.68000001</v>
      </c>
      <c r="F15" s="15" t="s">
        <v>109</v>
      </c>
      <c r="G15" s="29">
        <f>-160416566.41+40804718.4-1439399.65-205608</f>
        <v>-121256855.66</v>
      </c>
      <c r="H15" s="13">
        <f>aruanne!F41-aruanne!F55</f>
        <v>-159716784.06</v>
      </c>
      <c r="I15" s="13">
        <f t="shared" si="3"/>
        <v>38459928.400000006</v>
      </c>
      <c r="J15" s="19" t="s">
        <v>108</v>
      </c>
    </row>
    <row r="16" spans="1:10" x14ac:dyDescent="0.25">
      <c r="A16" t="s">
        <v>28</v>
      </c>
      <c r="B16" t="s">
        <v>106</v>
      </c>
      <c r="C16" s="29">
        <f>142674804.01-5286324.33</f>
        <v>137388479.67999998</v>
      </c>
      <c r="D16" s="15">
        <v>0</v>
      </c>
      <c r="E16" s="15">
        <f t="shared" ref="E16" si="4">C16-D16</f>
        <v>137388479.67999998</v>
      </c>
      <c r="F16" s="15" t="s">
        <v>109</v>
      </c>
      <c r="G16" s="29">
        <f>-40804718.4+2344790</f>
        <v>-38459928.399999999</v>
      </c>
      <c r="H16" s="13">
        <v>0</v>
      </c>
      <c r="I16" s="13">
        <f t="shared" ref="I16" si="5">G16-H16</f>
        <v>-38459928.399999999</v>
      </c>
      <c r="J16" s="15" t="s">
        <v>108</v>
      </c>
    </row>
    <row r="17" spans="1:9" x14ac:dyDescent="0.25">
      <c r="A17" t="s">
        <v>28</v>
      </c>
      <c r="B17" t="s">
        <v>51</v>
      </c>
      <c r="C17" s="15">
        <v>-33245389.329999998</v>
      </c>
      <c r="D17" s="15">
        <f>aruanne!E55</f>
        <v>-33245389.329999998</v>
      </c>
      <c r="E17" s="15">
        <f t="shared" si="2"/>
        <v>0</v>
      </c>
      <c r="G17" s="29">
        <v>-27027515.010000002</v>
      </c>
      <c r="H17" s="13">
        <f>aruanne!F55</f>
        <v>-27027515.010000002</v>
      </c>
      <c r="I17" s="13">
        <f t="shared" si="3"/>
        <v>0</v>
      </c>
    </row>
    <row r="18" spans="1:9" x14ac:dyDescent="0.25">
      <c r="C18" s="89"/>
      <c r="D18" s="89"/>
      <c r="E18" s="89"/>
      <c r="F18" s="68"/>
    </row>
    <row r="19" spans="1:9" x14ac:dyDescent="0.25">
      <c r="C19" s="89"/>
      <c r="D19" s="89"/>
      <c r="E19" s="89"/>
      <c r="F19" s="68"/>
    </row>
  </sheetData>
  <autoFilter ref="A4:J1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pane xSplit="1" ySplit="4" topLeftCell="B7" activePane="bottomRight" state="frozen"/>
      <selection activeCell="A3" sqref="A3"/>
      <selection pane="topRight" activeCell="B3" sqref="B3"/>
      <selection pane="bottomLeft" activeCell="A7" sqref="A7"/>
      <selection pane="bottomRight" activeCell="A26" sqref="A26"/>
    </sheetView>
  </sheetViews>
  <sheetFormatPr defaultRowHeight="15" x14ac:dyDescent="0.25"/>
  <cols>
    <col min="1" max="1" width="63.140625" customWidth="1"/>
    <col min="2" max="2" width="18.5703125" customWidth="1"/>
    <col min="3" max="3" width="14.28515625" customWidth="1"/>
    <col min="4" max="4" width="28" customWidth="1"/>
  </cols>
  <sheetData>
    <row r="1" spans="1:4" x14ac:dyDescent="0.25">
      <c r="A1" s="9" t="s">
        <v>21</v>
      </c>
      <c r="D1" s="15"/>
    </row>
    <row r="2" spans="1:4" x14ac:dyDescent="0.25">
      <c r="A2" s="9" t="s">
        <v>29</v>
      </c>
      <c r="D2" s="15"/>
    </row>
    <row r="3" spans="1:4" x14ac:dyDescent="0.25">
      <c r="A3" s="20" t="s">
        <v>0</v>
      </c>
      <c r="D3" s="15"/>
    </row>
    <row r="4" spans="1:4" x14ac:dyDescent="0.25">
      <c r="A4" s="9"/>
      <c r="B4" s="10"/>
      <c r="C4" s="10"/>
      <c r="D4" s="15"/>
    </row>
    <row r="5" spans="1:4" x14ac:dyDescent="0.25">
      <c r="A5" s="9"/>
      <c r="B5">
        <v>9</v>
      </c>
      <c r="C5">
        <v>9</v>
      </c>
      <c r="D5" s="15"/>
    </row>
    <row r="6" spans="1:4" ht="25.5" x14ac:dyDescent="0.25">
      <c r="A6" s="21"/>
      <c r="B6" s="22" t="s">
        <v>30</v>
      </c>
      <c r="C6" s="22" t="s">
        <v>54</v>
      </c>
      <c r="D6" s="15"/>
    </row>
    <row r="7" spans="1:4" x14ac:dyDescent="0.25">
      <c r="A7" s="69" t="s">
        <v>31</v>
      </c>
      <c r="B7" s="92">
        <f>aruanne!C5</f>
        <v>16252531</v>
      </c>
      <c r="C7" s="92">
        <v>-1212587654</v>
      </c>
      <c r="D7" s="11"/>
    </row>
    <row r="8" spans="1:4" x14ac:dyDescent="0.25">
      <c r="A8" s="69" t="s">
        <v>32</v>
      </c>
      <c r="B8" s="92"/>
      <c r="C8" s="92">
        <v>-97949105.359999999</v>
      </c>
      <c r="D8" s="11"/>
    </row>
    <row r="9" spans="1:4" x14ac:dyDescent="0.25">
      <c r="A9" s="69" t="s">
        <v>100</v>
      </c>
      <c r="B9" s="92"/>
      <c r="C9" s="92">
        <v>-1590590</v>
      </c>
      <c r="D9" s="11"/>
    </row>
    <row r="10" spans="1:4" x14ac:dyDescent="0.25">
      <c r="A10" s="69" t="s">
        <v>101</v>
      </c>
      <c r="B10" s="92"/>
      <c r="C10" s="92">
        <v>-24865767</v>
      </c>
      <c r="D10" s="11"/>
    </row>
    <row r="11" spans="1:4" x14ac:dyDescent="0.25">
      <c r="A11" s="70" t="s">
        <v>33</v>
      </c>
      <c r="B11" s="92"/>
      <c r="C11" s="92">
        <v>-1870000</v>
      </c>
      <c r="D11" s="11"/>
    </row>
    <row r="12" spans="1:4" x14ac:dyDescent="0.25">
      <c r="A12" s="69" t="s">
        <v>34</v>
      </c>
      <c r="B12" s="92"/>
      <c r="C12" s="92">
        <v>11802017</v>
      </c>
      <c r="D12" s="11"/>
    </row>
    <row r="13" spans="1:4" x14ac:dyDescent="0.25">
      <c r="A13" s="69" t="s">
        <v>35</v>
      </c>
      <c r="B13" s="92"/>
      <c r="C13" s="92">
        <v>-119008509.84999999</v>
      </c>
      <c r="D13" s="23"/>
    </row>
    <row r="14" spans="1:4" x14ac:dyDescent="0.25">
      <c r="A14" s="69" t="s">
        <v>46</v>
      </c>
      <c r="B14" s="92"/>
      <c r="C14" s="92">
        <v>-149940.49</v>
      </c>
      <c r="D14" s="11"/>
    </row>
    <row r="15" spans="1:4" x14ac:dyDescent="0.25">
      <c r="A15" s="69" t="s">
        <v>36</v>
      </c>
      <c r="B15" s="92"/>
      <c r="C15" s="92">
        <v>24462189</v>
      </c>
      <c r="D15" s="11"/>
    </row>
    <row r="16" spans="1:4" x14ac:dyDescent="0.25">
      <c r="A16" s="69" t="s">
        <v>37</v>
      </c>
      <c r="B16" s="92"/>
      <c r="C16" s="92">
        <v>-9444357</v>
      </c>
    </row>
    <row r="17" spans="1:4" x14ac:dyDescent="0.25">
      <c r="A17" s="69" t="s">
        <v>38</v>
      </c>
      <c r="B17" s="92"/>
      <c r="C17" s="92">
        <v>31000</v>
      </c>
    </row>
    <row r="18" spans="1:4" x14ac:dyDescent="0.25">
      <c r="A18" s="69" t="s">
        <v>39</v>
      </c>
      <c r="B18" s="92"/>
      <c r="C18" s="92">
        <v>-267758.69</v>
      </c>
    </row>
    <row r="19" spans="1:4" x14ac:dyDescent="0.25">
      <c r="A19" s="69" t="s">
        <v>40</v>
      </c>
      <c r="B19" s="92"/>
      <c r="C19" s="92">
        <f>17660000+1750000</f>
        <v>19410000</v>
      </c>
    </row>
    <row r="20" spans="1:4" x14ac:dyDescent="0.25">
      <c r="A20" s="69" t="s">
        <v>102</v>
      </c>
      <c r="B20" s="92"/>
      <c r="C20" s="92">
        <v>-11042533</v>
      </c>
    </row>
    <row r="21" spans="1:4" x14ac:dyDescent="0.25">
      <c r="A21" s="69" t="s">
        <v>41</v>
      </c>
      <c r="B21" s="92"/>
      <c r="C21" s="92">
        <v>-1421005</v>
      </c>
      <c r="D21" s="11"/>
    </row>
    <row r="22" spans="1:4" x14ac:dyDescent="0.25">
      <c r="A22" s="24" t="s">
        <v>42</v>
      </c>
      <c r="B22" s="25">
        <f>SUM(B7:B21)</f>
        <v>16252531</v>
      </c>
      <c r="C22" s="25">
        <f>SUM(C7:C21)</f>
        <v>-1424492014.3899999</v>
      </c>
    </row>
    <row r="23" spans="1:4" x14ac:dyDescent="0.25">
      <c r="A23" s="77" t="s">
        <v>107</v>
      </c>
      <c r="B23" s="27">
        <f>aruanne!D5</f>
        <v>16252531</v>
      </c>
      <c r="C23" s="27">
        <f>aruanne!D12+aruanne!D41</f>
        <v>-1424492014.436003</v>
      </c>
      <c r="D23" s="15"/>
    </row>
    <row r="24" spans="1:4" x14ac:dyDescent="0.25">
      <c r="A24" s="26"/>
      <c r="B24" s="26">
        <f t="shared" ref="B24" si="0">B22-B23</f>
        <v>0</v>
      </c>
      <c r="C24" s="26">
        <f>C22-C23</f>
        <v>4.6003103256225586E-2</v>
      </c>
      <c r="D24" s="26"/>
    </row>
    <row r="25" spans="1:4" x14ac:dyDescent="0.25">
      <c r="C2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aruanne</vt:lpstr>
      <vt:lpstr>vordlus</vt:lpstr>
      <vt:lpstr>lisa1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Juta Maar</dc:creator>
  <cp:lastModifiedBy>Inga Urke</cp:lastModifiedBy>
  <dcterms:created xsi:type="dcterms:W3CDTF">2022-02-14T16:37:54Z</dcterms:created>
  <dcterms:modified xsi:type="dcterms:W3CDTF">2024-06-21T08:39:00Z</dcterms:modified>
  <dc:title>KaM valitsemisala riigieelarve täitmise aruanne 2023</dc:title>
</cp:coreProperties>
</file>