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ht\Desktop\Auditid\Audit 2023\"/>
    </mc:Choice>
  </mc:AlternateContent>
  <xr:revisionPtr revIDLastSave="0" documentId="8_{B4AFCC68-CE3F-4C4B-B7DC-A1A750898530}" xr6:coauthVersionLast="47" xr6:coauthVersionMax="47" xr10:uidLastSave="{00000000-0000-0000-0000-000000000000}"/>
  <bookViews>
    <workbookView xWindow="-120" yWindow="-120" windowWidth="38640" windowHeight="21240" xr2:uid="{4D1749CD-7348-40E3-9063-2FA36ECE44CB}"/>
  </bookViews>
  <sheets>
    <sheet name="aruanne" sheetId="1" r:id="rId1"/>
    <sheet name="vordlus" sheetId="2" r:id="rId2"/>
    <sheet name="lisa1" sheetId="4" r:id="rId3"/>
  </sheets>
  <definedNames>
    <definedName name="_xlnm._FilterDatabase" localSheetId="1" hidden="1">vordlus!$A$4:$J$22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17" i="4"/>
  <c r="C19" i="4"/>
  <c r="C20" i="4"/>
  <c r="C21" i="4"/>
  <c r="E19" i="1" l="1"/>
  <c r="C19" i="1"/>
  <c r="N117" i="1" l="1"/>
  <c r="N113" i="1"/>
  <c r="N103" i="1"/>
  <c r="N102" i="1"/>
  <c r="N97" i="1"/>
  <c r="N96" i="1"/>
  <c r="N91" i="1"/>
  <c r="N90" i="1"/>
  <c r="N89" i="1"/>
  <c r="N88" i="1"/>
  <c r="N87" i="1"/>
  <c r="N86" i="1"/>
  <c r="N81" i="1"/>
  <c r="N80" i="1"/>
  <c r="N79" i="1"/>
  <c r="N78" i="1"/>
  <c r="N73" i="1"/>
  <c r="N72" i="1"/>
  <c r="N59" i="1"/>
  <c r="N58" i="1"/>
  <c r="N57" i="1"/>
  <c r="N56" i="1"/>
  <c r="N55" i="1"/>
  <c r="N54" i="1"/>
  <c r="N53" i="1"/>
  <c r="N52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3" i="1"/>
  <c r="N32" i="1"/>
  <c r="N31" i="1"/>
  <c r="N29" i="1"/>
  <c r="N28" i="1"/>
  <c r="N27" i="1"/>
  <c r="N26" i="1"/>
  <c r="N25" i="1"/>
  <c r="N24" i="1"/>
  <c r="N21" i="1"/>
  <c r="N20" i="1"/>
  <c r="E18" i="1"/>
  <c r="C18" i="1"/>
  <c r="D97" i="1"/>
  <c r="D96" i="1"/>
  <c r="D67" i="1"/>
  <c r="D66" i="1"/>
  <c r="D105" i="1" l="1"/>
  <c r="D107" i="1"/>
  <c r="E12" i="1" l="1"/>
  <c r="C14" i="2"/>
  <c r="C12" i="2"/>
  <c r="E13" i="1"/>
  <c r="C11" i="2"/>
  <c r="E120" i="1"/>
  <c r="E9" i="1"/>
  <c r="E8" i="1"/>
  <c r="E7" i="1"/>
  <c r="E110" i="1" l="1"/>
  <c r="D21" i="2" s="1"/>
  <c r="C21" i="2"/>
  <c r="C22" i="2"/>
  <c r="E112" i="1"/>
  <c r="D22" i="2" s="1"/>
  <c r="M117" i="1"/>
  <c r="C18" i="2"/>
  <c r="C13" i="2"/>
  <c r="E105" i="1"/>
  <c r="D104" i="1"/>
  <c r="C3" i="2" l="1"/>
  <c r="D106" i="1" l="1"/>
  <c r="G113" i="1" l="1"/>
  <c r="O113" i="1" s="1"/>
  <c r="G112" i="1"/>
  <c r="G111" i="1"/>
  <c r="O111" i="1" s="1"/>
  <c r="G110" i="1"/>
  <c r="F109" i="1"/>
  <c r="E109" i="1"/>
  <c r="D109" i="1"/>
  <c r="E108" i="1"/>
  <c r="D108" i="1"/>
  <c r="D28" i="4" s="1"/>
  <c r="C109" i="1"/>
  <c r="C108" i="1"/>
  <c r="D7" i="4" s="1"/>
  <c r="D27" i="4" s="1"/>
  <c r="F112" i="1"/>
  <c r="N112" i="1" s="1"/>
  <c r="M113" i="1"/>
  <c r="K113" i="1"/>
  <c r="M112" i="1"/>
  <c r="K112" i="1"/>
  <c r="L112" i="1"/>
  <c r="N111" i="1"/>
  <c r="M111" i="1"/>
  <c r="L111" i="1"/>
  <c r="K111" i="1"/>
  <c r="N110" i="1"/>
  <c r="M110" i="1"/>
  <c r="L110" i="1"/>
  <c r="K110" i="1"/>
  <c r="F101" i="1"/>
  <c r="N101" i="1" s="1"/>
  <c r="E101" i="1"/>
  <c r="E99" i="1" s="1"/>
  <c r="M99" i="1" s="1"/>
  <c r="D101" i="1"/>
  <c r="L101" i="1" s="1"/>
  <c r="F100" i="1"/>
  <c r="N100" i="1" s="1"/>
  <c r="E100" i="1"/>
  <c r="M100" i="1" s="1"/>
  <c r="D100" i="1"/>
  <c r="D98" i="1" s="1"/>
  <c r="C101" i="1"/>
  <c r="C99" i="1" s="1"/>
  <c r="K99" i="1" s="1"/>
  <c r="C100" i="1"/>
  <c r="C98" i="1" s="1"/>
  <c r="K98" i="1" s="1"/>
  <c r="M103" i="1"/>
  <c r="K103" i="1"/>
  <c r="M102" i="1"/>
  <c r="K102" i="1"/>
  <c r="L102" i="1"/>
  <c r="F95" i="1"/>
  <c r="F93" i="1" s="1"/>
  <c r="N93" i="1" s="1"/>
  <c r="E95" i="1"/>
  <c r="E93" i="1" s="1"/>
  <c r="M93" i="1" s="1"/>
  <c r="D95" i="1"/>
  <c r="D93" i="1" s="1"/>
  <c r="F94" i="1"/>
  <c r="F92" i="1" s="1"/>
  <c r="N92" i="1" s="1"/>
  <c r="E94" i="1"/>
  <c r="M94" i="1" s="1"/>
  <c r="C95" i="1"/>
  <c r="C93" i="1" s="1"/>
  <c r="K93" i="1" s="1"/>
  <c r="C94" i="1"/>
  <c r="C92" i="1" s="1"/>
  <c r="K92" i="1" s="1"/>
  <c r="M97" i="1"/>
  <c r="K97" i="1"/>
  <c r="M96" i="1"/>
  <c r="K96" i="1"/>
  <c r="L96" i="1"/>
  <c r="F85" i="1"/>
  <c r="F83" i="1" s="1"/>
  <c r="E85" i="1"/>
  <c r="E83" i="1" s="1"/>
  <c r="M83" i="1" s="1"/>
  <c r="F84" i="1"/>
  <c r="F82" i="1" s="1"/>
  <c r="E84" i="1"/>
  <c r="E82" i="1" s="1"/>
  <c r="M82" i="1" s="1"/>
  <c r="C85" i="1"/>
  <c r="K85" i="1" s="1"/>
  <c r="C84" i="1"/>
  <c r="K84" i="1" s="1"/>
  <c r="M91" i="1"/>
  <c r="K91" i="1"/>
  <c r="G91" i="1"/>
  <c r="O91" i="1" s="1"/>
  <c r="M90" i="1"/>
  <c r="K90" i="1"/>
  <c r="L90" i="1"/>
  <c r="M89" i="1"/>
  <c r="K89" i="1"/>
  <c r="G89" i="1"/>
  <c r="O89" i="1" s="1"/>
  <c r="M88" i="1"/>
  <c r="K88" i="1"/>
  <c r="L88" i="1"/>
  <c r="M87" i="1"/>
  <c r="K87" i="1"/>
  <c r="L87" i="1"/>
  <c r="M86" i="1"/>
  <c r="K86" i="1"/>
  <c r="L86" i="1"/>
  <c r="L81" i="1"/>
  <c r="G79" i="1"/>
  <c r="F77" i="1"/>
  <c r="F75" i="1" s="1"/>
  <c r="N75" i="1" s="1"/>
  <c r="E77" i="1"/>
  <c r="E75" i="1" s="1"/>
  <c r="M75" i="1" s="1"/>
  <c r="F76" i="1"/>
  <c r="N76" i="1" s="1"/>
  <c r="E76" i="1"/>
  <c r="M76" i="1" s="1"/>
  <c r="C77" i="1"/>
  <c r="K77" i="1" s="1"/>
  <c r="C76" i="1"/>
  <c r="K76" i="1" s="1"/>
  <c r="M81" i="1"/>
  <c r="K81" i="1"/>
  <c r="M80" i="1"/>
  <c r="K80" i="1"/>
  <c r="L80" i="1"/>
  <c r="M79" i="1"/>
  <c r="K79" i="1"/>
  <c r="M78" i="1"/>
  <c r="K78" i="1"/>
  <c r="L78" i="1"/>
  <c r="F71" i="1"/>
  <c r="F69" i="1" s="1"/>
  <c r="N69" i="1" s="1"/>
  <c r="E71" i="1"/>
  <c r="E69" i="1" s="1"/>
  <c r="M69" i="1" s="1"/>
  <c r="D71" i="1"/>
  <c r="L71" i="1" s="1"/>
  <c r="F70" i="1"/>
  <c r="F68" i="1" s="1"/>
  <c r="N68" i="1" s="1"/>
  <c r="E70" i="1"/>
  <c r="M70" i="1" s="1"/>
  <c r="D70" i="1"/>
  <c r="D68" i="1" s="1"/>
  <c r="L68" i="1" s="1"/>
  <c r="C71" i="1"/>
  <c r="C69" i="1" s="1"/>
  <c r="K69" i="1" s="1"/>
  <c r="C70" i="1"/>
  <c r="K70" i="1" s="1"/>
  <c r="M73" i="1"/>
  <c r="K73" i="1"/>
  <c r="M72" i="1"/>
  <c r="K72" i="1"/>
  <c r="L72" i="1"/>
  <c r="F65" i="1"/>
  <c r="F63" i="1" s="1"/>
  <c r="E65" i="1"/>
  <c r="M65" i="1" s="1"/>
  <c r="F64" i="1"/>
  <c r="F62" i="1" s="1"/>
  <c r="E64" i="1"/>
  <c r="M64" i="1" s="1"/>
  <c r="D64" i="1"/>
  <c r="D62" i="1" s="1"/>
  <c r="C65" i="1"/>
  <c r="K65" i="1" s="1"/>
  <c r="C64" i="1"/>
  <c r="K64" i="1" s="1"/>
  <c r="N67" i="1"/>
  <c r="M67" i="1"/>
  <c r="K67" i="1"/>
  <c r="L67" i="1"/>
  <c r="N66" i="1"/>
  <c r="M66" i="1"/>
  <c r="K66" i="1"/>
  <c r="L66" i="1"/>
  <c r="G61" i="1"/>
  <c r="O61" i="1" s="1"/>
  <c r="G60" i="1"/>
  <c r="F51" i="1"/>
  <c r="E51" i="1"/>
  <c r="F50" i="1"/>
  <c r="E50" i="1"/>
  <c r="C51" i="1"/>
  <c r="C50" i="1"/>
  <c r="N61" i="1"/>
  <c r="M61" i="1"/>
  <c r="K61" i="1"/>
  <c r="N60" i="1"/>
  <c r="M60" i="1"/>
  <c r="K60" i="1"/>
  <c r="D8" i="1"/>
  <c r="D13" i="1"/>
  <c r="D12" i="1"/>
  <c r="D9" i="1"/>
  <c r="D7" i="1"/>
  <c r="D6" i="1"/>
  <c r="G108" i="1" l="1"/>
  <c r="F108" i="1"/>
  <c r="H22" i="2"/>
  <c r="G109" i="1"/>
  <c r="M95" i="1"/>
  <c r="O110" i="1"/>
  <c r="M101" i="1"/>
  <c r="D29" i="4"/>
  <c r="M77" i="1"/>
  <c r="O112" i="1"/>
  <c r="L113" i="1"/>
  <c r="K94" i="1"/>
  <c r="K100" i="1"/>
  <c r="C68" i="1"/>
  <c r="K68" i="1" s="1"/>
  <c r="D99" i="1"/>
  <c r="L99" i="1" s="1"/>
  <c r="F99" i="1"/>
  <c r="N99" i="1" s="1"/>
  <c r="K95" i="1"/>
  <c r="K101" i="1"/>
  <c r="N95" i="1"/>
  <c r="F98" i="1"/>
  <c r="N98" i="1" s="1"/>
  <c r="C62" i="1"/>
  <c r="K62" i="1" s="1"/>
  <c r="E98" i="1"/>
  <c r="M98" i="1" s="1"/>
  <c r="G103" i="1"/>
  <c r="G101" i="1" s="1"/>
  <c r="G99" i="1" s="1"/>
  <c r="L98" i="1"/>
  <c r="L100" i="1"/>
  <c r="G102" i="1"/>
  <c r="G100" i="1" s="1"/>
  <c r="G98" i="1" s="1"/>
  <c r="L103" i="1"/>
  <c r="M71" i="1"/>
  <c r="N71" i="1"/>
  <c r="N77" i="1"/>
  <c r="D94" i="1"/>
  <c r="E92" i="1"/>
  <c r="M92" i="1" s="1"/>
  <c r="N94" i="1"/>
  <c r="L93" i="1"/>
  <c r="L95" i="1"/>
  <c r="G97" i="1"/>
  <c r="G95" i="1" s="1"/>
  <c r="G93" i="1" s="1"/>
  <c r="G96" i="1"/>
  <c r="G94" i="1" s="1"/>
  <c r="G92" i="1" s="1"/>
  <c r="L97" i="1"/>
  <c r="D85" i="1"/>
  <c r="D83" i="1" s="1"/>
  <c r="C83" i="1"/>
  <c r="K83" i="1" s="1"/>
  <c r="D84" i="1"/>
  <c r="D82" i="1" s="1"/>
  <c r="G86" i="1"/>
  <c r="C82" i="1"/>
  <c r="K82" i="1" s="1"/>
  <c r="M85" i="1"/>
  <c r="G90" i="1"/>
  <c r="O90" i="1" s="1"/>
  <c r="L91" i="1"/>
  <c r="M84" i="1"/>
  <c r="N83" i="1"/>
  <c r="N85" i="1"/>
  <c r="N84" i="1"/>
  <c r="N82" i="1"/>
  <c r="G88" i="1"/>
  <c r="G87" i="1"/>
  <c r="G85" i="1" s="1"/>
  <c r="G83" i="1" s="1"/>
  <c r="L89" i="1"/>
  <c r="E68" i="1"/>
  <c r="M68" i="1" s="1"/>
  <c r="D69" i="1"/>
  <c r="C63" i="1"/>
  <c r="K63" i="1" s="1"/>
  <c r="C75" i="1"/>
  <c r="K75" i="1" s="1"/>
  <c r="D76" i="1"/>
  <c r="D74" i="1" s="1"/>
  <c r="L74" i="1" s="1"/>
  <c r="L79" i="1"/>
  <c r="D77" i="1"/>
  <c r="D75" i="1" s="1"/>
  <c r="L75" i="1" s="1"/>
  <c r="C74" i="1"/>
  <c r="K74" i="1" s="1"/>
  <c r="E74" i="1"/>
  <c r="M74" i="1" s="1"/>
  <c r="F74" i="1"/>
  <c r="N74" i="1" s="1"/>
  <c r="O79" i="1"/>
  <c r="G78" i="1"/>
  <c r="G81" i="1"/>
  <c r="O81" i="1" s="1"/>
  <c r="G80" i="1"/>
  <c r="O80" i="1" s="1"/>
  <c r="N70" i="1"/>
  <c r="D65" i="1"/>
  <c r="D63" i="1" s="1"/>
  <c r="E63" i="1"/>
  <c r="M63" i="1" s="1"/>
  <c r="K71" i="1"/>
  <c r="G73" i="1"/>
  <c r="G71" i="1" s="1"/>
  <c r="G69" i="1" s="1"/>
  <c r="O69" i="1" s="1"/>
  <c r="L70" i="1"/>
  <c r="G72" i="1"/>
  <c r="G70" i="1" s="1"/>
  <c r="G68" i="1" s="1"/>
  <c r="L73" i="1"/>
  <c r="E62" i="1"/>
  <c r="M62" i="1" s="1"/>
  <c r="G66" i="1"/>
  <c r="G64" i="1" s="1"/>
  <c r="G62" i="1" s="1"/>
  <c r="G67" i="1"/>
  <c r="G65" i="1" s="1"/>
  <c r="G63" i="1" s="1"/>
  <c r="O60" i="1"/>
  <c r="L61" i="1"/>
  <c r="L60" i="1"/>
  <c r="O102" i="1" l="1"/>
  <c r="O100" i="1"/>
  <c r="O98" i="1"/>
  <c r="O103" i="1"/>
  <c r="O99" i="1"/>
  <c r="O101" i="1"/>
  <c r="D92" i="1"/>
  <c r="L92" i="1" s="1"/>
  <c r="L94" i="1"/>
  <c r="O96" i="1"/>
  <c r="O97" i="1"/>
  <c r="G84" i="1"/>
  <c r="G82" i="1" s="1"/>
  <c r="O86" i="1"/>
  <c r="O87" i="1"/>
  <c r="L85" i="1"/>
  <c r="L83" i="1"/>
  <c r="O88" i="1"/>
  <c r="L82" i="1"/>
  <c r="L84" i="1"/>
  <c r="L77" i="1"/>
  <c r="L76" i="1"/>
  <c r="G77" i="1"/>
  <c r="G75" i="1" s="1"/>
  <c r="O75" i="1" s="1"/>
  <c r="G76" i="1"/>
  <c r="G74" i="1" s="1"/>
  <c r="O74" i="1" s="1"/>
  <c r="O78" i="1"/>
  <c r="O73" i="1"/>
  <c r="O71" i="1"/>
  <c r="O68" i="1"/>
  <c r="O70" i="1"/>
  <c r="O72" i="1"/>
  <c r="L69" i="1"/>
  <c r="O67" i="1"/>
  <c r="O66" i="1"/>
  <c r="O76" i="1" l="1"/>
  <c r="O93" i="1"/>
  <c r="O95" i="1"/>
  <c r="O92" i="1"/>
  <c r="O94" i="1"/>
  <c r="O82" i="1"/>
  <c r="O84" i="1"/>
  <c r="O83" i="1"/>
  <c r="O85" i="1"/>
  <c r="O77" i="1"/>
  <c r="F23" i="1" l="1"/>
  <c r="F22" i="1"/>
  <c r="N22" i="1" s="1"/>
  <c r="N23" i="1" l="1"/>
  <c r="D49" i="1" l="1"/>
  <c r="D19" i="1" s="1"/>
  <c r="D48" i="1"/>
  <c r="D18" i="1" s="1"/>
  <c r="F120" i="1"/>
  <c r="F114" i="1" s="1"/>
  <c r="F105" i="1"/>
  <c r="F35" i="1"/>
  <c r="F19" i="1" s="1"/>
  <c r="F34" i="1"/>
  <c r="N34" i="1" s="1"/>
  <c r="F30" i="1"/>
  <c r="F13" i="1"/>
  <c r="F12" i="1"/>
  <c r="F9" i="1"/>
  <c r="F8" i="1"/>
  <c r="F7" i="1"/>
  <c r="F18" i="1" l="1"/>
  <c r="F16" i="1" s="1"/>
  <c r="F14" i="1" s="1"/>
  <c r="N30" i="1"/>
  <c r="N35" i="1"/>
  <c r="N62" i="1"/>
  <c r="N65" i="1"/>
  <c r="L63" i="1"/>
  <c r="L64" i="1"/>
  <c r="N64" i="1"/>
  <c r="N63" i="1"/>
  <c r="D51" i="1"/>
  <c r="D50" i="1"/>
  <c r="F17" i="1"/>
  <c r="F15" i="1" s="1"/>
  <c r="G22" i="2" l="1"/>
  <c r="G18" i="2"/>
  <c r="G14" i="2"/>
  <c r="G13" i="2"/>
  <c r="G11" i="2"/>
  <c r="E22" i="2" l="1"/>
  <c r="E21" i="2"/>
  <c r="E19" i="2"/>
  <c r="E16" i="2"/>
  <c r="E15" i="2"/>
  <c r="E12" i="2"/>
  <c r="N109" i="1" l="1"/>
  <c r="M109" i="1"/>
  <c r="K109" i="1"/>
  <c r="N108" i="1"/>
  <c r="M108" i="1"/>
  <c r="K108" i="1"/>
  <c r="N107" i="1"/>
  <c r="M107" i="1"/>
  <c r="K107" i="1"/>
  <c r="N106" i="1"/>
  <c r="M106" i="1"/>
  <c r="K106" i="1"/>
  <c r="M105" i="1"/>
  <c r="L105" i="1"/>
  <c r="K105" i="1"/>
  <c r="N104" i="1"/>
  <c r="M104" i="1"/>
  <c r="L104" i="1"/>
  <c r="K104" i="1"/>
  <c r="M59" i="1"/>
  <c r="L59" i="1"/>
  <c r="K59" i="1"/>
  <c r="M58" i="1"/>
  <c r="L58" i="1"/>
  <c r="K58" i="1"/>
  <c r="M57" i="1"/>
  <c r="L57" i="1"/>
  <c r="K57" i="1"/>
  <c r="M56" i="1"/>
  <c r="L56" i="1"/>
  <c r="K56" i="1"/>
  <c r="M55" i="1"/>
  <c r="L55" i="1"/>
  <c r="K55" i="1"/>
  <c r="M54" i="1"/>
  <c r="L54" i="1"/>
  <c r="K54" i="1"/>
  <c r="M53" i="1"/>
  <c r="L53" i="1"/>
  <c r="K53" i="1"/>
  <c r="N50" i="1"/>
  <c r="M49" i="1"/>
  <c r="L49" i="1"/>
  <c r="K49" i="1"/>
  <c r="M48" i="1"/>
  <c r="L48" i="1"/>
  <c r="K48" i="1"/>
  <c r="M47" i="1"/>
  <c r="L47" i="1"/>
  <c r="K47" i="1"/>
  <c r="M46" i="1"/>
  <c r="L46" i="1"/>
  <c r="K46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3" i="1"/>
  <c r="K13" i="1"/>
  <c r="M12" i="1"/>
  <c r="K12" i="1"/>
  <c r="N11" i="1"/>
  <c r="M11" i="1"/>
  <c r="K11" i="1"/>
  <c r="N10" i="1"/>
  <c r="M10" i="1"/>
  <c r="K10" i="1"/>
  <c r="N9" i="1"/>
  <c r="M9" i="1"/>
  <c r="K9" i="1"/>
  <c r="M8" i="1"/>
  <c r="K8" i="1"/>
  <c r="M7" i="1"/>
  <c r="K7" i="1"/>
  <c r="N6" i="1"/>
  <c r="M6" i="1"/>
  <c r="K6" i="1"/>
  <c r="G105" i="1" l="1"/>
  <c r="G104" i="1"/>
  <c r="G59" i="1"/>
  <c r="O59" i="1" s="1"/>
  <c r="G58" i="1"/>
  <c r="O58" i="1" s="1"/>
  <c r="G57" i="1"/>
  <c r="G56" i="1"/>
  <c r="O56" i="1" s="1"/>
  <c r="G55" i="1"/>
  <c r="O55" i="1" s="1"/>
  <c r="G54" i="1"/>
  <c r="O54" i="1" s="1"/>
  <c r="G53" i="1"/>
  <c r="G52" i="1"/>
  <c r="G49" i="1"/>
  <c r="O49" i="1" s="1"/>
  <c r="G48" i="1"/>
  <c r="O48" i="1" s="1"/>
  <c r="G47" i="1"/>
  <c r="O47" i="1" s="1"/>
  <c r="G46" i="1"/>
  <c r="O46" i="1" s="1"/>
  <c r="G45" i="1"/>
  <c r="O45" i="1" s="1"/>
  <c r="G44" i="1"/>
  <c r="O44" i="1" s="1"/>
  <c r="G43" i="1"/>
  <c r="O43" i="1" s="1"/>
  <c r="G42" i="1"/>
  <c r="G41" i="1"/>
  <c r="O41" i="1" s="1"/>
  <c r="G40" i="1"/>
  <c r="O40" i="1" s="1"/>
  <c r="G39" i="1"/>
  <c r="O39" i="1" s="1"/>
  <c r="G38" i="1"/>
  <c r="O38" i="1" s="1"/>
  <c r="G37" i="1"/>
  <c r="O37" i="1" s="1"/>
  <c r="G36" i="1"/>
  <c r="O36" i="1" s="1"/>
  <c r="G35" i="1"/>
  <c r="O35" i="1" s="1"/>
  <c r="G34" i="1"/>
  <c r="O34" i="1" s="1"/>
  <c r="G33" i="1"/>
  <c r="O33" i="1" s="1"/>
  <c r="G32" i="1"/>
  <c r="O32" i="1" s="1"/>
  <c r="G31" i="1"/>
  <c r="O31" i="1" s="1"/>
  <c r="G30" i="1"/>
  <c r="O30" i="1" s="1"/>
  <c r="G29" i="1"/>
  <c r="O29" i="1" s="1"/>
  <c r="G28" i="1"/>
  <c r="O28" i="1" s="1"/>
  <c r="G27" i="1"/>
  <c r="O27" i="1" s="1"/>
  <c r="G26" i="1"/>
  <c r="O26" i="1" s="1"/>
  <c r="G25" i="1"/>
  <c r="O25" i="1" s="1"/>
  <c r="G24" i="1"/>
  <c r="O24" i="1" s="1"/>
  <c r="G23" i="1"/>
  <c r="O23" i="1" s="1"/>
  <c r="G22" i="1"/>
  <c r="O22" i="1" s="1"/>
  <c r="G21" i="1"/>
  <c r="G20" i="1"/>
  <c r="D11" i="1"/>
  <c r="D10" i="1"/>
  <c r="D10" i="2"/>
  <c r="E10" i="2" s="1"/>
  <c r="H10" i="2"/>
  <c r="I10" i="2" s="1"/>
  <c r="N12" i="1"/>
  <c r="O42" i="1" l="1"/>
  <c r="G18" i="1"/>
  <c r="G19" i="1"/>
  <c r="O21" i="1"/>
  <c r="O20" i="1"/>
  <c r="O104" i="1"/>
  <c r="O57" i="1"/>
  <c r="O105" i="1"/>
  <c r="L62" i="1"/>
  <c r="L65" i="1"/>
  <c r="G50" i="1"/>
  <c r="O53" i="1"/>
  <c r="G51" i="1"/>
  <c r="G13" i="1"/>
  <c r="O13" i="1" s="1"/>
  <c r="L13" i="1"/>
  <c r="G106" i="1"/>
  <c r="O106" i="1" s="1"/>
  <c r="L106" i="1"/>
  <c r="G107" i="1"/>
  <c r="O107" i="1" s="1"/>
  <c r="L107" i="1"/>
  <c r="G9" i="1"/>
  <c r="O9" i="1" s="1"/>
  <c r="L9" i="1"/>
  <c r="G7" i="1"/>
  <c r="O7" i="1" s="1"/>
  <c r="L7" i="1"/>
  <c r="O109" i="1"/>
  <c r="L109" i="1"/>
  <c r="G6" i="1"/>
  <c r="O6" i="1" s="1"/>
  <c r="L6" i="1"/>
  <c r="G8" i="1"/>
  <c r="O8" i="1" s="1"/>
  <c r="L8" i="1"/>
  <c r="G10" i="1"/>
  <c r="O10" i="1" s="1"/>
  <c r="L10" i="1"/>
  <c r="O108" i="1"/>
  <c r="L108" i="1"/>
  <c r="G11" i="1"/>
  <c r="O11" i="1" s="1"/>
  <c r="L11" i="1"/>
  <c r="G12" i="1"/>
  <c r="O12" i="1" s="1"/>
  <c r="L12" i="1"/>
  <c r="E5" i="1"/>
  <c r="D5" i="1"/>
  <c r="C5" i="1"/>
  <c r="D20" i="2"/>
  <c r="E20" i="2" s="1"/>
  <c r="D18" i="2"/>
  <c r="E18" i="2" s="1"/>
  <c r="D17" i="2"/>
  <c r="E17" i="2" s="1"/>
  <c r="D13" i="2"/>
  <c r="E13" i="2" s="1"/>
  <c r="D11" i="2"/>
  <c r="E11" i="2" s="1"/>
  <c r="D9" i="2"/>
  <c r="E9" i="2" s="1"/>
  <c r="D8" i="2"/>
  <c r="E8" i="2" s="1"/>
  <c r="D7" i="2"/>
  <c r="E7" i="2" s="1"/>
  <c r="D6" i="2"/>
  <c r="E6" i="2" s="1"/>
  <c r="D5" i="2"/>
  <c r="N105" i="1"/>
  <c r="O62" i="1" l="1"/>
  <c r="O64" i="1"/>
  <c r="O63" i="1"/>
  <c r="O65" i="1"/>
  <c r="G5" i="1"/>
  <c r="H20" i="2"/>
  <c r="I20" i="2" s="1"/>
  <c r="H18" i="2"/>
  <c r="H17" i="2"/>
  <c r="H14" i="2" s="1"/>
  <c r="O50" i="1"/>
  <c r="M50" i="1"/>
  <c r="L50" i="1"/>
  <c r="K50" i="1"/>
  <c r="O18" i="1"/>
  <c r="M18" i="1"/>
  <c r="L18" i="1"/>
  <c r="K18" i="1"/>
  <c r="N7" i="1"/>
  <c r="H9" i="2"/>
  <c r="I9" i="2" s="1"/>
  <c r="H8" i="2"/>
  <c r="I8" i="2" s="1"/>
  <c r="H5" i="2"/>
  <c r="H11" i="2"/>
  <c r="N18" i="1" l="1"/>
  <c r="H13" i="2"/>
  <c r="N13" i="1"/>
  <c r="H7" i="2"/>
  <c r="I7" i="2" s="1"/>
  <c r="N8" i="1"/>
  <c r="D17" i="1"/>
  <c r="D15" i="1" s="1"/>
  <c r="E16" i="1"/>
  <c r="E14" i="1" s="1"/>
  <c r="D14" i="2" s="1"/>
  <c r="D16" i="1"/>
  <c r="D14" i="1" s="1"/>
  <c r="E17" i="1"/>
  <c r="E15" i="1" s="1"/>
  <c r="G17" i="1"/>
  <c r="G16" i="1"/>
  <c r="H6" i="2"/>
  <c r="I6" i="2" s="1"/>
  <c r="F5" i="1"/>
  <c r="C17" i="1"/>
  <c r="C15" i="1" s="1"/>
  <c r="C16" i="1"/>
  <c r="C14" i="1" s="1"/>
  <c r="I11" i="2"/>
  <c r="K16" i="1" l="1"/>
  <c r="N16" i="1"/>
  <c r="M16" i="1"/>
  <c r="O16" i="1"/>
  <c r="C28" i="4"/>
  <c r="L16" i="1"/>
  <c r="E14" i="2" l="1"/>
  <c r="F128" i="1" l="1"/>
  <c r="F130" i="1" s="1"/>
  <c r="N121" i="1" l="1"/>
  <c r="M121" i="1"/>
  <c r="M120" i="1"/>
  <c r="N119" i="1"/>
  <c r="M119" i="1"/>
  <c r="N118" i="1"/>
  <c r="M118" i="1"/>
  <c r="N116" i="1"/>
  <c r="M116" i="1"/>
  <c r="M115" i="1"/>
  <c r="M52" i="1"/>
  <c r="K52" i="1"/>
  <c r="M51" i="1"/>
  <c r="K51" i="1"/>
  <c r="K19" i="1"/>
  <c r="K5" i="1"/>
  <c r="L52" i="1" l="1"/>
  <c r="L51" i="1"/>
  <c r="M19" i="1"/>
  <c r="L19" i="1"/>
  <c r="M5" i="1" l="1"/>
  <c r="B7" i="4" l="1"/>
  <c r="B27" i="4" s="1"/>
  <c r="I22" i="2" l="1"/>
  <c r="I21" i="2"/>
  <c r="I19" i="2"/>
  <c r="I16" i="2"/>
  <c r="I15" i="2"/>
  <c r="I12" i="2"/>
  <c r="D127" i="1"/>
  <c r="G126" i="1"/>
  <c r="G125" i="1"/>
  <c r="G15" i="1" s="1"/>
  <c r="G124" i="1"/>
  <c r="G14" i="1" s="1"/>
  <c r="N120" i="1"/>
  <c r="N115" i="1"/>
  <c r="E114" i="1"/>
  <c r="O52" i="1"/>
  <c r="N51" i="1"/>
  <c r="N19" i="1"/>
  <c r="O19" i="1"/>
  <c r="N5" i="1"/>
  <c r="M114" i="1" l="1"/>
  <c r="E128" i="1"/>
  <c r="E130" i="1" s="1"/>
  <c r="N15" i="1"/>
  <c r="M15" i="1"/>
  <c r="I17" i="2"/>
  <c r="K14" i="1"/>
  <c r="K17" i="1"/>
  <c r="B28" i="4"/>
  <c r="B29" i="4" s="1"/>
  <c r="L5" i="1"/>
  <c r="M14" i="1"/>
  <c r="M17" i="1"/>
  <c r="G127" i="1"/>
  <c r="K15" i="1"/>
  <c r="I13" i="2"/>
  <c r="N114" i="1"/>
  <c r="O5" i="1"/>
  <c r="E5" i="2"/>
  <c r="C27" i="4" l="1"/>
  <c r="L15" i="1"/>
  <c r="N17" i="1"/>
  <c r="O15" i="1"/>
  <c r="L14" i="1"/>
  <c r="L17" i="1"/>
  <c r="O51" i="1"/>
  <c r="I5" i="2"/>
  <c r="G3" i="2"/>
  <c r="C29" i="4" l="1"/>
  <c r="O14" i="1"/>
  <c r="O17" i="1"/>
  <c r="N14" i="1"/>
  <c r="I18" i="2"/>
  <c r="D3" i="2"/>
  <c r="H3" i="2" l="1"/>
  <c r="E3" i="2"/>
  <c r="I14" i="2"/>
  <c r="I3" i="2" l="1"/>
</calcChain>
</file>

<file path=xl/sharedStrings.xml><?xml version="1.0" encoding="utf-8"?>
<sst xmlns="http://schemas.openxmlformats.org/spreadsheetml/2006/main" count="368" uniqueCount="168">
  <si>
    <t>eurodes</t>
  </si>
  <si>
    <t>Algne eelarve</t>
  </si>
  <si>
    <t>Lõplik eelarve</t>
  </si>
  <si>
    <t>Täitmine miinus lõplik eelarve</t>
  </si>
  <si>
    <t>Saadud toetused</t>
  </si>
  <si>
    <t>Riigilõivud</t>
  </si>
  <si>
    <t>Tulu majandustegevusest</t>
  </si>
  <si>
    <t>Trahvid ja muud varalised karistused</t>
  </si>
  <si>
    <t>Keskkonnatasud</t>
  </si>
  <si>
    <t>Intressi- ja omanikutulud</t>
  </si>
  <si>
    <t>sh piirmääraga vahendid</t>
  </si>
  <si>
    <t>KULUD</t>
  </si>
  <si>
    <t>KORRIGEERIMISED</t>
  </si>
  <si>
    <t>Kontroll</t>
  </si>
  <si>
    <t>saldoandmik</t>
  </si>
  <si>
    <t>TULUD</t>
  </si>
  <si>
    <t>Tulemusvaldkond: TÕHUS RIIK</t>
  </si>
  <si>
    <t>INVESTEERINGUD</t>
  </si>
  <si>
    <t>Tulemusvaldkond: TEADUS- JA ARENDUSTEGEVUS JA ETTEVÕTLUS</t>
  </si>
  <si>
    <t>Kulud</t>
  </si>
  <si>
    <t>Investeeringud</t>
  </si>
  <si>
    <t xml:space="preserve">JAOTAMATA </t>
  </si>
  <si>
    <t>SAP miinus jaotatud</t>
  </si>
  <si>
    <t>FINANTSEERIMISTEHINGUD</t>
  </si>
  <si>
    <t>Tulemusvaldkond: KESKKOND</t>
  </si>
  <si>
    <t>Keskkonnakaitse ja -kasutuse programm</t>
  </si>
  <si>
    <t>Tulemusvaldkond: PÕLLUMAJANDUS JA KALANDUS</t>
  </si>
  <si>
    <t>Tulemusvaldkond: TRANSPORT</t>
  </si>
  <si>
    <t>Antud mitterahaline sihtfinantseerimine</t>
  </si>
  <si>
    <t>Programm: Põllumajandus, toit ja maaelu</t>
  </si>
  <si>
    <t>Programm: Kalandus</t>
  </si>
  <si>
    <t>Saadud välistoetuste kaasrahastamine teistelt riigiasutustelt</t>
  </si>
  <si>
    <t>Saadud vahendamiseks teistele riigiasutustele</t>
  </si>
  <si>
    <t>Antud välistoetused ja kaasfinantseerimine teistele riigiasutustele</t>
  </si>
  <si>
    <t>Tulemusvaldkond: HEAOLU</t>
  </si>
  <si>
    <t xml:space="preserve">Lisa </t>
  </si>
  <si>
    <t>Eelarve täitmise ja raamatupidamisaruannete võrdlus</t>
  </si>
  <si>
    <t>Kirje</t>
  </si>
  <si>
    <t>Selgitus</t>
  </si>
  <si>
    <t>Finantstulud</t>
  </si>
  <si>
    <t>Finantskulud</t>
  </si>
  <si>
    <t>3sisesed</t>
  </si>
  <si>
    <t>4,5,6sisesed</t>
  </si>
  <si>
    <t>15ettemaksed</t>
  </si>
  <si>
    <t>Lõpliku eelarve kujunemine</t>
  </si>
  <si>
    <t>Tulud</t>
  </si>
  <si>
    <t>Fin tehingud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</si>
  <si>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</si>
  <si>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</si>
  <si>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</si>
  <si>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</si>
  <si>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</si>
  <si>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</si>
  <si>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</si>
  <si>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</si>
  <si>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</si>
  <si>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 xml:space="preserve">Saadud Vabariigi Valitsuse reservfondist </t>
  </si>
  <si>
    <t>Kokku lõplik eelarve</t>
  </si>
  <si>
    <t>Käibemaks</t>
  </si>
  <si>
    <t>Käibemaksukulu tegevuskuludelt</t>
  </si>
  <si>
    <t>Muud tulud</t>
  </si>
  <si>
    <t>tuhandetes eurodes</t>
  </si>
  <si>
    <t>Eelarves kavandatud välistoetuste kaasrahastamine</t>
  </si>
  <si>
    <t>Tegelik välistoetuste kaasrahastamine</t>
  </si>
  <si>
    <t>Täitmine 2022</t>
  </si>
  <si>
    <t>Raamatupidamisandmed 2022</t>
  </si>
  <si>
    <t>RE aruanne 2022</t>
  </si>
  <si>
    <t>Vahe 2022</t>
  </si>
  <si>
    <t>sh käibemaks</t>
  </si>
  <si>
    <t>Käibemaksukulu investeeringutelt</t>
  </si>
  <si>
    <t>Tegevuskulud, v.a käibemaksukulu</t>
  </si>
  <si>
    <t>Tulu põhivarade ja varude müügist</t>
  </si>
  <si>
    <t>Laenunõuded</t>
  </si>
  <si>
    <t>Kulud, investeeringud</t>
  </si>
  <si>
    <t xml:space="preserve">   sh piirmääraga vahendid</t>
  </si>
  <si>
    <t xml:space="preserve">   sh käibemaks</t>
  </si>
  <si>
    <t>Trahvid ja varalised karistused</t>
  </si>
  <si>
    <t>Kalavarude ja -püügi haldamise ja kaitse korraldamine</t>
  </si>
  <si>
    <t>Maatoimingute korraldamine</t>
  </si>
  <si>
    <t>Ruumiandmete hõive, analüüsid ja kättesaadavaks tegemine</t>
  </si>
  <si>
    <t>KK01050100</t>
  </si>
  <si>
    <t>KK01050200</t>
  </si>
  <si>
    <t>PK02010500</t>
  </si>
  <si>
    <t>Transpordi konkurentsivõime ja liikuvuse programm</t>
  </si>
  <si>
    <t>Liikuvusteenuse arendamine ja soodustamine</t>
  </si>
  <si>
    <t>Digiühiskonna programm</t>
  </si>
  <si>
    <t>Õigusruumi tagamine</t>
  </si>
  <si>
    <t>Ettevõtluskeskkonna programm</t>
  </si>
  <si>
    <t>Ettevõtluse arendamise soodustamine</t>
  </si>
  <si>
    <t>Finantseerimistegevuseks antud sihtfinantseerimine</t>
  </si>
  <si>
    <t>IYDA030100</t>
  </si>
  <si>
    <t>TIEK010100</t>
  </si>
  <si>
    <t>TRTR040100</t>
  </si>
  <si>
    <t>Toiduohutus</t>
  </si>
  <si>
    <t>Maakasutus</t>
  </si>
  <si>
    <t>Maaparandus</t>
  </si>
  <si>
    <t>Sordiaretus ja taimne paljundusmaterjal</t>
  </si>
  <si>
    <t>Põllumajandusloomade aretus</t>
  </si>
  <si>
    <t>Põllumajandustootjate ja toiduainetööstuste konkurentsivõime</t>
  </si>
  <si>
    <t>Põlvkondade vahetus</t>
  </si>
  <si>
    <t>Riskijuhtimine ja põllumajandusturgude tasakaal</t>
  </si>
  <si>
    <t>Ühistegevus ja koostöö</t>
  </si>
  <si>
    <t>Ekspordivõimekus ja Eesti toidu kuvand</t>
  </si>
  <si>
    <t>Mahepõllumajandus</t>
  </si>
  <si>
    <t>Finantsinstrumendid</t>
  </si>
  <si>
    <t>Kutseline kalapüük</t>
  </si>
  <si>
    <t>Vee-elusressursside töötlemine</t>
  </si>
  <si>
    <t>Vesiviljelus</t>
  </si>
  <si>
    <t>EMKFi keskkonnakaitsemeetmete rakendamine</t>
  </si>
  <si>
    <t>PK01010100</t>
  </si>
  <si>
    <t>PK01010200</t>
  </si>
  <si>
    <t>PK01010300</t>
  </si>
  <si>
    <t>PK01030100</t>
  </si>
  <si>
    <t>PK01040100</t>
  </si>
  <si>
    <t>PK01040200</t>
  </si>
  <si>
    <t>PK01040300</t>
  </si>
  <si>
    <t>PK01040400</t>
  </si>
  <si>
    <t>PK01050100</t>
  </si>
  <si>
    <t>PK01050200</t>
  </si>
  <si>
    <t>PK01050300</t>
  </si>
  <si>
    <t>PK01050400</t>
  </si>
  <si>
    <t>PK01050500</t>
  </si>
  <si>
    <t>PK01060100</t>
  </si>
  <si>
    <t>PK01060200</t>
  </si>
  <si>
    <t>PK02010100</t>
  </si>
  <si>
    <t>PK02010200</t>
  </si>
  <si>
    <t>PK02010300</t>
  </si>
  <si>
    <t>PK02010400</t>
  </si>
  <si>
    <t>PK01050600</t>
  </si>
  <si>
    <t>Regionaalpoliitika, piirkondade ja piiriülese koostöö areng</t>
  </si>
  <si>
    <t>Ruumilise planeerimise poliitika kujundamine ja korraldamine</t>
  </si>
  <si>
    <t>Regionaalpoliitika programm</t>
  </si>
  <si>
    <t>RV04010300</t>
  </si>
  <si>
    <t>RV04030100</t>
  </si>
  <si>
    <t>HE03010100</t>
  </si>
  <si>
    <t>Sihtotstarbeliste fondide soetus ja tagasimaksed</t>
  </si>
  <si>
    <t>Ebatõenäoliselt laekuvad müüginõuded, tulu taastamine</t>
  </si>
  <si>
    <t>Ebatõenäoliselt laekuvad müüginõuded, kulu taastamine</t>
  </si>
  <si>
    <t>2023. aasta riigieelarve täitmise arunne</t>
  </si>
  <si>
    <t>Täitmine 2023</t>
  </si>
  <si>
    <t xml:space="preserve">REGIONAAL- JA PÕLLUMAJANDUSMINISTEERIUMI valitsemisala </t>
  </si>
  <si>
    <t>Tulemusvaldkond: DIGIÜHISKOND</t>
  </si>
  <si>
    <t>PK01070200</t>
  </si>
  <si>
    <t>Taimetervise, loomade tervise ja heaolu tagamine</t>
  </si>
  <si>
    <t>Põllumajanduskeskkonna hea seisundi tagamine</t>
  </si>
  <si>
    <t>PK01070100</t>
  </si>
  <si>
    <t>Maa- ja rannapiirkonna arendamine</t>
  </si>
  <si>
    <t>PK01070500</t>
  </si>
  <si>
    <t>Kohalike omavalitsuste poliitika ja finantseerimine</t>
  </si>
  <si>
    <t>RV04020300</t>
  </si>
  <si>
    <t>Pikaajalise hoolduse poliitika kujundamine, KOV võimestamine</t>
  </si>
  <si>
    <t>HE07010100</t>
  </si>
  <si>
    <t>Sotsiaalhoolekande programm</t>
  </si>
  <si>
    <t>Muudatused riigieelarve seaduse muutmise seaduse alusel alates 01.07.2023</t>
  </si>
  <si>
    <t>Muudatused riigieelarve seaduse muutmise seaduse alusel detsembris 2023</t>
  </si>
  <si>
    <t>REM</t>
  </si>
  <si>
    <t>Ümber jaotatatud tulust sõltuvate vahendite jäägid alates 01.07.2023</t>
  </si>
  <si>
    <t>Tegelikud muud tuludest sõltuvad kulud</t>
  </si>
  <si>
    <t>Omandireformi reservfondi vahendite ümberjaotamine</t>
  </si>
  <si>
    <t>Sihtotstarbeliste vahendite reservi ümberjaotamine</t>
  </si>
  <si>
    <t xml:space="preserve">Vabariigi Valitsuse reservfondi vahendite ümberjaotamine </t>
  </si>
  <si>
    <t>Ümber jaotatatud 2022. aastast üle toodud piirmääraga vahendite jäägid alates 01.07.2023 (v.a reservid)</t>
  </si>
  <si>
    <t>Kohalikele omavalitsuste toetus- ja tasandusfond (kajastub Vabariigi Valitsuse eelarve osas)</t>
  </si>
  <si>
    <t>23441,01 elim sisene intr tulu ja -kulu</t>
  </si>
  <si>
    <t>Raamatupidamisandmed 2023</t>
  </si>
  <si>
    <t>RE aruanne 2023</t>
  </si>
  <si>
    <t>Vahe 2023</t>
  </si>
  <si>
    <t>PK01020100-PK01020400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</si>
</sst>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color theme="1"/>
      <name val="Cambria"/>
      <family val="1"/>
      <charset val="186"/>
    </font>
    <font>
      <sz val="9"/>
      <color theme="1"/>
      <name val="Cambria"/>
      <family val="1"/>
      <charset val="186"/>
    </font>
    <font>
      <sz val="9"/>
      <name val="Cambria"/>
      <family val="1"/>
      <charset val="186"/>
    </font>
    <font>
      <b/>
      <sz val="9"/>
      <name val="Cambria"/>
      <family val="1"/>
      <charset val="186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7" fillId="0" borderId="1" xfId="2" applyNumberFormat="1" applyFont="1" applyBorder="1" applyAlignment="1" applyProtection="1">
      <alignment horizontal="right"/>
      <protection locked="0"/>
    </xf>
    <xf numFmtId="3" fontId="7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5" fillId="3" borderId="1" xfId="2" applyNumberFormat="1" applyFont="1" applyFill="1" applyBorder="1" applyAlignment="1" applyProtection="1">
      <alignment horizontal="right"/>
      <protection locked="0"/>
    </xf>
    <xf numFmtId="3" fontId="5" fillId="3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0" xfId="0" applyFont="1"/>
    <xf numFmtId="3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13" fillId="3" borderId="1" xfId="0" applyFont="1" applyFill="1" applyBorder="1" applyAlignment="1">
      <alignment vertical="top"/>
    </xf>
    <xf numFmtId="4" fontId="13" fillId="3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5" fillId="0" borderId="0" xfId="0" applyFont="1"/>
    <xf numFmtId="3" fontId="15" fillId="0" borderId="0" xfId="0" applyNumberFormat="1" applyFont="1" applyAlignment="1">
      <alignment vertical="top"/>
    </xf>
    <xf numFmtId="0" fontId="13" fillId="4" borderId="1" xfId="0" applyFont="1" applyFill="1" applyBorder="1" applyAlignment="1">
      <alignment vertical="top"/>
    </xf>
    <xf numFmtId="3" fontId="15" fillId="4" borderId="1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3" fontId="13" fillId="0" borderId="1" xfId="0" applyNumberFormat="1" applyFont="1" applyBorder="1" applyAlignment="1">
      <alignment vertical="top"/>
    </xf>
    <xf numFmtId="3" fontId="15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7" fillId="0" borderId="0" xfId="0" applyFont="1"/>
    <xf numFmtId="3" fontId="16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right"/>
    </xf>
    <xf numFmtId="3" fontId="6" fillId="0" borderId="1" xfId="2" applyNumberFormat="1" applyFont="1" applyBorder="1" applyAlignment="1" applyProtection="1">
      <alignment horizontal="right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1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13" fillId="3" borderId="1" xfId="0" applyNumberFormat="1" applyFont="1" applyFill="1" applyBorder="1" applyAlignment="1">
      <alignment horizontal="right" vertical="top" wrapText="1"/>
    </xf>
    <xf numFmtId="0" fontId="17" fillId="0" borderId="1" xfId="0" applyFont="1" applyBorder="1"/>
    <xf numFmtId="3" fontId="16" fillId="0" borderId="1" xfId="0" applyNumberFormat="1" applyFont="1" applyBorder="1"/>
    <xf numFmtId="3" fontId="17" fillId="0" borderId="1" xfId="0" applyNumberFormat="1" applyFont="1" applyBorder="1"/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2" xfId="2" applyFont="1" applyBorder="1" applyAlignment="1" applyProtection="1">
      <alignment horizontal="left"/>
      <protection locked="0"/>
    </xf>
    <xf numFmtId="0" fontId="17" fillId="0" borderId="2" xfId="2" applyFont="1" applyBorder="1" applyAlignment="1" applyProtection="1">
      <alignment horizontal="left"/>
      <protection locked="0"/>
    </xf>
    <xf numFmtId="0" fontId="16" fillId="0" borderId="2" xfId="1" applyFont="1" applyBorder="1" applyAlignment="1" applyProtection="1">
      <alignment horizontal="left"/>
      <protection locked="0"/>
    </xf>
    <xf numFmtId="0" fontId="17" fillId="3" borderId="1" xfId="0" applyFont="1" applyFill="1" applyBorder="1" applyAlignment="1">
      <alignment horizontal="center"/>
    </xf>
    <xf numFmtId="0" fontId="16" fillId="0" borderId="1" xfId="0" applyFont="1" applyBorder="1"/>
    <xf numFmtId="0" fontId="16" fillId="3" borderId="1" xfId="0" applyFont="1" applyFill="1" applyBorder="1" applyAlignment="1">
      <alignment horizontal="left"/>
    </xf>
    <xf numFmtId="3" fontId="16" fillId="3" borderId="1" xfId="0" applyNumberFormat="1" applyFont="1" applyFill="1" applyBorder="1" applyAlignment="1">
      <alignment horizontal="left"/>
    </xf>
    <xf numFmtId="0" fontId="17" fillId="3" borderId="1" xfId="0" applyFont="1" applyFill="1" applyBorder="1"/>
    <xf numFmtId="0" fontId="19" fillId="0" borderId="1" xfId="2" applyFont="1" applyBorder="1" applyAlignment="1" applyProtection="1">
      <alignment horizontal="left"/>
      <protection locked="0"/>
    </xf>
    <xf numFmtId="43" fontId="1" fillId="0" borderId="0" xfId="6" applyFont="1"/>
    <xf numFmtId="4" fontId="13" fillId="3" borderId="1" xfId="0" applyNumberFormat="1" applyFont="1" applyFill="1" applyBorder="1" applyAlignment="1">
      <alignment vertical="top"/>
    </xf>
    <xf numFmtId="43" fontId="14" fillId="0" borderId="0" xfId="6" applyFont="1"/>
    <xf numFmtId="0" fontId="16" fillId="0" borderId="0" xfId="0" applyFont="1"/>
    <xf numFmtId="0" fontId="17" fillId="0" borderId="1" xfId="2" applyFont="1" applyBorder="1" applyAlignment="1" applyProtection="1">
      <alignment horizontal="left"/>
      <protection locked="0"/>
    </xf>
    <xf numFmtId="0" fontId="17" fillId="0" borderId="1" xfId="0" applyFont="1" applyBorder="1" applyProtection="1">
      <protection locked="0"/>
    </xf>
    <xf numFmtId="0" fontId="20" fillId="0" borderId="1" xfId="0" applyFont="1" applyBorder="1" applyAlignment="1">
      <alignment horizontal="left"/>
    </xf>
    <xf numFmtId="0" fontId="20" fillId="2" borderId="1" xfId="0" applyFont="1" applyFill="1" applyBorder="1" applyProtection="1">
      <protection locked="0"/>
    </xf>
    <xf numFmtId="0" fontId="3" fillId="0" borderId="0" xfId="0" applyFont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1" applyFont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left"/>
    </xf>
    <xf numFmtId="0" fontId="5" fillId="3" borderId="1" xfId="2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17" fillId="0" borderId="2" xfId="2" applyFont="1" applyBorder="1" applyProtection="1">
      <protection locked="0"/>
    </xf>
    <xf numFmtId="0" fontId="18" fillId="0" borderId="1" xfId="0" applyFont="1" applyBorder="1" applyProtection="1">
      <protection locked="0"/>
    </xf>
    <xf numFmtId="3" fontId="5" fillId="0" borderId="1" xfId="0" applyNumberFormat="1" applyFont="1" applyBorder="1"/>
    <xf numFmtId="0" fontId="15" fillId="0" borderId="1" xfId="0" applyFont="1" applyBorder="1" applyAlignment="1">
      <alignment vertical="top"/>
    </xf>
    <xf numFmtId="0" fontId="15" fillId="0" borderId="1" xfId="0" applyFont="1" applyBorder="1"/>
    <xf numFmtId="3" fontId="4" fillId="0" borderId="0" xfId="0" applyNumberFormat="1" applyFont="1"/>
    <xf numFmtId="3" fontId="5" fillId="0" borderId="0" xfId="0" applyNumberFormat="1" applyFont="1"/>
  </cellXfs>
  <cellStyles count="8">
    <cellStyle name="Comma" xfId="6" builtinId="3"/>
    <cellStyle name="Comma 2" xfId="7" xr:uid="{68AF3142-48B6-46A0-9B66-4AC016C8CCBB}"/>
    <cellStyle name="Normaallaad 2" xfId="5" xr:uid="{625F7053-1720-45B8-BC60-DA405838C2BD}"/>
    <cellStyle name="Normal" xfId="0" builtinId="0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O130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7.42578125" customWidth="1"/>
    <col min="2" max="2" width="53.42578125" customWidth="1"/>
    <col min="3" max="7" width="22" style="1" customWidth="1"/>
    <col min="8" max="8" width="19.7109375" style="45" customWidth="1"/>
    <col min="9" max="9" width="18.85546875" style="45" bestFit="1" customWidth="1"/>
    <col min="10" max="10" width="44.5703125" style="39" customWidth="1"/>
    <col min="11" max="11" width="13.42578125" style="39" bestFit="1" customWidth="1"/>
    <col min="12" max="12" width="13.42578125" style="39" customWidth="1"/>
    <col min="13" max="13" width="13" style="39" customWidth="1"/>
    <col min="14" max="14" width="13.5703125" style="39" customWidth="1"/>
    <col min="15" max="15" width="13.7109375" style="39" customWidth="1"/>
  </cols>
  <sheetData>
    <row r="1" spans="1:15" ht="15.75" x14ac:dyDescent="0.25">
      <c r="A1" s="71" t="s">
        <v>138</v>
      </c>
      <c r="C1" s="98"/>
      <c r="G1" s="99"/>
      <c r="J1" s="66" t="s">
        <v>138</v>
      </c>
    </row>
    <row r="2" spans="1:15" ht="15.75" x14ac:dyDescent="0.25">
      <c r="A2" t="s">
        <v>0</v>
      </c>
      <c r="C2" s="98"/>
      <c r="G2" s="99"/>
      <c r="J2" s="39" t="s">
        <v>61</v>
      </c>
    </row>
    <row r="3" spans="1:15" ht="36.75" x14ac:dyDescent="0.25">
      <c r="A3" s="72"/>
      <c r="B3" s="72"/>
      <c r="C3" s="2" t="s">
        <v>1</v>
      </c>
      <c r="D3" s="2" t="s">
        <v>2</v>
      </c>
      <c r="E3" s="2" t="s">
        <v>139</v>
      </c>
      <c r="F3" s="2" t="s">
        <v>64</v>
      </c>
      <c r="G3" s="2" t="s">
        <v>3</v>
      </c>
      <c r="J3" s="49"/>
      <c r="K3" s="40" t="s">
        <v>1</v>
      </c>
      <c r="L3" s="40" t="s">
        <v>2</v>
      </c>
      <c r="M3" s="40" t="s">
        <v>139</v>
      </c>
      <c r="N3" s="40" t="s">
        <v>64</v>
      </c>
      <c r="O3" s="40" t="s">
        <v>3</v>
      </c>
    </row>
    <row r="4" spans="1:15" ht="15.75" x14ac:dyDescent="0.25">
      <c r="A4" s="73" t="s">
        <v>140</v>
      </c>
      <c r="B4" s="74"/>
      <c r="C4" s="9"/>
      <c r="D4" s="11"/>
      <c r="E4" s="43"/>
      <c r="F4" s="43"/>
      <c r="G4" s="3"/>
      <c r="J4" s="52" t="s">
        <v>140</v>
      </c>
      <c r="K4" s="51"/>
      <c r="L4" s="51"/>
      <c r="M4" s="51"/>
      <c r="N4" s="51"/>
      <c r="O4" s="51"/>
    </row>
    <row r="5" spans="1:15" ht="15.75" x14ac:dyDescent="0.25">
      <c r="A5" s="76" t="s">
        <v>15</v>
      </c>
      <c r="B5" s="76"/>
      <c r="C5" s="42">
        <f t="shared" ref="C5:E5" si="0">SUM(C6:C13)</f>
        <v>354868241</v>
      </c>
      <c r="D5" s="42">
        <f t="shared" si="0"/>
        <v>392909905</v>
      </c>
      <c r="E5" s="42">
        <f t="shared" si="0"/>
        <v>375812545.73000008</v>
      </c>
      <c r="F5" s="42">
        <f>SUM(F6:F13)</f>
        <v>344223924.57000005</v>
      </c>
      <c r="G5" s="42">
        <f>SUM(G6:G13)</f>
        <v>-17097359.269999932</v>
      </c>
      <c r="J5" s="54" t="s">
        <v>15</v>
      </c>
      <c r="K5" s="50">
        <f t="shared" ref="K5:K52" si="1">ROUND(C5/1000,0)</f>
        <v>354868</v>
      </c>
      <c r="L5" s="50">
        <f t="shared" ref="L5:L52" si="2">ROUND(D5/1000,0)</f>
        <v>392910</v>
      </c>
      <c r="M5" s="50">
        <f t="shared" ref="M5:M121" si="3">ROUND(E5/1000,0)</f>
        <v>375813</v>
      </c>
      <c r="N5" s="50">
        <f t="shared" ref="N5:N121" si="4">ROUND(F5/1000,0)</f>
        <v>344224</v>
      </c>
      <c r="O5" s="50">
        <f t="shared" ref="O5:O52" si="5">ROUND(G5/1000,0)</f>
        <v>-17097</v>
      </c>
    </row>
    <row r="6" spans="1:15" ht="15.75" x14ac:dyDescent="0.25">
      <c r="A6" s="78"/>
      <c r="B6" s="77" t="s">
        <v>5</v>
      </c>
      <c r="C6" s="4">
        <v>1320000</v>
      </c>
      <c r="D6" s="4">
        <f>C6+20560</f>
        <v>1340560</v>
      </c>
      <c r="E6" s="4">
        <v>1392718.94</v>
      </c>
      <c r="F6" s="4">
        <v>1520273.63</v>
      </c>
      <c r="G6" s="4">
        <f>E6-D6</f>
        <v>52158.939999999944</v>
      </c>
      <c r="H6" s="63"/>
      <c r="I6" s="63"/>
      <c r="J6" s="67" t="s">
        <v>5</v>
      </c>
      <c r="K6" s="51">
        <f t="shared" si="1"/>
        <v>1320</v>
      </c>
      <c r="L6" s="51">
        <f t="shared" si="2"/>
        <v>1341</v>
      </c>
      <c r="M6" s="51">
        <f t="shared" si="3"/>
        <v>1393</v>
      </c>
      <c r="N6" s="51">
        <f t="shared" si="4"/>
        <v>1520</v>
      </c>
      <c r="O6" s="51">
        <f t="shared" si="5"/>
        <v>52</v>
      </c>
    </row>
    <row r="7" spans="1:15" ht="15.75" x14ac:dyDescent="0.25">
      <c r="A7" s="78"/>
      <c r="B7" s="77" t="s">
        <v>6</v>
      </c>
      <c r="C7" s="4">
        <v>8301755</v>
      </c>
      <c r="D7" s="4">
        <f>C7+1846000</f>
        <v>10147755</v>
      </c>
      <c r="E7" s="4">
        <f>9049802.31+3404059.46-25533.5</f>
        <v>12428328.27</v>
      </c>
      <c r="F7" s="4">
        <f>9960753.26+254694.27+61208.75</f>
        <v>10276656.279999999</v>
      </c>
      <c r="G7" s="4">
        <f t="shared" ref="G7:G13" si="6">E7-D7</f>
        <v>2280573.2699999996</v>
      </c>
      <c r="H7" s="63"/>
      <c r="I7" s="63"/>
      <c r="J7" s="67" t="s">
        <v>6</v>
      </c>
      <c r="K7" s="51">
        <f t="shared" si="1"/>
        <v>8302</v>
      </c>
      <c r="L7" s="51">
        <f t="shared" si="2"/>
        <v>10148</v>
      </c>
      <c r="M7" s="51">
        <f t="shared" si="3"/>
        <v>12428</v>
      </c>
      <c r="N7" s="51">
        <f t="shared" si="4"/>
        <v>10277</v>
      </c>
      <c r="O7" s="51">
        <f t="shared" si="5"/>
        <v>2281</v>
      </c>
    </row>
    <row r="8" spans="1:15" ht="15.75" x14ac:dyDescent="0.25">
      <c r="A8" s="78"/>
      <c r="B8" s="77" t="s">
        <v>4</v>
      </c>
      <c r="C8" s="4">
        <v>343637486</v>
      </c>
      <c r="D8" s="4">
        <f>C8+24090104</f>
        <v>367727590</v>
      </c>
      <c r="E8" s="4">
        <f>385566882.16-35520705.81-407841.33-4172706.78</f>
        <v>345465628.24000007</v>
      </c>
      <c r="F8" s="4">
        <f>356411804.3-27309254.19-142549.6-2338887.28</f>
        <v>326621113.23000002</v>
      </c>
      <c r="G8" s="4">
        <f t="shared" si="6"/>
        <v>-22261961.759999931</v>
      </c>
      <c r="H8" s="63"/>
      <c r="I8" s="63"/>
      <c r="J8" s="67" t="s">
        <v>4</v>
      </c>
      <c r="K8" s="51">
        <f t="shared" si="1"/>
        <v>343637</v>
      </c>
      <c r="L8" s="51">
        <f t="shared" si="2"/>
        <v>367728</v>
      </c>
      <c r="M8" s="51">
        <f t="shared" si="3"/>
        <v>345466</v>
      </c>
      <c r="N8" s="51">
        <f t="shared" si="4"/>
        <v>326621</v>
      </c>
      <c r="O8" s="51">
        <f t="shared" si="5"/>
        <v>-22262</v>
      </c>
    </row>
    <row r="9" spans="1:15" ht="15.75" x14ac:dyDescent="0.25">
      <c r="A9" s="78"/>
      <c r="B9" s="77" t="s">
        <v>71</v>
      </c>
      <c r="C9" s="4">
        <v>500000</v>
      </c>
      <c r="D9" s="4">
        <f>C9+12000000</f>
        <v>12500000</v>
      </c>
      <c r="E9" s="4">
        <f>11431428.44-575329</f>
        <v>10856099.439999999</v>
      </c>
      <c r="F9" s="4">
        <f>7916.67-7907.54</f>
        <v>9.1300000000001091</v>
      </c>
      <c r="G9" s="4">
        <f t="shared" si="6"/>
        <v>-1643900.5600000005</v>
      </c>
      <c r="H9" s="63"/>
      <c r="I9" s="63"/>
      <c r="J9" s="67" t="s">
        <v>71</v>
      </c>
      <c r="K9" s="51">
        <f t="shared" si="1"/>
        <v>500</v>
      </c>
      <c r="L9" s="51">
        <f t="shared" si="2"/>
        <v>12500</v>
      </c>
      <c r="M9" s="51">
        <f t="shared" si="3"/>
        <v>10856</v>
      </c>
      <c r="N9" s="51">
        <f t="shared" si="4"/>
        <v>0</v>
      </c>
      <c r="O9" s="51">
        <f t="shared" si="5"/>
        <v>-1644</v>
      </c>
    </row>
    <row r="10" spans="1:15" ht="15.75" x14ac:dyDescent="0.25">
      <c r="A10" s="78"/>
      <c r="B10" s="77" t="s">
        <v>76</v>
      </c>
      <c r="C10" s="4">
        <v>2000</v>
      </c>
      <c r="D10" s="4">
        <f t="shared" ref="D10:D11" si="7">C10</f>
        <v>2000</v>
      </c>
      <c r="E10" s="4">
        <v>39601.910000000003</v>
      </c>
      <c r="F10" s="4">
        <v>15188.74</v>
      </c>
      <c r="G10" s="4">
        <f t="shared" si="6"/>
        <v>37601.910000000003</v>
      </c>
      <c r="H10" s="63"/>
      <c r="I10" s="63"/>
      <c r="J10" s="67" t="s">
        <v>76</v>
      </c>
      <c r="K10" s="51">
        <f t="shared" si="1"/>
        <v>2</v>
      </c>
      <c r="L10" s="51">
        <f t="shared" si="2"/>
        <v>2</v>
      </c>
      <c r="M10" s="51">
        <f t="shared" si="3"/>
        <v>40</v>
      </c>
      <c r="N10" s="51">
        <f t="shared" si="4"/>
        <v>15</v>
      </c>
      <c r="O10" s="51">
        <f t="shared" si="5"/>
        <v>38</v>
      </c>
    </row>
    <row r="11" spans="1:15" ht="15.75" x14ac:dyDescent="0.25">
      <c r="A11" s="78"/>
      <c r="B11" s="77" t="s">
        <v>8</v>
      </c>
      <c r="C11" s="4">
        <v>840000</v>
      </c>
      <c r="D11" s="4">
        <f t="shared" si="7"/>
        <v>840000</v>
      </c>
      <c r="E11" s="4">
        <v>1261812.31</v>
      </c>
      <c r="F11" s="4">
        <v>1024146.57</v>
      </c>
      <c r="G11" s="4">
        <f t="shared" si="6"/>
        <v>421812.31000000006</v>
      </c>
      <c r="H11" s="63"/>
      <c r="I11" s="63"/>
      <c r="J11" s="67" t="s">
        <v>8</v>
      </c>
      <c r="K11" s="51">
        <f t="shared" si="1"/>
        <v>840</v>
      </c>
      <c r="L11" s="51">
        <f t="shared" si="2"/>
        <v>840</v>
      </c>
      <c r="M11" s="51">
        <f t="shared" si="3"/>
        <v>1262</v>
      </c>
      <c r="N11" s="51">
        <f t="shared" si="4"/>
        <v>1024</v>
      </c>
      <c r="O11" s="51">
        <f t="shared" si="5"/>
        <v>422</v>
      </c>
    </row>
    <row r="12" spans="1:15" ht="15.75" x14ac:dyDescent="0.25">
      <c r="A12" s="78"/>
      <c r="B12" s="77" t="s">
        <v>60</v>
      </c>
      <c r="C12" s="4">
        <v>22000</v>
      </c>
      <c r="D12" s="4">
        <f>C12+10000</f>
        <v>32000</v>
      </c>
      <c r="E12" s="4">
        <f>1645504.46+191472.45+6870.33-1261812.31</f>
        <v>582034.92999999993</v>
      </c>
      <c r="F12" s="4">
        <f>1847662.17+49269.22+129750.53-1024146.57-49269.22</f>
        <v>953266.13</v>
      </c>
      <c r="G12" s="4">
        <f t="shared" si="6"/>
        <v>550034.92999999993</v>
      </c>
      <c r="H12" s="63"/>
      <c r="I12" s="63"/>
      <c r="J12" s="67" t="s">
        <v>60</v>
      </c>
      <c r="K12" s="51">
        <f t="shared" si="1"/>
        <v>22</v>
      </c>
      <c r="L12" s="51">
        <f t="shared" si="2"/>
        <v>32</v>
      </c>
      <c r="M12" s="51">
        <f t="shared" si="3"/>
        <v>582</v>
      </c>
      <c r="N12" s="51">
        <f t="shared" si="4"/>
        <v>953</v>
      </c>
      <c r="O12" s="51">
        <f t="shared" si="5"/>
        <v>550</v>
      </c>
    </row>
    <row r="13" spans="1:15" ht="15.75" x14ac:dyDescent="0.25">
      <c r="A13" s="78"/>
      <c r="B13" s="77" t="s">
        <v>9</v>
      </c>
      <c r="C13" s="4">
        <v>245000</v>
      </c>
      <c r="D13" s="4">
        <f>C13+75000</f>
        <v>320000</v>
      </c>
      <c r="E13" s="4">
        <f>83999.77+3702321.92</f>
        <v>3786321.69</v>
      </c>
      <c r="F13" s="4">
        <f>244999.77+3568271.09</f>
        <v>3813270.86</v>
      </c>
      <c r="G13" s="4">
        <f t="shared" si="6"/>
        <v>3466321.69</v>
      </c>
      <c r="H13" s="63"/>
      <c r="I13" s="63"/>
      <c r="J13" s="67" t="s">
        <v>9</v>
      </c>
      <c r="K13" s="51">
        <f t="shared" si="1"/>
        <v>245</v>
      </c>
      <c r="L13" s="51">
        <f t="shared" si="2"/>
        <v>320</v>
      </c>
      <c r="M13" s="51">
        <f t="shared" si="3"/>
        <v>3786</v>
      </c>
      <c r="N13" s="51">
        <f t="shared" si="4"/>
        <v>3813</v>
      </c>
      <c r="O13" s="51">
        <f t="shared" si="5"/>
        <v>3466</v>
      </c>
    </row>
    <row r="14" spans="1:15" ht="15.75" x14ac:dyDescent="0.25">
      <c r="A14" s="76" t="s">
        <v>11</v>
      </c>
      <c r="B14" s="76"/>
      <c r="C14" s="42">
        <f>C16+C62+C68+C74+C82+C92+C98+C104+C124</f>
        <v>-475537895</v>
      </c>
      <c r="D14" s="42">
        <f>D16+D62+D68+D74+D82+D92+D98+D104+D124</f>
        <v>-610209515.61000001</v>
      </c>
      <c r="E14" s="42">
        <f>E16+E62+E68+E74+E82+E92+E98+E104+E124</f>
        <v>-561235025.39999998</v>
      </c>
      <c r="F14" s="42">
        <f>F16+F62+F68+F74+F82+F92+F98+F104+F124</f>
        <v>-436156558.76000005</v>
      </c>
      <c r="G14" s="42">
        <f>G16+G62+G68+G74+G82+G92+G98+G104+G124</f>
        <v>48974490.210000001</v>
      </c>
      <c r="J14" s="54" t="s">
        <v>11</v>
      </c>
      <c r="K14" s="50">
        <f t="shared" si="1"/>
        <v>-475538</v>
      </c>
      <c r="L14" s="50">
        <f t="shared" si="2"/>
        <v>-610210</v>
      </c>
      <c r="M14" s="50">
        <f t="shared" si="3"/>
        <v>-561235</v>
      </c>
      <c r="N14" s="50">
        <f t="shared" si="4"/>
        <v>-436157</v>
      </c>
      <c r="O14" s="50">
        <f t="shared" si="5"/>
        <v>48974</v>
      </c>
    </row>
    <row r="15" spans="1:15" ht="15.75" x14ac:dyDescent="0.25">
      <c r="A15" s="78"/>
      <c r="B15" s="77" t="s">
        <v>10</v>
      </c>
      <c r="C15" s="4">
        <f>C17+C63+C69+C75+C83+C93+C99+C125</f>
        <v>-74870079</v>
      </c>
      <c r="D15" s="4">
        <f>D17+D63+D69+D75+D83+D93+D99+D125</f>
        <v>-213100419</v>
      </c>
      <c r="E15" s="4">
        <f>E17+E63+E69+E75+E83+E93+E99+E125</f>
        <v>-178726467</v>
      </c>
      <c r="F15" s="4">
        <f>F17+F63+F69+F75+F83+F93+F99+F125</f>
        <v>-66824748.479999989</v>
      </c>
      <c r="G15" s="4">
        <f>G17+G63+G69+G75+G83+G93+G99+G125</f>
        <v>34373952</v>
      </c>
      <c r="J15" s="55" t="s">
        <v>74</v>
      </c>
      <c r="K15" s="51">
        <f t="shared" si="1"/>
        <v>-74870</v>
      </c>
      <c r="L15" s="51">
        <f t="shared" si="2"/>
        <v>-213100</v>
      </c>
      <c r="M15" s="51">
        <f t="shared" si="3"/>
        <v>-178726</v>
      </c>
      <c r="N15" s="51">
        <f t="shared" si="4"/>
        <v>-66825</v>
      </c>
      <c r="O15" s="51">
        <f t="shared" si="5"/>
        <v>34374</v>
      </c>
    </row>
    <row r="16" spans="1:15" ht="15.75" x14ac:dyDescent="0.25">
      <c r="A16" s="73" t="s">
        <v>26</v>
      </c>
      <c r="B16" s="73"/>
      <c r="C16" s="12">
        <f t="shared" ref="C16:G17" si="8">C18+C50</f>
        <v>-470229842</v>
      </c>
      <c r="D16" s="12">
        <f t="shared" si="8"/>
        <v>-444423134</v>
      </c>
      <c r="E16" s="12">
        <f t="shared" si="8"/>
        <v>-421991023</v>
      </c>
      <c r="F16" s="12">
        <f t="shared" si="8"/>
        <v>-433019383.77000004</v>
      </c>
      <c r="G16" s="12">
        <f t="shared" si="8"/>
        <v>22432111</v>
      </c>
      <c r="J16" s="52" t="s">
        <v>26</v>
      </c>
      <c r="K16" s="50">
        <f t="shared" ref="K16" si="9">ROUND(C16/1000,0)</f>
        <v>-470230</v>
      </c>
      <c r="L16" s="50">
        <f t="shared" ref="L16" si="10">ROUND(D16/1000,0)</f>
        <v>-444423</v>
      </c>
      <c r="M16" s="50">
        <f t="shared" ref="M16" si="11">ROUND(E16/1000,0)</f>
        <v>-421991</v>
      </c>
      <c r="N16" s="50">
        <f t="shared" ref="N16" si="12">ROUND(F16/1000,0)</f>
        <v>-433019</v>
      </c>
      <c r="O16" s="50">
        <f t="shared" ref="O16" si="13">ROUND(G16/1000,0)</f>
        <v>22432</v>
      </c>
    </row>
    <row r="17" spans="1:15" ht="15.75" x14ac:dyDescent="0.25">
      <c r="A17" s="74"/>
      <c r="B17" s="77" t="s">
        <v>10</v>
      </c>
      <c r="C17" s="9">
        <f t="shared" si="8"/>
        <v>-74870079</v>
      </c>
      <c r="D17" s="9">
        <f t="shared" si="8"/>
        <v>-89452302</v>
      </c>
      <c r="E17" s="9">
        <f t="shared" si="8"/>
        <v>-78318136</v>
      </c>
      <c r="F17" s="9">
        <f t="shared" si="8"/>
        <v>-66824748.479999989</v>
      </c>
      <c r="G17" s="9">
        <f t="shared" si="8"/>
        <v>11134166</v>
      </c>
      <c r="H17" s="63"/>
      <c r="I17" s="63"/>
      <c r="J17" s="55" t="s">
        <v>74</v>
      </c>
      <c r="K17" s="51">
        <f t="shared" si="1"/>
        <v>-74870</v>
      </c>
      <c r="L17" s="51">
        <f t="shared" si="2"/>
        <v>-89452</v>
      </c>
      <c r="M17" s="51">
        <f t="shared" si="3"/>
        <v>-78318</v>
      </c>
      <c r="N17" s="51">
        <f t="shared" si="4"/>
        <v>-66825</v>
      </c>
      <c r="O17" s="51">
        <f t="shared" si="5"/>
        <v>11134</v>
      </c>
    </row>
    <row r="18" spans="1:15" ht="15.75" x14ac:dyDescent="0.25">
      <c r="A18" s="75" t="s">
        <v>29</v>
      </c>
      <c r="B18" s="73"/>
      <c r="C18" s="12">
        <f>C20+C22+C24+C26+C28+C30+C32+C34+C36+C38+C40+C42+C44+C46+C48</f>
        <v>-446134291</v>
      </c>
      <c r="D18" s="12">
        <f t="shared" ref="D18:F18" si="14">D20+D22+D24+D26+D28+D30+D32+D34+D36+D38+D40+D42+D44+D46+D48</f>
        <v>-421298365</v>
      </c>
      <c r="E18" s="12">
        <f t="shared" si="14"/>
        <v>-403262799</v>
      </c>
      <c r="F18" s="12">
        <f t="shared" si="14"/>
        <v>-415541765.61000001</v>
      </c>
      <c r="G18" s="12">
        <f>G20+G22+G24+G26+G28+G30+G32+G34+G36+G38+G40+G42+G44+G46+G48</f>
        <v>18035566</v>
      </c>
      <c r="J18" s="50" t="s">
        <v>29</v>
      </c>
      <c r="K18" s="50">
        <f t="shared" si="1"/>
        <v>-446134</v>
      </c>
      <c r="L18" s="50">
        <f t="shared" si="2"/>
        <v>-421298</v>
      </c>
      <c r="M18" s="50">
        <f t="shared" si="3"/>
        <v>-403263</v>
      </c>
      <c r="N18" s="50">
        <f t="shared" si="4"/>
        <v>-415542</v>
      </c>
      <c r="O18" s="50">
        <f t="shared" si="5"/>
        <v>18036</v>
      </c>
    </row>
    <row r="19" spans="1:15" ht="15.75" x14ac:dyDescent="0.25">
      <c r="A19" s="74"/>
      <c r="B19" s="77" t="s">
        <v>10</v>
      </c>
      <c r="C19" s="9">
        <f>C21+C23+C25+C27+C29+C31+C33+C35+C37+C39+C41+C43+C45+C47+C49</f>
        <v>-72335763</v>
      </c>
      <c r="D19" s="9">
        <f t="shared" ref="D19:G19" si="15">D21+D23+D25+D27+D29+D31+D33+D35+D37+D39+D41+D43+D45+D47+D49</f>
        <v>-85882831</v>
      </c>
      <c r="E19" s="9">
        <f t="shared" si="15"/>
        <v>-75609284</v>
      </c>
      <c r="F19" s="9">
        <f t="shared" si="15"/>
        <v>-64435295.109999992</v>
      </c>
      <c r="G19" s="9">
        <f t="shared" si="15"/>
        <v>10273547</v>
      </c>
      <c r="H19" s="63"/>
      <c r="I19" s="63"/>
      <c r="J19" s="55" t="s">
        <v>74</v>
      </c>
      <c r="K19" s="51">
        <f t="shared" si="1"/>
        <v>-72336</v>
      </c>
      <c r="L19" s="51">
        <f t="shared" si="2"/>
        <v>-85883</v>
      </c>
      <c r="M19" s="51">
        <f t="shared" si="3"/>
        <v>-75609</v>
      </c>
      <c r="N19" s="51">
        <f t="shared" si="4"/>
        <v>-64435</v>
      </c>
      <c r="O19" s="51">
        <f t="shared" si="5"/>
        <v>10274</v>
      </c>
    </row>
    <row r="20" spans="1:15" ht="15.75" x14ac:dyDescent="0.25">
      <c r="A20" s="91" t="s">
        <v>144</v>
      </c>
      <c r="B20" s="77"/>
      <c r="C20" s="9">
        <v>-82297063</v>
      </c>
      <c r="D20" s="95">
        <v>-54131889</v>
      </c>
      <c r="E20" s="9">
        <v>-53497926</v>
      </c>
      <c r="F20" s="9">
        <v>-96975215.140000001</v>
      </c>
      <c r="G20" s="4">
        <f t="shared" ref="G20:G49" si="16">E20-D20</f>
        <v>633963</v>
      </c>
      <c r="H20" s="45" t="s">
        <v>145</v>
      </c>
      <c r="I20" s="45" t="s">
        <v>111</v>
      </c>
      <c r="J20" s="68" t="s">
        <v>144</v>
      </c>
      <c r="K20" s="51">
        <f t="shared" ref="K20:K50" si="17">ROUND(C20/1000,0)</f>
        <v>-82297</v>
      </c>
      <c r="L20" s="51">
        <f t="shared" ref="L20:L50" si="18">ROUND(D20/1000,0)</f>
        <v>-54132</v>
      </c>
      <c r="M20" s="51">
        <f t="shared" ref="M20:M50" si="19">ROUND(E20/1000,0)</f>
        <v>-53498</v>
      </c>
      <c r="N20" s="51">
        <f t="shared" si="4"/>
        <v>-96975</v>
      </c>
      <c r="O20" s="51">
        <f t="shared" ref="O20:O50" si="20">ROUND(G20/1000,0)</f>
        <v>634</v>
      </c>
    </row>
    <row r="21" spans="1:15" ht="15.75" x14ac:dyDescent="0.25">
      <c r="A21" s="91"/>
      <c r="B21" s="77" t="s">
        <v>10</v>
      </c>
      <c r="C21" s="9">
        <v>-3756749</v>
      </c>
      <c r="D21" s="95">
        <v>-5866442</v>
      </c>
      <c r="E21" s="9">
        <v>-5362286</v>
      </c>
      <c r="F21" s="9">
        <v>-2072359.95</v>
      </c>
      <c r="G21" s="4">
        <f t="shared" si="16"/>
        <v>504156</v>
      </c>
      <c r="J21" s="55" t="s">
        <v>74</v>
      </c>
      <c r="K21" s="51">
        <f t="shared" si="17"/>
        <v>-3757</v>
      </c>
      <c r="L21" s="51">
        <f t="shared" si="18"/>
        <v>-5866</v>
      </c>
      <c r="M21" s="51">
        <f t="shared" si="19"/>
        <v>-5362</v>
      </c>
      <c r="N21" s="51">
        <f t="shared" si="4"/>
        <v>-2072</v>
      </c>
      <c r="O21" s="51">
        <f t="shared" si="20"/>
        <v>504</v>
      </c>
    </row>
    <row r="22" spans="1:15" ht="15.75" x14ac:dyDescent="0.25">
      <c r="A22" s="91" t="s">
        <v>143</v>
      </c>
      <c r="B22" s="77"/>
      <c r="C22" s="9">
        <v>-21440469</v>
      </c>
      <c r="D22" s="95">
        <v>-26865042</v>
      </c>
      <c r="E22" s="9">
        <v>-25457873</v>
      </c>
      <c r="F22" s="9">
        <f>-2674011.24-8042116.92-1063391.11-5989588.5-1612556.42-306725.45</f>
        <v>-19688389.639999997</v>
      </c>
      <c r="G22" s="4">
        <f t="shared" si="16"/>
        <v>1407169</v>
      </c>
      <c r="H22" s="45" t="s">
        <v>142</v>
      </c>
      <c r="I22" s="45" t="s">
        <v>167</v>
      </c>
      <c r="J22" s="68" t="s">
        <v>143</v>
      </c>
      <c r="K22" s="51">
        <f t="shared" si="17"/>
        <v>-21440</v>
      </c>
      <c r="L22" s="51">
        <f t="shared" si="18"/>
        <v>-26865</v>
      </c>
      <c r="M22" s="51">
        <f t="shared" si="19"/>
        <v>-25458</v>
      </c>
      <c r="N22" s="51">
        <f t="shared" si="4"/>
        <v>-19688</v>
      </c>
      <c r="O22" s="51">
        <f t="shared" si="20"/>
        <v>1407</v>
      </c>
    </row>
    <row r="23" spans="1:15" ht="15.75" x14ac:dyDescent="0.25">
      <c r="A23" s="91"/>
      <c r="B23" s="77" t="s">
        <v>10</v>
      </c>
      <c r="C23" s="9">
        <v>-8820885</v>
      </c>
      <c r="D23" s="95">
        <v>-9930043</v>
      </c>
      <c r="E23" s="9">
        <v>-9326954</v>
      </c>
      <c r="F23" s="9">
        <f>-1850449.39-5306197.02-851254.1-828623.6-1334439.9-262121.03</f>
        <v>-10433085.039999999</v>
      </c>
      <c r="G23" s="4">
        <f t="shared" si="16"/>
        <v>603089</v>
      </c>
      <c r="H23" s="45" t="s">
        <v>110</v>
      </c>
      <c r="I23" s="45" t="s">
        <v>109</v>
      </c>
      <c r="J23" s="55" t="s">
        <v>74</v>
      </c>
      <c r="K23" s="51">
        <f t="shared" si="17"/>
        <v>-8821</v>
      </c>
      <c r="L23" s="51">
        <f t="shared" si="18"/>
        <v>-9930</v>
      </c>
      <c r="M23" s="51">
        <f t="shared" si="19"/>
        <v>-9327</v>
      </c>
      <c r="N23" s="51">
        <f t="shared" si="4"/>
        <v>-10433</v>
      </c>
      <c r="O23" s="51">
        <f t="shared" si="20"/>
        <v>603</v>
      </c>
    </row>
    <row r="24" spans="1:15" ht="15.75" x14ac:dyDescent="0.25">
      <c r="A24" s="91" t="s">
        <v>93</v>
      </c>
      <c r="B24" s="77"/>
      <c r="C24" s="9">
        <v>-11572397</v>
      </c>
      <c r="D24" s="95">
        <v>-13186261</v>
      </c>
      <c r="E24" s="9">
        <v>-11434933</v>
      </c>
      <c r="F24" s="9">
        <v>-11356979.59</v>
      </c>
      <c r="G24" s="4">
        <f t="shared" si="16"/>
        <v>1751328</v>
      </c>
      <c r="H24" s="45" t="s">
        <v>112</v>
      </c>
      <c r="J24" s="68" t="s">
        <v>93</v>
      </c>
      <c r="K24" s="51">
        <f t="shared" si="17"/>
        <v>-11572</v>
      </c>
      <c r="L24" s="51">
        <f t="shared" si="18"/>
        <v>-13186</v>
      </c>
      <c r="M24" s="51">
        <f t="shared" si="19"/>
        <v>-11435</v>
      </c>
      <c r="N24" s="51">
        <f t="shared" si="4"/>
        <v>-11357</v>
      </c>
      <c r="O24" s="51">
        <f t="shared" si="20"/>
        <v>1751</v>
      </c>
    </row>
    <row r="25" spans="1:15" ht="15.75" x14ac:dyDescent="0.25">
      <c r="A25" s="91"/>
      <c r="B25" s="77" t="s">
        <v>10</v>
      </c>
      <c r="C25" s="9">
        <v>-8610372</v>
      </c>
      <c r="D25" s="95">
        <v>-9185645</v>
      </c>
      <c r="E25" s="9">
        <v>-8857005</v>
      </c>
      <c r="F25" s="9">
        <v>-8353902.3600000003</v>
      </c>
      <c r="G25" s="4">
        <f t="shared" si="16"/>
        <v>328640</v>
      </c>
      <c r="J25" s="55" t="s">
        <v>74</v>
      </c>
      <c r="K25" s="51">
        <f t="shared" si="17"/>
        <v>-8610</v>
      </c>
      <c r="L25" s="51">
        <f t="shared" si="18"/>
        <v>-9186</v>
      </c>
      <c r="M25" s="51">
        <f t="shared" si="19"/>
        <v>-8857</v>
      </c>
      <c r="N25" s="51">
        <f t="shared" si="4"/>
        <v>-8354</v>
      </c>
      <c r="O25" s="51">
        <f t="shared" si="20"/>
        <v>329</v>
      </c>
    </row>
    <row r="26" spans="1:15" ht="15.75" x14ac:dyDescent="0.25">
      <c r="A26" s="91" t="s">
        <v>94</v>
      </c>
      <c r="B26" s="77"/>
      <c r="C26" s="9">
        <v>-10050080</v>
      </c>
      <c r="D26" s="95">
        <v>-10539268</v>
      </c>
      <c r="E26" s="9">
        <v>-9721078</v>
      </c>
      <c r="F26" s="9">
        <v>-7357274.7599999998</v>
      </c>
      <c r="G26" s="4">
        <f t="shared" si="16"/>
        <v>818190</v>
      </c>
      <c r="H26" s="45" t="s">
        <v>113</v>
      </c>
      <c r="J26" s="68" t="s">
        <v>94</v>
      </c>
      <c r="K26" s="51">
        <f t="shared" si="17"/>
        <v>-10050</v>
      </c>
      <c r="L26" s="51">
        <f t="shared" si="18"/>
        <v>-10539</v>
      </c>
      <c r="M26" s="51">
        <f t="shared" si="19"/>
        <v>-9721</v>
      </c>
      <c r="N26" s="51">
        <f t="shared" si="4"/>
        <v>-7357</v>
      </c>
      <c r="O26" s="51">
        <f t="shared" si="20"/>
        <v>818</v>
      </c>
    </row>
    <row r="27" spans="1:15" ht="15.75" x14ac:dyDescent="0.25">
      <c r="A27" s="91"/>
      <c r="B27" s="77" t="s">
        <v>10</v>
      </c>
      <c r="C27" s="9">
        <v>-2189393</v>
      </c>
      <c r="D27" s="95">
        <v>-2705545</v>
      </c>
      <c r="E27" s="9">
        <v>-2094557</v>
      </c>
      <c r="F27" s="9">
        <v>-605960.64</v>
      </c>
      <c r="G27" s="4">
        <f t="shared" si="16"/>
        <v>610988</v>
      </c>
      <c r="J27" s="55" t="s">
        <v>74</v>
      </c>
      <c r="K27" s="51">
        <f t="shared" si="17"/>
        <v>-2189</v>
      </c>
      <c r="L27" s="51">
        <f t="shared" si="18"/>
        <v>-2706</v>
      </c>
      <c r="M27" s="51">
        <f t="shared" si="19"/>
        <v>-2095</v>
      </c>
      <c r="N27" s="51">
        <f t="shared" si="4"/>
        <v>-606</v>
      </c>
      <c r="O27" s="51">
        <f t="shared" si="20"/>
        <v>611</v>
      </c>
    </row>
    <row r="28" spans="1:15" ht="15.75" x14ac:dyDescent="0.25">
      <c r="A28" s="91" t="s">
        <v>95</v>
      </c>
      <c r="B28" s="77"/>
      <c r="C28" s="9">
        <v>-13373070</v>
      </c>
      <c r="D28" s="95">
        <v>-11380728</v>
      </c>
      <c r="E28" s="9">
        <v>-9520686</v>
      </c>
      <c r="F28" s="9">
        <v>-10780845.859999999</v>
      </c>
      <c r="G28" s="4">
        <f t="shared" si="16"/>
        <v>1860042</v>
      </c>
      <c r="H28" s="45" t="s">
        <v>114</v>
      </c>
      <c r="J28" s="68" t="s">
        <v>95</v>
      </c>
      <c r="K28" s="51">
        <f t="shared" si="17"/>
        <v>-13373</v>
      </c>
      <c r="L28" s="51">
        <f t="shared" si="18"/>
        <v>-11381</v>
      </c>
      <c r="M28" s="51">
        <f t="shared" si="19"/>
        <v>-9521</v>
      </c>
      <c r="N28" s="51">
        <f t="shared" si="4"/>
        <v>-10781</v>
      </c>
      <c r="O28" s="51">
        <f t="shared" si="20"/>
        <v>1860</v>
      </c>
    </row>
    <row r="29" spans="1:15" ht="15.75" x14ac:dyDescent="0.25">
      <c r="A29" s="91"/>
      <c r="B29" s="77" t="s">
        <v>10</v>
      </c>
      <c r="C29" s="9">
        <v>-3537781</v>
      </c>
      <c r="D29" s="95">
        <v>-3841413</v>
      </c>
      <c r="E29" s="9">
        <v>-3653110</v>
      </c>
      <c r="F29" s="9">
        <v>-2918906.85</v>
      </c>
      <c r="G29" s="4">
        <f t="shared" si="16"/>
        <v>188303</v>
      </c>
      <c r="J29" s="55" t="s">
        <v>74</v>
      </c>
      <c r="K29" s="51">
        <f t="shared" si="17"/>
        <v>-3538</v>
      </c>
      <c r="L29" s="51">
        <f t="shared" si="18"/>
        <v>-3841</v>
      </c>
      <c r="M29" s="51">
        <f t="shared" si="19"/>
        <v>-3653</v>
      </c>
      <c r="N29" s="51">
        <f t="shared" si="4"/>
        <v>-2919</v>
      </c>
      <c r="O29" s="51">
        <f t="shared" si="20"/>
        <v>188</v>
      </c>
    </row>
    <row r="30" spans="1:15" ht="15.75" x14ac:dyDescent="0.25">
      <c r="A30" s="91" t="s">
        <v>96</v>
      </c>
      <c r="B30" s="77"/>
      <c r="C30" s="9">
        <v>-10894596</v>
      </c>
      <c r="D30" s="95">
        <v>-14172081</v>
      </c>
      <c r="E30" s="9">
        <v>-11623304</v>
      </c>
      <c r="F30" s="9">
        <f>-10515417.91+12176.49</f>
        <v>-10503241.42</v>
      </c>
      <c r="G30" s="4">
        <f t="shared" si="16"/>
        <v>2548777</v>
      </c>
      <c r="H30" s="45" t="s">
        <v>115</v>
      </c>
      <c r="J30" s="68" t="s">
        <v>96</v>
      </c>
      <c r="K30" s="51">
        <f t="shared" si="17"/>
        <v>-10895</v>
      </c>
      <c r="L30" s="51">
        <f t="shared" si="18"/>
        <v>-14172</v>
      </c>
      <c r="M30" s="51">
        <f t="shared" si="19"/>
        <v>-11623</v>
      </c>
      <c r="N30" s="51">
        <f t="shared" si="4"/>
        <v>-10503</v>
      </c>
      <c r="O30" s="51">
        <f t="shared" si="20"/>
        <v>2549</v>
      </c>
    </row>
    <row r="31" spans="1:15" ht="15.75" x14ac:dyDescent="0.25">
      <c r="A31" s="91"/>
      <c r="B31" s="77" t="s">
        <v>10</v>
      </c>
      <c r="C31" s="9">
        <v>-7339594</v>
      </c>
      <c r="D31" s="95">
        <v>-8209332</v>
      </c>
      <c r="E31" s="9">
        <v>-7081395</v>
      </c>
      <c r="F31" s="9">
        <v>-5897413.2999999998</v>
      </c>
      <c r="G31" s="4">
        <f t="shared" si="16"/>
        <v>1127937</v>
      </c>
      <c r="J31" s="55" t="s">
        <v>74</v>
      </c>
      <c r="K31" s="51">
        <f t="shared" si="17"/>
        <v>-7340</v>
      </c>
      <c r="L31" s="51">
        <f t="shared" si="18"/>
        <v>-8209</v>
      </c>
      <c r="M31" s="51">
        <f t="shared" si="19"/>
        <v>-7081</v>
      </c>
      <c r="N31" s="51">
        <f t="shared" si="4"/>
        <v>-5897</v>
      </c>
      <c r="O31" s="51">
        <f t="shared" si="20"/>
        <v>1128</v>
      </c>
    </row>
    <row r="32" spans="1:15" ht="15.75" x14ac:dyDescent="0.25">
      <c r="A32" s="91" t="s">
        <v>97</v>
      </c>
      <c r="B32" s="77"/>
      <c r="C32" s="9">
        <v>-6222233</v>
      </c>
      <c r="D32" s="95">
        <v>-5372872</v>
      </c>
      <c r="E32" s="9">
        <v>-5330087</v>
      </c>
      <c r="F32" s="9">
        <v>-6776502.5899999999</v>
      </c>
      <c r="G32" s="4">
        <f t="shared" si="16"/>
        <v>42785</v>
      </c>
      <c r="H32" s="45" t="s">
        <v>116</v>
      </c>
      <c r="J32" s="68" t="s">
        <v>97</v>
      </c>
      <c r="K32" s="51">
        <f t="shared" si="17"/>
        <v>-6222</v>
      </c>
      <c r="L32" s="51">
        <f t="shared" si="18"/>
        <v>-5373</v>
      </c>
      <c r="M32" s="51">
        <f t="shared" si="19"/>
        <v>-5330</v>
      </c>
      <c r="N32" s="51">
        <f t="shared" si="4"/>
        <v>-6777</v>
      </c>
      <c r="O32" s="51">
        <f t="shared" si="20"/>
        <v>43</v>
      </c>
    </row>
    <row r="33" spans="1:15" ht="15.75" x14ac:dyDescent="0.25">
      <c r="A33" s="91"/>
      <c r="B33" s="77" t="s">
        <v>10</v>
      </c>
      <c r="C33" s="9">
        <v>-4894597</v>
      </c>
      <c r="D33" s="95">
        <v>-5220048</v>
      </c>
      <c r="E33" s="9">
        <v>-5112952</v>
      </c>
      <c r="F33" s="9">
        <v>-5577270.0700000003</v>
      </c>
      <c r="G33" s="4">
        <f t="shared" si="16"/>
        <v>107096</v>
      </c>
      <c r="J33" s="55" t="s">
        <v>74</v>
      </c>
      <c r="K33" s="51">
        <f t="shared" si="17"/>
        <v>-4895</v>
      </c>
      <c r="L33" s="51">
        <f t="shared" si="18"/>
        <v>-5220</v>
      </c>
      <c r="M33" s="51">
        <f t="shared" si="19"/>
        <v>-5113</v>
      </c>
      <c r="N33" s="51">
        <f t="shared" si="4"/>
        <v>-5577</v>
      </c>
      <c r="O33" s="51">
        <f t="shared" si="20"/>
        <v>107</v>
      </c>
    </row>
    <row r="34" spans="1:15" ht="15.75" x14ac:dyDescent="0.25">
      <c r="A34" s="91" t="s">
        <v>98</v>
      </c>
      <c r="B34" s="77"/>
      <c r="C34" s="9">
        <v>-79544347</v>
      </c>
      <c r="D34" s="95">
        <v>-80142314</v>
      </c>
      <c r="E34" s="9">
        <v>-79602431</v>
      </c>
      <c r="F34" s="9">
        <f>-62083087.48+112.1-12176.49</f>
        <v>-62095151.869999997</v>
      </c>
      <c r="G34" s="4">
        <f t="shared" si="16"/>
        <v>539883</v>
      </c>
      <c r="H34" s="45" t="s">
        <v>117</v>
      </c>
      <c r="J34" s="68" t="s">
        <v>98</v>
      </c>
      <c r="K34" s="51">
        <f t="shared" si="17"/>
        <v>-79544</v>
      </c>
      <c r="L34" s="51">
        <f t="shared" si="18"/>
        <v>-80142</v>
      </c>
      <c r="M34" s="51">
        <f t="shared" si="19"/>
        <v>-79602</v>
      </c>
      <c r="N34" s="51">
        <f t="shared" si="4"/>
        <v>-62095</v>
      </c>
      <c r="O34" s="51">
        <f t="shared" si="20"/>
        <v>540</v>
      </c>
    </row>
    <row r="35" spans="1:15" ht="15.75" x14ac:dyDescent="0.25">
      <c r="A35" s="91"/>
      <c r="B35" s="77" t="s">
        <v>10</v>
      </c>
      <c r="C35" s="9">
        <v>-7127581</v>
      </c>
      <c r="D35" s="95">
        <v>-9201880</v>
      </c>
      <c r="E35" s="9">
        <v>-8792428</v>
      </c>
      <c r="F35" s="9">
        <f>-17911468.88-12176.49</f>
        <v>-17923645.369999997</v>
      </c>
      <c r="G35" s="4">
        <f t="shared" si="16"/>
        <v>409452</v>
      </c>
      <c r="J35" s="55" t="s">
        <v>74</v>
      </c>
      <c r="K35" s="51">
        <f t="shared" si="17"/>
        <v>-7128</v>
      </c>
      <c r="L35" s="51">
        <f t="shared" si="18"/>
        <v>-9202</v>
      </c>
      <c r="M35" s="51">
        <f t="shared" si="19"/>
        <v>-8792</v>
      </c>
      <c r="N35" s="51">
        <f t="shared" si="4"/>
        <v>-17924</v>
      </c>
      <c r="O35" s="51">
        <f t="shared" si="20"/>
        <v>409</v>
      </c>
    </row>
    <row r="36" spans="1:15" ht="15.75" x14ac:dyDescent="0.25">
      <c r="A36" s="91" t="s">
        <v>99</v>
      </c>
      <c r="B36" s="77"/>
      <c r="C36" s="9">
        <v>-10911988</v>
      </c>
      <c r="D36" s="95">
        <v>-5799796</v>
      </c>
      <c r="E36" s="9">
        <v>-4763835</v>
      </c>
      <c r="F36" s="9">
        <v>-5782570.5</v>
      </c>
      <c r="G36" s="4">
        <f t="shared" si="16"/>
        <v>1035961</v>
      </c>
      <c r="H36" s="45" t="s">
        <v>118</v>
      </c>
      <c r="J36" s="68" t="s">
        <v>99</v>
      </c>
      <c r="K36" s="51">
        <f t="shared" si="17"/>
        <v>-10912</v>
      </c>
      <c r="L36" s="51">
        <f t="shared" si="18"/>
        <v>-5800</v>
      </c>
      <c r="M36" s="51">
        <f t="shared" si="19"/>
        <v>-4764</v>
      </c>
      <c r="N36" s="51">
        <f t="shared" si="4"/>
        <v>-5783</v>
      </c>
      <c r="O36" s="51">
        <f t="shared" si="20"/>
        <v>1036</v>
      </c>
    </row>
    <row r="37" spans="1:15" ht="15.75" x14ac:dyDescent="0.25">
      <c r="A37" s="91"/>
      <c r="B37" s="77" t="s">
        <v>10</v>
      </c>
      <c r="C37" s="9">
        <v>-1339321</v>
      </c>
      <c r="D37" s="95">
        <v>-1436061</v>
      </c>
      <c r="E37" s="9">
        <v>-1132871</v>
      </c>
      <c r="F37" s="9">
        <v>-368417.94</v>
      </c>
      <c r="G37" s="4">
        <f t="shared" si="16"/>
        <v>303190</v>
      </c>
      <c r="J37" s="55" t="s">
        <v>74</v>
      </c>
      <c r="K37" s="51">
        <f t="shared" si="17"/>
        <v>-1339</v>
      </c>
      <c r="L37" s="51">
        <f t="shared" si="18"/>
        <v>-1436</v>
      </c>
      <c r="M37" s="51">
        <f t="shared" si="19"/>
        <v>-1133</v>
      </c>
      <c r="N37" s="51">
        <f t="shared" si="4"/>
        <v>-368</v>
      </c>
      <c r="O37" s="51">
        <f t="shared" si="20"/>
        <v>303</v>
      </c>
    </row>
    <row r="38" spans="1:15" ht="15.75" x14ac:dyDescent="0.25">
      <c r="A38" s="91" t="s">
        <v>100</v>
      </c>
      <c r="B38" s="77"/>
      <c r="C38" s="9">
        <v>-129140839</v>
      </c>
      <c r="D38" s="95">
        <v>-130582537</v>
      </c>
      <c r="E38" s="9">
        <v>-130038512</v>
      </c>
      <c r="F38" s="9">
        <v>-1341905.83</v>
      </c>
      <c r="G38" s="4">
        <f t="shared" si="16"/>
        <v>544025</v>
      </c>
      <c r="H38" s="45" t="s">
        <v>119</v>
      </c>
      <c r="J38" s="68" t="s">
        <v>100</v>
      </c>
      <c r="K38" s="51">
        <f t="shared" si="17"/>
        <v>-129141</v>
      </c>
      <c r="L38" s="51">
        <f t="shared" si="18"/>
        <v>-130583</v>
      </c>
      <c r="M38" s="51">
        <f t="shared" si="19"/>
        <v>-130039</v>
      </c>
      <c r="N38" s="51">
        <f t="shared" si="4"/>
        <v>-1342</v>
      </c>
      <c r="O38" s="51">
        <f t="shared" si="20"/>
        <v>544</v>
      </c>
    </row>
    <row r="39" spans="1:15" ht="15.75" x14ac:dyDescent="0.25">
      <c r="A39" s="91"/>
      <c r="B39" s="77" t="s">
        <v>10</v>
      </c>
      <c r="C39" s="9">
        <v>-13278225</v>
      </c>
      <c r="D39" s="95">
        <v>-13495078</v>
      </c>
      <c r="E39" s="9">
        <v>-13161382</v>
      </c>
      <c r="F39" s="9">
        <v>-1026150.68</v>
      </c>
      <c r="G39" s="4">
        <f t="shared" si="16"/>
        <v>333696</v>
      </c>
      <c r="J39" s="55" t="s">
        <v>74</v>
      </c>
      <c r="K39" s="51">
        <f t="shared" si="17"/>
        <v>-13278</v>
      </c>
      <c r="L39" s="51">
        <f t="shared" si="18"/>
        <v>-13495</v>
      </c>
      <c r="M39" s="51">
        <f t="shared" si="19"/>
        <v>-13161</v>
      </c>
      <c r="N39" s="51">
        <f t="shared" si="4"/>
        <v>-1026</v>
      </c>
      <c r="O39" s="51">
        <f t="shared" si="20"/>
        <v>334</v>
      </c>
    </row>
    <row r="40" spans="1:15" ht="15.75" x14ac:dyDescent="0.25">
      <c r="A40" s="91" t="s">
        <v>101</v>
      </c>
      <c r="B40" s="77"/>
      <c r="C40" s="9">
        <v>-4438549</v>
      </c>
      <c r="D40" s="95">
        <v>-2000204</v>
      </c>
      <c r="E40" s="9">
        <v>-1329464</v>
      </c>
      <c r="F40" s="9">
        <v>-1100828.3500000001</v>
      </c>
      <c r="G40" s="4">
        <f t="shared" si="16"/>
        <v>670740</v>
      </c>
      <c r="H40" s="45" t="s">
        <v>120</v>
      </c>
      <c r="J40" s="68" t="s">
        <v>101</v>
      </c>
      <c r="K40" s="51">
        <f t="shared" si="17"/>
        <v>-4439</v>
      </c>
      <c r="L40" s="51">
        <f t="shared" si="18"/>
        <v>-2000</v>
      </c>
      <c r="M40" s="51">
        <f t="shared" si="19"/>
        <v>-1329</v>
      </c>
      <c r="N40" s="51">
        <f t="shared" si="4"/>
        <v>-1101</v>
      </c>
      <c r="O40" s="51">
        <f t="shared" si="20"/>
        <v>671</v>
      </c>
    </row>
    <row r="41" spans="1:15" ht="15.75" x14ac:dyDescent="0.25">
      <c r="A41" s="91"/>
      <c r="B41" s="77" t="s">
        <v>10</v>
      </c>
      <c r="C41" s="9">
        <v>-961867</v>
      </c>
      <c r="D41" s="95">
        <v>-1050485</v>
      </c>
      <c r="E41" s="9">
        <v>-825692</v>
      </c>
      <c r="F41" s="9">
        <v>-730765.21</v>
      </c>
      <c r="G41" s="4">
        <f t="shared" si="16"/>
        <v>224793</v>
      </c>
      <c r="J41" s="55" t="s">
        <v>74</v>
      </c>
      <c r="K41" s="51">
        <f t="shared" si="17"/>
        <v>-962</v>
      </c>
      <c r="L41" s="51">
        <f t="shared" si="18"/>
        <v>-1050</v>
      </c>
      <c r="M41" s="51">
        <f t="shared" si="19"/>
        <v>-826</v>
      </c>
      <c r="N41" s="51">
        <f t="shared" si="4"/>
        <v>-731</v>
      </c>
      <c r="O41" s="51">
        <f t="shared" si="20"/>
        <v>225</v>
      </c>
    </row>
    <row r="42" spans="1:15" ht="15.75" x14ac:dyDescent="0.25">
      <c r="A42" s="91" t="s">
        <v>102</v>
      </c>
      <c r="B42" s="77"/>
      <c r="C42" s="9">
        <v>-2651029</v>
      </c>
      <c r="D42" s="95">
        <v>-5239866</v>
      </c>
      <c r="E42" s="9">
        <v>-2847287</v>
      </c>
      <c r="F42" s="9">
        <v>-130890221.63</v>
      </c>
      <c r="G42" s="4">
        <f t="shared" si="16"/>
        <v>2392579</v>
      </c>
      <c r="H42" s="45" t="s">
        <v>121</v>
      </c>
      <c r="J42" s="68" t="s">
        <v>102</v>
      </c>
      <c r="K42" s="51">
        <f t="shared" si="17"/>
        <v>-2651</v>
      </c>
      <c r="L42" s="51">
        <f t="shared" si="18"/>
        <v>-5240</v>
      </c>
      <c r="M42" s="51">
        <f t="shared" si="19"/>
        <v>-2847</v>
      </c>
      <c r="N42" s="51">
        <f t="shared" si="4"/>
        <v>-130890</v>
      </c>
      <c r="O42" s="51">
        <f t="shared" si="20"/>
        <v>2393</v>
      </c>
    </row>
    <row r="43" spans="1:15" ht="15.75" x14ac:dyDescent="0.25">
      <c r="A43" s="91"/>
      <c r="B43" s="77" t="s">
        <v>10</v>
      </c>
      <c r="C43" s="9">
        <v>-1377815</v>
      </c>
      <c r="D43" s="95">
        <v>-4716459</v>
      </c>
      <c r="E43" s="9">
        <v>-2419997</v>
      </c>
      <c r="F43" s="9">
        <v>-2399943.5499999998</v>
      </c>
      <c r="G43" s="4">
        <f t="shared" si="16"/>
        <v>2296462</v>
      </c>
      <c r="J43" s="55" t="s">
        <v>74</v>
      </c>
      <c r="K43" s="51">
        <f t="shared" si="17"/>
        <v>-1378</v>
      </c>
      <c r="L43" s="51">
        <f t="shared" si="18"/>
        <v>-4716</v>
      </c>
      <c r="M43" s="51">
        <f t="shared" si="19"/>
        <v>-2420</v>
      </c>
      <c r="N43" s="51">
        <f t="shared" si="4"/>
        <v>-2400</v>
      </c>
      <c r="O43" s="51">
        <f t="shared" si="20"/>
        <v>2296</v>
      </c>
    </row>
    <row r="44" spans="1:15" ht="15.75" x14ac:dyDescent="0.25">
      <c r="A44" s="91" t="s">
        <v>103</v>
      </c>
      <c r="B44" s="77"/>
      <c r="C44" s="9">
        <v>-28333801</v>
      </c>
      <c r="D44" s="95">
        <v>-30286116</v>
      </c>
      <c r="E44" s="9">
        <v>-28255711</v>
      </c>
      <c r="F44" s="9">
        <v>-23730004.920000002</v>
      </c>
      <c r="G44" s="4">
        <f t="shared" si="16"/>
        <v>2030405</v>
      </c>
      <c r="H44" s="45" t="s">
        <v>128</v>
      </c>
      <c r="J44" s="68" t="s">
        <v>103</v>
      </c>
      <c r="K44" s="51">
        <f t="shared" si="17"/>
        <v>-28334</v>
      </c>
      <c r="L44" s="51">
        <f t="shared" si="18"/>
        <v>-30286</v>
      </c>
      <c r="M44" s="51">
        <f t="shared" si="19"/>
        <v>-28256</v>
      </c>
      <c r="N44" s="51">
        <f t="shared" si="4"/>
        <v>-23730</v>
      </c>
      <c r="O44" s="51">
        <f t="shared" si="20"/>
        <v>2030</v>
      </c>
    </row>
    <row r="45" spans="1:15" ht="15.75" x14ac:dyDescent="0.25">
      <c r="A45" s="91"/>
      <c r="B45" s="77" t="s">
        <v>10</v>
      </c>
      <c r="C45" s="9">
        <v>-3940411</v>
      </c>
      <c r="D45" s="95">
        <v>-5431705</v>
      </c>
      <c r="E45" s="9">
        <v>-3325149</v>
      </c>
      <c r="F45" s="9">
        <v>-2103178.46</v>
      </c>
      <c r="G45" s="4">
        <f t="shared" si="16"/>
        <v>2106556</v>
      </c>
      <c r="J45" s="55" t="s">
        <v>74</v>
      </c>
      <c r="K45" s="51">
        <f t="shared" si="17"/>
        <v>-3940</v>
      </c>
      <c r="L45" s="51">
        <f t="shared" si="18"/>
        <v>-5432</v>
      </c>
      <c r="M45" s="51">
        <f t="shared" si="19"/>
        <v>-3325</v>
      </c>
      <c r="N45" s="51">
        <f t="shared" si="4"/>
        <v>-2103</v>
      </c>
      <c r="O45" s="51">
        <f t="shared" si="20"/>
        <v>2107</v>
      </c>
    </row>
    <row r="46" spans="1:15" ht="15.75" x14ac:dyDescent="0.25">
      <c r="A46" s="91" t="s">
        <v>146</v>
      </c>
      <c r="B46" s="77"/>
      <c r="C46" s="9">
        <v>-35263830</v>
      </c>
      <c r="D46" s="95">
        <v>-31599391</v>
      </c>
      <c r="E46" s="9">
        <v>-29839672</v>
      </c>
      <c r="F46" s="9">
        <v>-27037835.550000001</v>
      </c>
      <c r="G46" s="4">
        <f t="shared" si="16"/>
        <v>1759719</v>
      </c>
      <c r="H46" s="45" t="s">
        <v>147</v>
      </c>
      <c r="I46" s="45" t="s">
        <v>122</v>
      </c>
      <c r="J46" s="68" t="s">
        <v>146</v>
      </c>
      <c r="K46" s="51">
        <f t="shared" si="17"/>
        <v>-35264</v>
      </c>
      <c r="L46" s="51">
        <f t="shared" si="18"/>
        <v>-31599</v>
      </c>
      <c r="M46" s="51">
        <f t="shared" si="19"/>
        <v>-29840</v>
      </c>
      <c r="N46" s="51">
        <f t="shared" si="4"/>
        <v>-27038</v>
      </c>
      <c r="O46" s="51">
        <f t="shared" si="20"/>
        <v>1760</v>
      </c>
    </row>
    <row r="47" spans="1:15" ht="15.75" x14ac:dyDescent="0.25">
      <c r="A47" s="91"/>
      <c r="B47" s="77" t="s">
        <v>10</v>
      </c>
      <c r="C47" s="9">
        <v>-5161172</v>
      </c>
      <c r="D47" s="95">
        <v>-5592695</v>
      </c>
      <c r="E47" s="9">
        <v>-4463506</v>
      </c>
      <c r="F47" s="9">
        <v>-3965288.3</v>
      </c>
      <c r="G47" s="4">
        <f t="shared" si="16"/>
        <v>1129189</v>
      </c>
      <c r="J47" s="55" t="s">
        <v>74</v>
      </c>
      <c r="K47" s="51">
        <f t="shared" si="17"/>
        <v>-5161</v>
      </c>
      <c r="L47" s="51">
        <f t="shared" si="18"/>
        <v>-5593</v>
      </c>
      <c r="M47" s="51">
        <f t="shared" si="19"/>
        <v>-4464</v>
      </c>
      <c r="N47" s="51">
        <f t="shared" si="4"/>
        <v>-3965</v>
      </c>
      <c r="O47" s="51">
        <f t="shared" si="20"/>
        <v>1129</v>
      </c>
    </row>
    <row r="48" spans="1:15" ht="15.75" x14ac:dyDescent="0.25">
      <c r="A48" s="91" t="s">
        <v>104</v>
      </c>
      <c r="B48" s="77"/>
      <c r="C48" s="9">
        <v>0</v>
      </c>
      <c r="D48" s="95">
        <f t="shared" ref="D48:D49" si="21">C48</f>
        <v>0</v>
      </c>
      <c r="E48" s="9">
        <v>0</v>
      </c>
      <c r="F48" s="9">
        <v>-124797.96</v>
      </c>
      <c r="G48" s="4">
        <f t="shared" si="16"/>
        <v>0</v>
      </c>
      <c r="H48" s="45" t="s">
        <v>123</v>
      </c>
      <c r="J48" s="68" t="s">
        <v>104</v>
      </c>
      <c r="K48" s="51">
        <f t="shared" si="17"/>
        <v>0</v>
      </c>
      <c r="L48" s="51">
        <f t="shared" si="18"/>
        <v>0</v>
      </c>
      <c r="M48" s="51">
        <f t="shared" si="19"/>
        <v>0</v>
      </c>
      <c r="N48" s="51">
        <f t="shared" si="4"/>
        <v>-125</v>
      </c>
      <c r="O48" s="51">
        <f t="shared" si="20"/>
        <v>0</v>
      </c>
    </row>
    <row r="49" spans="1:15" ht="15.75" x14ac:dyDescent="0.25">
      <c r="A49" s="74"/>
      <c r="B49" s="77" t="s">
        <v>10</v>
      </c>
      <c r="C49" s="9">
        <v>0</v>
      </c>
      <c r="D49" s="95">
        <f t="shared" si="21"/>
        <v>0</v>
      </c>
      <c r="E49" s="9">
        <v>0</v>
      </c>
      <c r="F49" s="9">
        <v>-59007.39</v>
      </c>
      <c r="G49" s="4">
        <f t="shared" si="16"/>
        <v>0</v>
      </c>
      <c r="J49" s="55" t="s">
        <v>74</v>
      </c>
      <c r="K49" s="51">
        <f t="shared" si="17"/>
        <v>0</v>
      </c>
      <c r="L49" s="51">
        <f t="shared" si="18"/>
        <v>0</v>
      </c>
      <c r="M49" s="51">
        <f t="shared" si="19"/>
        <v>0</v>
      </c>
      <c r="N49" s="51">
        <f t="shared" si="4"/>
        <v>-59</v>
      </c>
      <c r="O49" s="51">
        <f t="shared" si="20"/>
        <v>0</v>
      </c>
    </row>
    <row r="50" spans="1:15" ht="15.75" x14ac:dyDescent="0.25">
      <c r="A50" s="75" t="s">
        <v>30</v>
      </c>
      <c r="B50" s="75"/>
      <c r="C50" s="12">
        <f>C52+C54+C56+C58+C60</f>
        <v>-24095551</v>
      </c>
      <c r="D50" s="12">
        <f t="shared" ref="D50:G50" si="22">D52+D54+D56+D58+D60</f>
        <v>-23124769</v>
      </c>
      <c r="E50" s="12">
        <f t="shared" si="22"/>
        <v>-18728224</v>
      </c>
      <c r="F50" s="12">
        <f t="shared" si="22"/>
        <v>-17477618.16</v>
      </c>
      <c r="G50" s="12">
        <f t="shared" si="22"/>
        <v>4396545</v>
      </c>
      <c r="J50" s="50" t="s">
        <v>30</v>
      </c>
      <c r="K50" s="50">
        <f t="shared" si="17"/>
        <v>-24096</v>
      </c>
      <c r="L50" s="50">
        <f t="shared" si="18"/>
        <v>-23125</v>
      </c>
      <c r="M50" s="50">
        <f t="shared" si="19"/>
        <v>-18728</v>
      </c>
      <c r="N50" s="50">
        <f t="shared" ref="N50" si="23">ROUND(F50/1000,0)</f>
        <v>-17478</v>
      </c>
      <c r="O50" s="50">
        <f t="shared" si="20"/>
        <v>4397</v>
      </c>
    </row>
    <row r="51" spans="1:15" ht="15.75" x14ac:dyDescent="0.25">
      <c r="A51" s="84"/>
      <c r="B51" s="77" t="s">
        <v>10</v>
      </c>
      <c r="C51" s="9">
        <f>C53+C55+C57+C59+C61</f>
        <v>-2534316</v>
      </c>
      <c r="D51" s="9">
        <f t="shared" ref="D51:G51" si="24">D53+D55+D57+D59+D61</f>
        <v>-3569471</v>
      </c>
      <c r="E51" s="9">
        <f t="shared" si="24"/>
        <v>-2708852</v>
      </c>
      <c r="F51" s="9">
        <f t="shared" si="24"/>
        <v>-2389453.3699999996</v>
      </c>
      <c r="G51" s="9">
        <f t="shared" si="24"/>
        <v>860619</v>
      </c>
      <c r="H51" s="63"/>
      <c r="I51" s="63"/>
      <c r="J51" s="55" t="s">
        <v>74</v>
      </c>
      <c r="K51" s="51">
        <f t="shared" si="1"/>
        <v>-2534</v>
      </c>
      <c r="L51" s="51">
        <f t="shared" si="2"/>
        <v>-3569</v>
      </c>
      <c r="M51" s="51">
        <f t="shared" si="3"/>
        <v>-2709</v>
      </c>
      <c r="N51" s="51">
        <f t="shared" si="4"/>
        <v>-2389</v>
      </c>
      <c r="O51" s="51">
        <f t="shared" si="5"/>
        <v>861</v>
      </c>
    </row>
    <row r="52" spans="1:15" ht="15.75" x14ac:dyDescent="0.25">
      <c r="A52" s="91" t="s">
        <v>105</v>
      </c>
      <c r="B52" s="77"/>
      <c r="C52" s="9">
        <v>-8638476</v>
      </c>
      <c r="D52" s="95">
        <v>-10117292</v>
      </c>
      <c r="E52" s="9">
        <v>-6913330</v>
      </c>
      <c r="F52" s="9">
        <v>-9699046.1600000001</v>
      </c>
      <c r="G52" s="4">
        <f t="shared" ref="G52:G59" si="25">E52-D52</f>
        <v>3203962</v>
      </c>
      <c r="H52" s="45" t="s">
        <v>124</v>
      </c>
      <c r="J52" s="68" t="s">
        <v>105</v>
      </c>
      <c r="K52" s="51">
        <f t="shared" si="1"/>
        <v>-8638</v>
      </c>
      <c r="L52" s="51">
        <f t="shared" si="2"/>
        <v>-10117</v>
      </c>
      <c r="M52" s="51">
        <f t="shared" si="3"/>
        <v>-6913</v>
      </c>
      <c r="N52" s="51">
        <f t="shared" si="4"/>
        <v>-9699</v>
      </c>
      <c r="O52" s="51">
        <f t="shared" si="5"/>
        <v>3204</v>
      </c>
    </row>
    <row r="53" spans="1:15" ht="15.75" x14ac:dyDescent="0.25">
      <c r="A53" s="91"/>
      <c r="B53" s="77" t="s">
        <v>10</v>
      </c>
      <c r="C53" s="9">
        <v>-1512580</v>
      </c>
      <c r="D53" s="95">
        <v>-1604516</v>
      </c>
      <c r="E53" s="9">
        <v>-1342993</v>
      </c>
      <c r="F53" s="9">
        <v>-1577241.48</v>
      </c>
      <c r="G53" s="4">
        <f t="shared" si="25"/>
        <v>261523</v>
      </c>
      <c r="J53" s="55" t="s">
        <v>74</v>
      </c>
      <c r="K53" s="51">
        <f t="shared" ref="K53:K104" si="26">ROUND(C53/1000,0)</f>
        <v>-1513</v>
      </c>
      <c r="L53" s="51">
        <f t="shared" ref="L53:L104" si="27">ROUND(D53/1000,0)</f>
        <v>-1605</v>
      </c>
      <c r="M53" s="51">
        <f t="shared" ref="M53:M104" si="28">ROUND(E53/1000,0)</f>
        <v>-1343</v>
      </c>
      <c r="N53" s="51">
        <f t="shared" si="4"/>
        <v>-1577</v>
      </c>
      <c r="O53" s="51">
        <f t="shared" ref="O53:O104" si="29">ROUND(G53/1000,0)</f>
        <v>262</v>
      </c>
    </row>
    <row r="54" spans="1:15" ht="15.75" x14ac:dyDescent="0.25">
      <c r="A54" s="91" t="s">
        <v>106</v>
      </c>
      <c r="B54" s="77"/>
      <c r="C54" s="9">
        <v>-8664683</v>
      </c>
      <c r="D54" s="95">
        <v>-9868634</v>
      </c>
      <c r="E54" s="9">
        <v>-9592171</v>
      </c>
      <c r="F54" s="9">
        <v>-5875829.8700000001</v>
      </c>
      <c r="G54" s="4">
        <f t="shared" si="25"/>
        <v>276463</v>
      </c>
      <c r="H54" s="45" t="s">
        <v>125</v>
      </c>
      <c r="J54" s="68" t="s">
        <v>106</v>
      </c>
      <c r="K54" s="51">
        <f t="shared" si="26"/>
        <v>-8665</v>
      </c>
      <c r="L54" s="51">
        <f t="shared" si="27"/>
        <v>-9869</v>
      </c>
      <c r="M54" s="51">
        <f t="shared" si="28"/>
        <v>-9592</v>
      </c>
      <c r="N54" s="51">
        <f t="shared" si="4"/>
        <v>-5876</v>
      </c>
      <c r="O54" s="51">
        <f t="shared" si="29"/>
        <v>276</v>
      </c>
    </row>
    <row r="55" spans="1:15" ht="15.75" x14ac:dyDescent="0.25">
      <c r="A55" s="91"/>
      <c r="B55" s="77" t="s">
        <v>10</v>
      </c>
      <c r="C55" s="9">
        <v>-505315</v>
      </c>
      <c r="D55" s="95">
        <v>-589603</v>
      </c>
      <c r="E55" s="9">
        <v>-507030</v>
      </c>
      <c r="F55" s="9">
        <v>-352767.96</v>
      </c>
      <c r="G55" s="4">
        <f t="shared" si="25"/>
        <v>82573</v>
      </c>
      <c r="J55" s="55" t="s">
        <v>74</v>
      </c>
      <c r="K55" s="51">
        <f t="shared" si="26"/>
        <v>-505</v>
      </c>
      <c r="L55" s="51">
        <f t="shared" si="27"/>
        <v>-590</v>
      </c>
      <c r="M55" s="51">
        <f t="shared" si="28"/>
        <v>-507</v>
      </c>
      <c r="N55" s="51">
        <f t="shared" si="4"/>
        <v>-353</v>
      </c>
      <c r="O55" s="51">
        <f t="shared" si="29"/>
        <v>83</v>
      </c>
    </row>
    <row r="56" spans="1:15" ht="15.75" x14ac:dyDescent="0.25">
      <c r="A56" s="91" t="s">
        <v>107</v>
      </c>
      <c r="B56" s="77"/>
      <c r="C56" s="9">
        <v>-3044401</v>
      </c>
      <c r="D56" s="95">
        <v>-1414727</v>
      </c>
      <c r="E56" s="9">
        <v>-1143716</v>
      </c>
      <c r="F56" s="9">
        <v>-1546136.9</v>
      </c>
      <c r="G56" s="4">
        <f t="shared" si="25"/>
        <v>271011</v>
      </c>
      <c r="H56" s="45" t="s">
        <v>126</v>
      </c>
      <c r="J56" s="68" t="s">
        <v>107</v>
      </c>
      <c r="K56" s="51">
        <f t="shared" si="26"/>
        <v>-3044</v>
      </c>
      <c r="L56" s="51">
        <f t="shared" si="27"/>
        <v>-1415</v>
      </c>
      <c r="M56" s="51">
        <f t="shared" si="28"/>
        <v>-1144</v>
      </c>
      <c r="N56" s="51">
        <f t="shared" si="4"/>
        <v>-1546</v>
      </c>
      <c r="O56" s="51">
        <f t="shared" si="29"/>
        <v>271</v>
      </c>
    </row>
    <row r="57" spans="1:15" ht="15.75" x14ac:dyDescent="0.25">
      <c r="A57" s="91"/>
      <c r="B57" s="77" t="s">
        <v>10</v>
      </c>
      <c r="C57" s="9">
        <v>-251557</v>
      </c>
      <c r="D57" s="95">
        <v>-278893</v>
      </c>
      <c r="E57" s="9">
        <v>-263662</v>
      </c>
      <c r="F57" s="9">
        <v>-244308.36</v>
      </c>
      <c r="G57" s="4">
        <f t="shared" si="25"/>
        <v>15231</v>
      </c>
      <c r="J57" s="55" t="s">
        <v>74</v>
      </c>
      <c r="K57" s="51">
        <f t="shared" si="26"/>
        <v>-252</v>
      </c>
      <c r="L57" s="51">
        <f t="shared" si="27"/>
        <v>-279</v>
      </c>
      <c r="M57" s="51">
        <f t="shared" si="28"/>
        <v>-264</v>
      </c>
      <c r="N57" s="51">
        <f t="shared" si="4"/>
        <v>-244</v>
      </c>
      <c r="O57" s="51">
        <f t="shared" si="29"/>
        <v>15</v>
      </c>
    </row>
    <row r="58" spans="1:15" ht="15.75" x14ac:dyDescent="0.25">
      <c r="A58" s="91" t="s">
        <v>108</v>
      </c>
      <c r="B58" s="77"/>
      <c r="C58" s="9">
        <v>-3747991</v>
      </c>
      <c r="D58" s="95">
        <v>-704141</v>
      </c>
      <c r="E58" s="9">
        <v>-522589</v>
      </c>
      <c r="F58" s="9">
        <v>-356605.23</v>
      </c>
      <c r="G58" s="4">
        <f t="shared" si="25"/>
        <v>181552</v>
      </c>
      <c r="H58" s="45" t="s">
        <v>127</v>
      </c>
      <c r="J58" s="68" t="s">
        <v>108</v>
      </c>
      <c r="K58" s="51">
        <f t="shared" si="26"/>
        <v>-3748</v>
      </c>
      <c r="L58" s="51">
        <f t="shared" si="27"/>
        <v>-704</v>
      </c>
      <c r="M58" s="51">
        <f t="shared" si="28"/>
        <v>-523</v>
      </c>
      <c r="N58" s="51">
        <f t="shared" si="4"/>
        <v>-357</v>
      </c>
      <c r="O58" s="51">
        <f t="shared" si="29"/>
        <v>182</v>
      </c>
    </row>
    <row r="59" spans="1:15" ht="15.75" x14ac:dyDescent="0.25">
      <c r="A59" s="84"/>
      <c r="B59" s="77" t="s">
        <v>10</v>
      </c>
      <c r="C59" s="9">
        <v>-264864</v>
      </c>
      <c r="D59" s="95">
        <v>-295406</v>
      </c>
      <c r="E59" s="9">
        <v>-233771</v>
      </c>
      <c r="F59" s="9">
        <v>-215135.57</v>
      </c>
      <c r="G59" s="4">
        <f t="shared" si="25"/>
        <v>61635</v>
      </c>
      <c r="J59" s="55" t="s">
        <v>74</v>
      </c>
      <c r="K59" s="51">
        <f t="shared" si="26"/>
        <v>-265</v>
      </c>
      <c r="L59" s="51">
        <f t="shared" si="27"/>
        <v>-295</v>
      </c>
      <c r="M59" s="51">
        <f t="shared" si="28"/>
        <v>-234</v>
      </c>
      <c r="N59" s="51">
        <f t="shared" si="4"/>
        <v>-215</v>
      </c>
      <c r="O59" s="51">
        <f t="shared" si="29"/>
        <v>62</v>
      </c>
    </row>
    <row r="60" spans="1:15" ht="15.75" x14ac:dyDescent="0.25">
      <c r="A60" s="74" t="s">
        <v>77</v>
      </c>
      <c r="B60" s="74"/>
      <c r="C60" s="9">
        <v>0</v>
      </c>
      <c r="D60" s="4">
        <v>-1019975</v>
      </c>
      <c r="E60" s="9">
        <v>-556418</v>
      </c>
      <c r="F60" s="9">
        <v>0</v>
      </c>
      <c r="G60" s="4">
        <f>E60-D60</f>
        <v>463557</v>
      </c>
      <c r="H60" s="63" t="s">
        <v>82</v>
      </c>
      <c r="I60" s="63"/>
      <c r="J60" s="69" t="s">
        <v>77</v>
      </c>
      <c r="K60" s="51">
        <f t="shared" si="26"/>
        <v>0</v>
      </c>
      <c r="L60" s="51">
        <f t="shared" si="27"/>
        <v>-1020</v>
      </c>
      <c r="M60" s="51">
        <f t="shared" si="28"/>
        <v>-556</v>
      </c>
      <c r="N60" s="51">
        <f t="shared" ref="N60:N63" si="30">ROUND(F60/1000,0)</f>
        <v>0</v>
      </c>
      <c r="O60" s="51">
        <f t="shared" si="29"/>
        <v>464</v>
      </c>
    </row>
    <row r="61" spans="1:15" ht="15.75" x14ac:dyDescent="0.25">
      <c r="A61" s="84"/>
      <c r="B61" s="77" t="s">
        <v>10</v>
      </c>
      <c r="C61" s="9">
        <v>0</v>
      </c>
      <c r="D61" s="4">
        <v>-801053</v>
      </c>
      <c r="E61" s="9">
        <v>-361396</v>
      </c>
      <c r="F61" s="9">
        <v>0</v>
      </c>
      <c r="G61" s="4">
        <f>E61-D61</f>
        <v>439657</v>
      </c>
      <c r="J61" s="55" t="s">
        <v>74</v>
      </c>
      <c r="K61" s="51">
        <f t="shared" si="26"/>
        <v>0</v>
      </c>
      <c r="L61" s="51">
        <f t="shared" si="27"/>
        <v>-801</v>
      </c>
      <c r="M61" s="51">
        <f t="shared" si="28"/>
        <v>-361</v>
      </c>
      <c r="N61" s="51">
        <f t="shared" si="30"/>
        <v>0</v>
      </c>
      <c r="O61" s="51">
        <f t="shared" si="29"/>
        <v>440</v>
      </c>
    </row>
    <row r="62" spans="1:15" ht="15.75" x14ac:dyDescent="0.25">
      <c r="A62" s="73" t="s">
        <v>34</v>
      </c>
      <c r="B62" s="79"/>
      <c r="C62" s="12">
        <f>C64</f>
        <v>0</v>
      </c>
      <c r="D62" s="12">
        <f t="shared" ref="D62:G62" si="31">D64</f>
        <v>-21409</v>
      </c>
      <c r="E62" s="12">
        <f t="shared" si="31"/>
        <v>-16795</v>
      </c>
      <c r="F62" s="12">
        <f t="shared" si="31"/>
        <v>0</v>
      </c>
      <c r="G62" s="12">
        <f t="shared" si="31"/>
        <v>4614</v>
      </c>
      <c r="J62" s="52" t="s">
        <v>34</v>
      </c>
      <c r="K62" s="50">
        <f t="shared" si="26"/>
        <v>0</v>
      </c>
      <c r="L62" s="50">
        <f t="shared" si="27"/>
        <v>-21</v>
      </c>
      <c r="M62" s="50">
        <f t="shared" si="28"/>
        <v>-17</v>
      </c>
      <c r="N62" s="50">
        <f t="shared" si="30"/>
        <v>0</v>
      </c>
      <c r="O62" s="50">
        <f t="shared" si="29"/>
        <v>5</v>
      </c>
    </row>
    <row r="63" spans="1:15" ht="15.75" x14ac:dyDescent="0.25">
      <c r="A63" s="73"/>
      <c r="B63" s="77" t="s">
        <v>10</v>
      </c>
      <c r="C63" s="9">
        <f>C65</f>
        <v>0</v>
      </c>
      <c r="D63" s="9">
        <f t="shared" ref="D63:G63" si="32">D65</f>
        <v>-21409</v>
      </c>
      <c r="E63" s="9">
        <f t="shared" si="32"/>
        <v>-15851</v>
      </c>
      <c r="F63" s="9">
        <f t="shared" si="32"/>
        <v>0</v>
      </c>
      <c r="G63" s="9">
        <f t="shared" si="32"/>
        <v>5558</v>
      </c>
      <c r="J63" s="55" t="s">
        <v>74</v>
      </c>
      <c r="K63" s="51">
        <f t="shared" si="26"/>
        <v>0</v>
      </c>
      <c r="L63" s="51">
        <f t="shared" si="27"/>
        <v>-21</v>
      </c>
      <c r="M63" s="51">
        <f t="shared" si="28"/>
        <v>-16</v>
      </c>
      <c r="N63" s="51">
        <f t="shared" si="30"/>
        <v>0</v>
      </c>
      <c r="O63" s="51">
        <f t="shared" si="29"/>
        <v>6</v>
      </c>
    </row>
    <row r="64" spans="1:15" ht="15.75" x14ac:dyDescent="0.25">
      <c r="A64" s="75" t="s">
        <v>152</v>
      </c>
      <c r="B64" s="75"/>
      <c r="C64" s="12">
        <f>C66</f>
        <v>0</v>
      </c>
      <c r="D64" s="12">
        <f t="shared" ref="D64:G64" si="33">D66</f>
        <v>-21409</v>
      </c>
      <c r="E64" s="12">
        <f t="shared" si="33"/>
        <v>-16795</v>
      </c>
      <c r="F64" s="12">
        <f t="shared" si="33"/>
        <v>0</v>
      </c>
      <c r="G64" s="12">
        <f t="shared" si="33"/>
        <v>4614</v>
      </c>
      <c r="J64" s="50" t="s">
        <v>152</v>
      </c>
      <c r="K64" s="50">
        <f t="shared" ref="K64:K65" si="34">ROUND(C64/1000,0)</f>
        <v>0</v>
      </c>
      <c r="L64" s="50">
        <f t="shared" ref="L64:L65" si="35">ROUND(D64/1000,0)</f>
        <v>-21</v>
      </c>
      <c r="M64" s="50">
        <f t="shared" ref="M64:M65" si="36">ROUND(E64/1000,0)</f>
        <v>-17</v>
      </c>
      <c r="N64" s="50">
        <f t="shared" ref="N64:N65" si="37">ROUND(F64/1000,0)</f>
        <v>0</v>
      </c>
      <c r="O64" s="50">
        <f t="shared" ref="O64:O65" si="38">ROUND(G64/1000,0)</f>
        <v>5</v>
      </c>
    </row>
    <row r="65" spans="1:15" ht="15.75" x14ac:dyDescent="0.25">
      <c r="A65" s="84"/>
      <c r="B65" s="77" t="s">
        <v>10</v>
      </c>
      <c r="C65" s="9">
        <f>C67</f>
        <v>0</v>
      </c>
      <c r="D65" s="9">
        <f t="shared" ref="D65:G65" si="39">D67</f>
        <v>-21409</v>
      </c>
      <c r="E65" s="9">
        <f t="shared" si="39"/>
        <v>-15851</v>
      </c>
      <c r="F65" s="9">
        <f t="shared" si="39"/>
        <v>0</v>
      </c>
      <c r="G65" s="9">
        <f t="shared" si="39"/>
        <v>5558</v>
      </c>
      <c r="H65" s="63"/>
      <c r="I65" s="63"/>
      <c r="J65" s="55" t="s">
        <v>74</v>
      </c>
      <c r="K65" s="51">
        <f t="shared" si="34"/>
        <v>0</v>
      </c>
      <c r="L65" s="51">
        <f t="shared" si="35"/>
        <v>-21</v>
      </c>
      <c r="M65" s="51">
        <f t="shared" si="36"/>
        <v>-16</v>
      </c>
      <c r="N65" s="51">
        <f t="shared" si="37"/>
        <v>0</v>
      </c>
      <c r="O65" s="51">
        <f t="shared" si="38"/>
        <v>6</v>
      </c>
    </row>
    <row r="66" spans="1:15" ht="15.75" x14ac:dyDescent="0.25">
      <c r="A66" s="84" t="s">
        <v>150</v>
      </c>
      <c r="B66" s="77"/>
      <c r="C66" s="9">
        <v>0</v>
      </c>
      <c r="D66" s="9">
        <f>-21357-52</f>
        <v>-21409</v>
      </c>
      <c r="E66" s="9">
        <v>-16795</v>
      </c>
      <c r="F66" s="9">
        <v>0</v>
      </c>
      <c r="G66" s="9">
        <f t="shared" ref="G66:G67" si="40">E66-D66</f>
        <v>4614</v>
      </c>
      <c r="H66" s="63" t="s">
        <v>151</v>
      </c>
      <c r="I66" s="45" t="s">
        <v>134</v>
      </c>
      <c r="J66" s="53" t="s">
        <v>150</v>
      </c>
      <c r="K66" s="51">
        <f t="shared" ref="K66:K103" si="41">ROUND(C66/1000,0)</f>
        <v>0</v>
      </c>
      <c r="L66" s="51">
        <f t="shared" ref="L66:L103" si="42">ROUND(D66/1000,0)</f>
        <v>-21</v>
      </c>
      <c r="M66" s="51">
        <f t="shared" ref="M66:M103" si="43">ROUND(E66/1000,0)</f>
        <v>-17</v>
      </c>
      <c r="N66" s="51">
        <f t="shared" ref="N66:N73" si="44">ROUND(F66/1000,0)</f>
        <v>0</v>
      </c>
      <c r="O66" s="51">
        <f t="shared" ref="O66:O103" si="45">ROUND(G66/1000,0)</f>
        <v>5</v>
      </c>
    </row>
    <row r="67" spans="1:15" ht="15.75" x14ac:dyDescent="0.25">
      <c r="A67" s="84"/>
      <c r="B67" s="77" t="s">
        <v>10</v>
      </c>
      <c r="C67" s="9">
        <v>0</v>
      </c>
      <c r="D67" s="9">
        <f>-21357-52</f>
        <v>-21409</v>
      </c>
      <c r="E67" s="9">
        <v>-15851</v>
      </c>
      <c r="F67" s="9">
        <v>0</v>
      </c>
      <c r="G67" s="9">
        <f t="shared" si="40"/>
        <v>5558</v>
      </c>
      <c r="H67" s="63"/>
      <c r="I67" s="63"/>
      <c r="J67" s="55" t="s">
        <v>74</v>
      </c>
      <c r="K67" s="51">
        <f t="shared" si="41"/>
        <v>0</v>
      </c>
      <c r="L67" s="51">
        <f t="shared" si="42"/>
        <v>-21</v>
      </c>
      <c r="M67" s="51">
        <f t="shared" si="43"/>
        <v>-16</v>
      </c>
      <c r="N67" s="51">
        <f t="shared" si="44"/>
        <v>0</v>
      </c>
      <c r="O67" s="51">
        <f t="shared" si="45"/>
        <v>6</v>
      </c>
    </row>
    <row r="68" spans="1:15" s="37" customFormat="1" ht="15.75" x14ac:dyDescent="0.25">
      <c r="A68" s="73" t="s">
        <v>141</v>
      </c>
      <c r="B68" s="73"/>
      <c r="C68" s="12">
        <f>C70</f>
        <v>0</v>
      </c>
      <c r="D68" s="12">
        <f t="shared" ref="D68:G68" si="46">D70</f>
        <v>-901781</v>
      </c>
      <c r="E68" s="12">
        <f t="shared" si="46"/>
        <v>-902803</v>
      </c>
      <c r="F68" s="12">
        <f t="shared" si="46"/>
        <v>0</v>
      </c>
      <c r="G68" s="12">
        <f t="shared" si="46"/>
        <v>-1022</v>
      </c>
      <c r="H68" s="65"/>
      <c r="I68" s="65"/>
      <c r="J68" s="58" t="s">
        <v>141</v>
      </c>
      <c r="K68" s="50">
        <f t="shared" si="41"/>
        <v>0</v>
      </c>
      <c r="L68" s="50">
        <f t="shared" si="42"/>
        <v>-902</v>
      </c>
      <c r="M68" s="50">
        <f t="shared" si="43"/>
        <v>-903</v>
      </c>
      <c r="N68" s="50">
        <f t="shared" si="44"/>
        <v>0</v>
      </c>
      <c r="O68" s="50">
        <f t="shared" si="45"/>
        <v>-1</v>
      </c>
    </row>
    <row r="69" spans="1:15" ht="15.75" x14ac:dyDescent="0.25">
      <c r="A69" s="74"/>
      <c r="B69" s="77" t="s">
        <v>10</v>
      </c>
      <c r="C69" s="9">
        <f>C71</f>
        <v>0</v>
      </c>
      <c r="D69" s="9">
        <f t="shared" ref="D69:G69" si="47">D71</f>
        <v>-901781</v>
      </c>
      <c r="E69" s="9">
        <f t="shared" si="47"/>
        <v>-901834</v>
      </c>
      <c r="F69" s="9">
        <f t="shared" si="47"/>
        <v>0</v>
      </c>
      <c r="G69" s="9">
        <f t="shared" si="47"/>
        <v>-53</v>
      </c>
      <c r="H69" s="63"/>
      <c r="I69" s="63"/>
      <c r="J69" s="93" t="s">
        <v>74</v>
      </c>
      <c r="K69" s="51">
        <f t="shared" si="41"/>
        <v>0</v>
      </c>
      <c r="L69" s="51">
        <f t="shared" si="42"/>
        <v>-902</v>
      </c>
      <c r="M69" s="51">
        <f t="shared" si="43"/>
        <v>-902</v>
      </c>
      <c r="N69" s="51">
        <f t="shared" si="44"/>
        <v>0</v>
      </c>
      <c r="O69" s="51">
        <f t="shared" si="45"/>
        <v>0</v>
      </c>
    </row>
    <row r="70" spans="1:15" s="37" customFormat="1" ht="15.75" x14ac:dyDescent="0.25">
      <c r="A70" s="73" t="s">
        <v>85</v>
      </c>
      <c r="B70" s="76"/>
      <c r="C70" s="12">
        <f>C72</f>
        <v>0</v>
      </c>
      <c r="D70" s="12">
        <f t="shared" ref="D70:G70" si="48">D72</f>
        <v>-901781</v>
      </c>
      <c r="E70" s="12">
        <f t="shared" si="48"/>
        <v>-902803</v>
      </c>
      <c r="F70" s="12">
        <f t="shared" si="48"/>
        <v>0</v>
      </c>
      <c r="G70" s="12">
        <f t="shared" si="48"/>
        <v>-1022</v>
      </c>
      <c r="H70" s="65"/>
      <c r="I70" s="65"/>
      <c r="J70" s="58" t="s">
        <v>85</v>
      </c>
      <c r="K70" s="50">
        <f t="shared" si="41"/>
        <v>0</v>
      </c>
      <c r="L70" s="50">
        <f t="shared" si="42"/>
        <v>-902</v>
      </c>
      <c r="M70" s="50">
        <f t="shared" si="43"/>
        <v>-903</v>
      </c>
      <c r="N70" s="50">
        <f t="shared" si="44"/>
        <v>0</v>
      </c>
      <c r="O70" s="50">
        <f t="shared" si="45"/>
        <v>-1</v>
      </c>
    </row>
    <row r="71" spans="1:15" s="37" customFormat="1" ht="15.75" x14ac:dyDescent="0.25">
      <c r="A71" s="73"/>
      <c r="B71" s="77" t="s">
        <v>10</v>
      </c>
      <c r="C71" s="9">
        <f>C73</f>
        <v>0</v>
      </c>
      <c r="D71" s="9">
        <f t="shared" ref="D71:G71" si="49">D73</f>
        <v>-901781</v>
      </c>
      <c r="E71" s="9">
        <f t="shared" si="49"/>
        <v>-901834</v>
      </c>
      <c r="F71" s="9">
        <f t="shared" si="49"/>
        <v>0</v>
      </c>
      <c r="G71" s="9">
        <f t="shared" si="49"/>
        <v>-53</v>
      </c>
      <c r="H71" s="65"/>
      <c r="I71" s="65"/>
      <c r="J71" s="93" t="s">
        <v>74</v>
      </c>
      <c r="K71" s="51">
        <f t="shared" si="41"/>
        <v>0</v>
      </c>
      <c r="L71" s="51">
        <f t="shared" si="42"/>
        <v>-902</v>
      </c>
      <c r="M71" s="51">
        <f t="shared" si="43"/>
        <v>-902</v>
      </c>
      <c r="N71" s="51">
        <f t="shared" si="44"/>
        <v>0</v>
      </c>
      <c r="O71" s="51">
        <f t="shared" si="45"/>
        <v>0</v>
      </c>
    </row>
    <row r="72" spans="1:15" ht="15.75" x14ac:dyDescent="0.25">
      <c r="A72" s="91" t="s">
        <v>86</v>
      </c>
      <c r="B72" s="82"/>
      <c r="C72" s="4">
        <v>0</v>
      </c>
      <c r="D72" s="4">
        <v>-901781</v>
      </c>
      <c r="E72" s="43">
        <v>-902803</v>
      </c>
      <c r="F72" s="43">
        <v>0</v>
      </c>
      <c r="G72" s="4">
        <f t="shared" ref="G72:G73" si="50">E72-D72</f>
        <v>-1022</v>
      </c>
      <c r="H72" s="63" t="s">
        <v>90</v>
      </c>
      <c r="I72" s="63"/>
      <c r="J72" s="68" t="s">
        <v>86</v>
      </c>
      <c r="K72" s="51">
        <f t="shared" si="41"/>
        <v>0</v>
      </c>
      <c r="L72" s="51">
        <f t="shared" si="42"/>
        <v>-902</v>
      </c>
      <c r="M72" s="51">
        <f t="shared" si="43"/>
        <v>-903</v>
      </c>
      <c r="N72" s="51">
        <f t="shared" si="44"/>
        <v>0</v>
      </c>
      <c r="O72" s="51">
        <f t="shared" si="45"/>
        <v>-1</v>
      </c>
    </row>
    <row r="73" spans="1:15" ht="15.75" x14ac:dyDescent="0.25">
      <c r="A73" s="91"/>
      <c r="B73" s="77" t="s">
        <v>10</v>
      </c>
      <c r="C73" s="4">
        <v>0</v>
      </c>
      <c r="D73" s="4">
        <v>-901781</v>
      </c>
      <c r="E73" s="43">
        <v>-901834</v>
      </c>
      <c r="F73" s="43">
        <v>0</v>
      </c>
      <c r="G73" s="4">
        <f t="shared" si="50"/>
        <v>-53</v>
      </c>
      <c r="H73" s="63"/>
      <c r="I73" s="63"/>
      <c r="J73" s="93" t="s">
        <v>74</v>
      </c>
      <c r="K73" s="51">
        <f t="shared" si="41"/>
        <v>0</v>
      </c>
      <c r="L73" s="51">
        <f t="shared" si="42"/>
        <v>-902</v>
      </c>
      <c r="M73" s="51">
        <f t="shared" si="43"/>
        <v>-902</v>
      </c>
      <c r="N73" s="51">
        <f t="shared" si="44"/>
        <v>0</v>
      </c>
      <c r="O73" s="51">
        <f t="shared" si="45"/>
        <v>0</v>
      </c>
    </row>
    <row r="74" spans="1:15" ht="15.75" x14ac:dyDescent="0.25">
      <c r="A74" s="83" t="s">
        <v>24</v>
      </c>
      <c r="B74" s="77"/>
      <c r="C74" s="42">
        <f>C76</f>
        <v>0</v>
      </c>
      <c r="D74" s="42">
        <f t="shared" ref="D74:G74" si="51">D76</f>
        <v>-10356370</v>
      </c>
      <c r="E74" s="42">
        <f t="shared" si="51"/>
        <v>-7604386</v>
      </c>
      <c r="F74" s="42">
        <f t="shared" si="51"/>
        <v>0</v>
      </c>
      <c r="G74" s="42">
        <f t="shared" si="51"/>
        <v>2751984</v>
      </c>
      <c r="J74" s="62" t="s">
        <v>24</v>
      </c>
      <c r="K74" s="50">
        <f t="shared" si="41"/>
        <v>0</v>
      </c>
      <c r="L74" s="50">
        <f t="shared" si="42"/>
        <v>-10356</v>
      </c>
      <c r="M74" s="50">
        <f t="shared" si="43"/>
        <v>-7604</v>
      </c>
      <c r="N74" s="50">
        <f t="shared" ref="N74:N81" si="52">ROUND(F74/1000,0)</f>
        <v>0</v>
      </c>
      <c r="O74" s="50">
        <f t="shared" si="45"/>
        <v>2752</v>
      </c>
    </row>
    <row r="75" spans="1:15" ht="15.75" x14ac:dyDescent="0.25">
      <c r="A75" s="83"/>
      <c r="B75" s="77" t="s">
        <v>10</v>
      </c>
      <c r="C75" s="4">
        <f>C77</f>
        <v>0</v>
      </c>
      <c r="D75" s="4">
        <f t="shared" ref="D75:G75" si="53">D77</f>
        <v>-7910019</v>
      </c>
      <c r="E75" s="4">
        <f t="shared" si="53"/>
        <v>-5755688</v>
      </c>
      <c r="F75" s="4">
        <f t="shared" si="53"/>
        <v>0</v>
      </c>
      <c r="G75" s="4">
        <f t="shared" si="53"/>
        <v>2154331</v>
      </c>
      <c r="J75" s="55" t="s">
        <v>74</v>
      </c>
      <c r="K75" s="51">
        <f t="shared" si="41"/>
        <v>0</v>
      </c>
      <c r="L75" s="51">
        <f t="shared" si="42"/>
        <v>-7910</v>
      </c>
      <c r="M75" s="51">
        <f t="shared" si="43"/>
        <v>-5756</v>
      </c>
      <c r="N75" s="51">
        <f t="shared" si="52"/>
        <v>0</v>
      </c>
      <c r="O75" s="51">
        <f t="shared" si="45"/>
        <v>2154</v>
      </c>
    </row>
    <row r="76" spans="1:15" ht="15.75" x14ac:dyDescent="0.25">
      <c r="A76" s="75" t="s">
        <v>25</v>
      </c>
      <c r="B76" s="75"/>
      <c r="C76" s="12">
        <f>C78+C80</f>
        <v>0</v>
      </c>
      <c r="D76" s="12">
        <f t="shared" ref="D76:G76" si="54">D78+D80</f>
        <v>-10356370</v>
      </c>
      <c r="E76" s="12">
        <f t="shared" si="54"/>
        <v>-7604386</v>
      </c>
      <c r="F76" s="12">
        <f t="shared" si="54"/>
        <v>0</v>
      </c>
      <c r="G76" s="12">
        <f t="shared" si="54"/>
        <v>2751984</v>
      </c>
      <c r="J76" s="50" t="s">
        <v>25</v>
      </c>
      <c r="K76" s="50">
        <f t="shared" si="41"/>
        <v>0</v>
      </c>
      <c r="L76" s="50">
        <f t="shared" si="42"/>
        <v>-10356</v>
      </c>
      <c r="M76" s="50">
        <f t="shared" si="43"/>
        <v>-7604</v>
      </c>
      <c r="N76" s="50">
        <f t="shared" si="52"/>
        <v>0</v>
      </c>
      <c r="O76" s="50">
        <f t="shared" si="45"/>
        <v>2752</v>
      </c>
    </row>
    <row r="77" spans="1:15" ht="15.75" x14ac:dyDescent="0.25">
      <c r="A77" s="75"/>
      <c r="B77" s="77" t="s">
        <v>10</v>
      </c>
      <c r="C77" s="9">
        <f>C79+C81</f>
        <v>0</v>
      </c>
      <c r="D77" s="9">
        <f t="shared" ref="D77:G77" si="55">D79+D81</f>
        <v>-7910019</v>
      </c>
      <c r="E77" s="9">
        <f t="shared" si="55"/>
        <v>-5755688</v>
      </c>
      <c r="F77" s="9">
        <f t="shared" si="55"/>
        <v>0</v>
      </c>
      <c r="G77" s="9">
        <f t="shared" si="55"/>
        <v>2154331</v>
      </c>
      <c r="J77" s="55" t="s">
        <v>74</v>
      </c>
      <c r="K77" s="51">
        <f t="shared" si="41"/>
        <v>0</v>
      </c>
      <c r="L77" s="51">
        <f t="shared" si="42"/>
        <v>-7910</v>
      </c>
      <c r="M77" s="51">
        <f t="shared" si="43"/>
        <v>-5756</v>
      </c>
      <c r="N77" s="51">
        <f t="shared" si="52"/>
        <v>0</v>
      </c>
      <c r="O77" s="51">
        <f t="shared" si="45"/>
        <v>2154</v>
      </c>
    </row>
    <row r="78" spans="1:15" ht="15.75" x14ac:dyDescent="0.25">
      <c r="A78" s="90" t="s">
        <v>78</v>
      </c>
      <c r="B78" s="77"/>
      <c r="C78" s="9">
        <v>0</v>
      </c>
      <c r="D78" s="9">
        <v>-6429894</v>
      </c>
      <c r="E78" s="9">
        <v>-3630309</v>
      </c>
      <c r="F78" s="9">
        <v>0</v>
      </c>
      <c r="G78" s="4">
        <f t="shared" ref="G78:G81" si="56">E78-D78</f>
        <v>2799585</v>
      </c>
      <c r="H78" s="45" t="s">
        <v>80</v>
      </c>
      <c r="J78" s="70" t="s">
        <v>78</v>
      </c>
      <c r="K78" s="51">
        <f t="shared" si="41"/>
        <v>0</v>
      </c>
      <c r="L78" s="51">
        <f t="shared" si="42"/>
        <v>-6430</v>
      </c>
      <c r="M78" s="51">
        <f t="shared" si="43"/>
        <v>-3630</v>
      </c>
      <c r="N78" s="51">
        <f t="shared" si="52"/>
        <v>0</v>
      </c>
      <c r="O78" s="51">
        <f t="shared" si="45"/>
        <v>2800</v>
      </c>
    </row>
    <row r="79" spans="1:15" ht="15.75" x14ac:dyDescent="0.25">
      <c r="A79" s="90"/>
      <c r="B79" s="77" t="s">
        <v>10</v>
      </c>
      <c r="C79" s="9">
        <v>0</v>
      </c>
      <c r="D79" s="9">
        <v>-4084629</v>
      </c>
      <c r="E79" s="9">
        <v>-2116545</v>
      </c>
      <c r="F79" s="9">
        <v>0</v>
      </c>
      <c r="G79" s="4">
        <f t="shared" si="56"/>
        <v>1968084</v>
      </c>
      <c r="J79" s="55" t="s">
        <v>74</v>
      </c>
      <c r="K79" s="51">
        <f t="shared" si="41"/>
        <v>0</v>
      </c>
      <c r="L79" s="51">
        <f t="shared" si="42"/>
        <v>-4085</v>
      </c>
      <c r="M79" s="51">
        <f t="shared" si="43"/>
        <v>-2117</v>
      </c>
      <c r="N79" s="51">
        <f t="shared" si="52"/>
        <v>0</v>
      </c>
      <c r="O79" s="51">
        <f t="shared" si="45"/>
        <v>1968</v>
      </c>
    </row>
    <row r="80" spans="1:15" ht="15.75" x14ac:dyDescent="0.25">
      <c r="A80" s="90" t="s">
        <v>79</v>
      </c>
      <c r="B80" s="77"/>
      <c r="C80" s="9">
        <v>0</v>
      </c>
      <c r="D80" s="9">
        <v>-3926476</v>
      </c>
      <c r="E80" s="9">
        <v>-3974077</v>
      </c>
      <c r="F80" s="9">
        <v>0</v>
      </c>
      <c r="G80" s="4">
        <f t="shared" si="56"/>
        <v>-47601</v>
      </c>
      <c r="H80" s="45" t="s">
        <v>81</v>
      </c>
      <c r="J80" s="70" t="s">
        <v>79</v>
      </c>
      <c r="K80" s="51">
        <f t="shared" si="41"/>
        <v>0</v>
      </c>
      <c r="L80" s="51">
        <f t="shared" si="42"/>
        <v>-3926</v>
      </c>
      <c r="M80" s="51">
        <f t="shared" si="43"/>
        <v>-3974</v>
      </c>
      <c r="N80" s="51">
        <f t="shared" si="52"/>
        <v>0</v>
      </c>
      <c r="O80" s="51">
        <f t="shared" si="45"/>
        <v>-48</v>
      </c>
    </row>
    <row r="81" spans="1:15" ht="15.75" x14ac:dyDescent="0.25">
      <c r="A81" s="90"/>
      <c r="B81" s="77" t="s">
        <v>10</v>
      </c>
      <c r="C81" s="9">
        <v>0</v>
      </c>
      <c r="D81" s="9">
        <v>-3825390</v>
      </c>
      <c r="E81" s="9">
        <v>-3639143</v>
      </c>
      <c r="F81" s="9">
        <v>0</v>
      </c>
      <c r="G81" s="4">
        <f t="shared" si="56"/>
        <v>186247</v>
      </c>
      <c r="J81" s="55" t="s">
        <v>74</v>
      </c>
      <c r="K81" s="51">
        <f t="shared" si="41"/>
        <v>0</v>
      </c>
      <c r="L81" s="51">
        <f t="shared" si="42"/>
        <v>-3825</v>
      </c>
      <c r="M81" s="51">
        <f t="shared" si="43"/>
        <v>-3639</v>
      </c>
      <c r="N81" s="51">
        <f t="shared" si="52"/>
        <v>0</v>
      </c>
      <c r="O81" s="51">
        <f t="shared" si="45"/>
        <v>186</v>
      </c>
    </row>
    <row r="82" spans="1:15" s="37" customFormat="1" ht="15.75" x14ac:dyDescent="0.25">
      <c r="A82" s="73" t="s">
        <v>16</v>
      </c>
      <c r="B82" s="73"/>
      <c r="C82" s="44">
        <f>C84</f>
        <v>0</v>
      </c>
      <c r="D82" s="44">
        <f t="shared" ref="D82:G82" si="57">D84</f>
        <v>-68916010</v>
      </c>
      <c r="E82" s="44">
        <f t="shared" si="57"/>
        <v>-52124180</v>
      </c>
      <c r="F82" s="44">
        <f t="shared" si="57"/>
        <v>0</v>
      </c>
      <c r="G82" s="44">
        <f t="shared" si="57"/>
        <v>16791830</v>
      </c>
      <c r="H82" s="65"/>
      <c r="I82" s="65"/>
      <c r="J82" s="52" t="s">
        <v>16</v>
      </c>
      <c r="K82" s="50">
        <f t="shared" si="41"/>
        <v>0</v>
      </c>
      <c r="L82" s="50">
        <f t="shared" si="42"/>
        <v>-68916</v>
      </c>
      <c r="M82" s="50">
        <f t="shared" si="43"/>
        <v>-52124</v>
      </c>
      <c r="N82" s="50">
        <f t="shared" ref="N82:N91" si="58">ROUND(F82/1000,0)</f>
        <v>0</v>
      </c>
      <c r="O82" s="50">
        <f t="shared" si="45"/>
        <v>16792</v>
      </c>
    </row>
    <row r="83" spans="1:15" ht="15.75" x14ac:dyDescent="0.25">
      <c r="A83" s="74"/>
      <c r="B83" s="77" t="s">
        <v>10</v>
      </c>
      <c r="C83" s="43">
        <f>C85</f>
        <v>0</v>
      </c>
      <c r="D83" s="43">
        <f t="shared" ref="D83:G83" si="59">D85</f>
        <v>-35119422</v>
      </c>
      <c r="E83" s="43">
        <f t="shared" si="59"/>
        <v>-18969676</v>
      </c>
      <c r="F83" s="43">
        <f t="shared" si="59"/>
        <v>0</v>
      </c>
      <c r="G83" s="43">
        <f t="shared" si="59"/>
        <v>16149746</v>
      </c>
      <c r="J83" s="55" t="s">
        <v>74</v>
      </c>
      <c r="K83" s="51">
        <f t="shared" si="41"/>
        <v>0</v>
      </c>
      <c r="L83" s="51">
        <f t="shared" si="42"/>
        <v>-35119</v>
      </c>
      <c r="M83" s="51">
        <f t="shared" si="43"/>
        <v>-18970</v>
      </c>
      <c r="N83" s="51">
        <f t="shared" si="58"/>
        <v>0</v>
      </c>
      <c r="O83" s="51">
        <f t="shared" si="45"/>
        <v>16150</v>
      </c>
    </row>
    <row r="84" spans="1:15" ht="15.75" x14ac:dyDescent="0.25">
      <c r="A84" s="75" t="s">
        <v>131</v>
      </c>
      <c r="B84" s="73"/>
      <c r="C84" s="12">
        <f>C86+C88+C90</f>
        <v>0</v>
      </c>
      <c r="D84" s="12">
        <f t="shared" ref="D84:G84" si="60">D86+D88+D90</f>
        <v>-68916010</v>
      </c>
      <c r="E84" s="12">
        <f t="shared" si="60"/>
        <v>-52124180</v>
      </c>
      <c r="F84" s="12">
        <f t="shared" si="60"/>
        <v>0</v>
      </c>
      <c r="G84" s="12">
        <f t="shared" si="60"/>
        <v>16791830</v>
      </c>
      <c r="J84" s="50" t="s">
        <v>131</v>
      </c>
      <c r="K84" s="50">
        <f t="shared" si="41"/>
        <v>0</v>
      </c>
      <c r="L84" s="50">
        <f t="shared" si="42"/>
        <v>-68916</v>
      </c>
      <c r="M84" s="50">
        <f t="shared" si="43"/>
        <v>-52124</v>
      </c>
      <c r="N84" s="50">
        <f t="shared" si="58"/>
        <v>0</v>
      </c>
      <c r="O84" s="50">
        <f t="shared" si="45"/>
        <v>16792</v>
      </c>
    </row>
    <row r="85" spans="1:15" ht="15.75" x14ac:dyDescent="0.25">
      <c r="A85" s="74"/>
      <c r="B85" s="77" t="s">
        <v>10</v>
      </c>
      <c r="C85" s="9">
        <f>C87+C89+C91</f>
        <v>0</v>
      </c>
      <c r="D85" s="9">
        <f t="shared" ref="D85:G85" si="61">D87+D89+D91</f>
        <v>-35119422</v>
      </c>
      <c r="E85" s="9">
        <f t="shared" si="61"/>
        <v>-18969676</v>
      </c>
      <c r="F85" s="9">
        <f t="shared" si="61"/>
        <v>0</v>
      </c>
      <c r="G85" s="9">
        <f t="shared" si="61"/>
        <v>16149746</v>
      </c>
      <c r="H85" s="63"/>
      <c r="I85" s="63"/>
      <c r="J85" s="55" t="s">
        <v>74</v>
      </c>
      <c r="K85" s="51">
        <f t="shared" si="41"/>
        <v>0</v>
      </c>
      <c r="L85" s="51">
        <f t="shared" si="42"/>
        <v>-35119</v>
      </c>
      <c r="M85" s="51">
        <f t="shared" si="43"/>
        <v>-18970</v>
      </c>
      <c r="N85" s="51">
        <f t="shared" si="58"/>
        <v>0</v>
      </c>
      <c r="O85" s="51">
        <f t="shared" si="45"/>
        <v>16150</v>
      </c>
    </row>
    <row r="86" spans="1:15" ht="15.75" x14ac:dyDescent="0.25">
      <c r="A86" s="91" t="s">
        <v>129</v>
      </c>
      <c r="B86" s="77"/>
      <c r="C86" s="9">
        <v>0</v>
      </c>
      <c r="D86" s="4">
        <v>-54077910</v>
      </c>
      <c r="E86" s="9">
        <v>-42918191</v>
      </c>
      <c r="F86" s="9">
        <v>0</v>
      </c>
      <c r="G86" s="4">
        <f t="shared" ref="G86:G91" si="62">E86-D86</f>
        <v>11159719</v>
      </c>
      <c r="H86" s="45" t="s">
        <v>132</v>
      </c>
      <c r="J86" s="68" t="s">
        <v>129</v>
      </c>
      <c r="K86" s="51">
        <f t="shared" si="41"/>
        <v>0</v>
      </c>
      <c r="L86" s="51">
        <f t="shared" si="42"/>
        <v>-54078</v>
      </c>
      <c r="M86" s="51">
        <f t="shared" si="43"/>
        <v>-42918</v>
      </c>
      <c r="N86" s="51">
        <f t="shared" si="58"/>
        <v>0</v>
      </c>
      <c r="O86" s="51">
        <f t="shared" si="45"/>
        <v>11160</v>
      </c>
    </row>
    <row r="87" spans="1:15" ht="15.75" x14ac:dyDescent="0.25">
      <c r="A87" s="91"/>
      <c r="B87" s="77" t="s">
        <v>10</v>
      </c>
      <c r="C87" s="9">
        <v>0</v>
      </c>
      <c r="D87" s="4">
        <v>-22963402</v>
      </c>
      <c r="E87" s="9">
        <v>-11803828</v>
      </c>
      <c r="F87" s="9">
        <v>0</v>
      </c>
      <c r="G87" s="4">
        <f t="shared" si="62"/>
        <v>11159574</v>
      </c>
      <c r="J87" s="55" t="s">
        <v>74</v>
      </c>
      <c r="K87" s="51">
        <f t="shared" si="41"/>
        <v>0</v>
      </c>
      <c r="L87" s="51">
        <f t="shared" si="42"/>
        <v>-22963</v>
      </c>
      <c r="M87" s="51">
        <f t="shared" si="43"/>
        <v>-11804</v>
      </c>
      <c r="N87" s="51">
        <f t="shared" si="58"/>
        <v>0</v>
      </c>
      <c r="O87" s="51">
        <f t="shared" si="45"/>
        <v>11160</v>
      </c>
    </row>
    <row r="88" spans="1:15" ht="15.75" x14ac:dyDescent="0.25">
      <c r="A88" s="91" t="s">
        <v>148</v>
      </c>
      <c r="B88" s="77"/>
      <c r="C88" s="9">
        <v>0</v>
      </c>
      <c r="D88" s="4">
        <v>-11253672</v>
      </c>
      <c r="E88" s="9">
        <v>-7331979</v>
      </c>
      <c r="F88" s="9">
        <v>0</v>
      </c>
      <c r="G88" s="4">
        <f t="shared" si="62"/>
        <v>3921693</v>
      </c>
      <c r="H88" s="45" t="s">
        <v>149</v>
      </c>
      <c r="J88" s="68" t="s">
        <v>148</v>
      </c>
      <c r="K88" s="51">
        <f t="shared" si="41"/>
        <v>0</v>
      </c>
      <c r="L88" s="51">
        <f t="shared" si="42"/>
        <v>-11254</v>
      </c>
      <c r="M88" s="51">
        <f t="shared" si="43"/>
        <v>-7332</v>
      </c>
      <c r="N88" s="51">
        <f t="shared" si="58"/>
        <v>0</v>
      </c>
      <c r="O88" s="51">
        <f t="shared" si="45"/>
        <v>3922</v>
      </c>
    </row>
    <row r="89" spans="1:15" ht="15.75" x14ac:dyDescent="0.25">
      <c r="A89" s="91"/>
      <c r="B89" s="77" t="s">
        <v>10</v>
      </c>
      <c r="C89" s="9">
        <v>0</v>
      </c>
      <c r="D89" s="4">
        <v>-8571592</v>
      </c>
      <c r="E89" s="9">
        <v>-5318782</v>
      </c>
      <c r="F89" s="9">
        <v>0</v>
      </c>
      <c r="G89" s="4">
        <f t="shared" si="62"/>
        <v>3252810</v>
      </c>
      <c r="J89" s="55" t="s">
        <v>74</v>
      </c>
      <c r="K89" s="51">
        <f t="shared" si="41"/>
        <v>0</v>
      </c>
      <c r="L89" s="51">
        <f t="shared" si="42"/>
        <v>-8572</v>
      </c>
      <c r="M89" s="51">
        <f t="shared" si="43"/>
        <v>-5319</v>
      </c>
      <c r="N89" s="51">
        <f t="shared" si="58"/>
        <v>0</v>
      </c>
      <c r="O89" s="51">
        <f t="shared" si="45"/>
        <v>3253</v>
      </c>
    </row>
    <row r="90" spans="1:15" ht="15.75" x14ac:dyDescent="0.25">
      <c r="A90" s="91" t="s">
        <v>130</v>
      </c>
      <c r="B90" s="77"/>
      <c r="C90" s="9">
        <v>0</v>
      </c>
      <c r="D90" s="4">
        <v>-3584428</v>
      </c>
      <c r="E90" s="9">
        <v>-1874010</v>
      </c>
      <c r="F90" s="9">
        <v>0</v>
      </c>
      <c r="G90" s="4">
        <f t="shared" si="62"/>
        <v>1710418</v>
      </c>
      <c r="H90" s="45" t="s">
        <v>133</v>
      </c>
      <c r="J90" s="68" t="s">
        <v>130</v>
      </c>
      <c r="K90" s="51">
        <f t="shared" si="41"/>
        <v>0</v>
      </c>
      <c r="L90" s="51">
        <f t="shared" si="42"/>
        <v>-3584</v>
      </c>
      <c r="M90" s="51">
        <f t="shared" si="43"/>
        <v>-1874</v>
      </c>
      <c r="N90" s="51">
        <f t="shared" si="58"/>
        <v>0</v>
      </c>
      <c r="O90" s="51">
        <f t="shared" si="45"/>
        <v>1710</v>
      </c>
    </row>
    <row r="91" spans="1:15" ht="15.75" x14ac:dyDescent="0.25">
      <c r="A91" s="74"/>
      <c r="B91" s="77" t="s">
        <v>10</v>
      </c>
      <c r="C91" s="9">
        <v>0</v>
      </c>
      <c r="D91" s="4">
        <v>-3584428</v>
      </c>
      <c r="E91" s="9">
        <v>-1847066</v>
      </c>
      <c r="F91" s="9">
        <v>0</v>
      </c>
      <c r="G91" s="4">
        <f t="shared" si="62"/>
        <v>1737362</v>
      </c>
      <c r="J91" s="55" t="s">
        <v>74</v>
      </c>
      <c r="K91" s="51">
        <f t="shared" si="41"/>
        <v>0</v>
      </c>
      <c r="L91" s="51">
        <f t="shared" si="42"/>
        <v>-3584</v>
      </c>
      <c r="M91" s="51">
        <f t="shared" si="43"/>
        <v>-1847</v>
      </c>
      <c r="N91" s="51">
        <f t="shared" si="58"/>
        <v>0</v>
      </c>
      <c r="O91" s="51">
        <f t="shared" si="45"/>
        <v>1737</v>
      </c>
    </row>
    <row r="92" spans="1:15" ht="15.75" x14ac:dyDescent="0.25">
      <c r="A92" s="73" t="s">
        <v>18</v>
      </c>
      <c r="B92" s="73"/>
      <c r="C92" s="12">
        <f>C94</f>
        <v>0</v>
      </c>
      <c r="D92" s="12">
        <f t="shared" ref="D92:G92" si="63">D94</f>
        <v>-8481</v>
      </c>
      <c r="E92" s="12">
        <f t="shared" si="63"/>
        <v>-9503</v>
      </c>
      <c r="F92" s="12">
        <f t="shared" si="63"/>
        <v>0</v>
      </c>
      <c r="G92" s="12">
        <f t="shared" si="63"/>
        <v>-1022</v>
      </c>
      <c r="J92" s="58" t="s">
        <v>18</v>
      </c>
      <c r="K92" s="50">
        <f t="shared" si="41"/>
        <v>0</v>
      </c>
      <c r="L92" s="50">
        <f t="shared" si="42"/>
        <v>-8</v>
      </c>
      <c r="M92" s="50">
        <f t="shared" si="43"/>
        <v>-10</v>
      </c>
      <c r="N92" s="50">
        <f t="shared" ref="N92:N97" si="64">ROUND(F92/1000,0)</f>
        <v>0</v>
      </c>
      <c r="O92" s="50">
        <f t="shared" si="45"/>
        <v>-1</v>
      </c>
    </row>
    <row r="93" spans="1:15" ht="15.75" x14ac:dyDescent="0.25">
      <c r="A93" s="16"/>
      <c r="B93" s="77" t="s">
        <v>10</v>
      </c>
      <c r="C93" s="9">
        <f>C95</f>
        <v>0</v>
      </c>
      <c r="D93" s="9">
        <f t="shared" ref="D93:G93" si="65">D95</f>
        <v>-8481</v>
      </c>
      <c r="E93" s="9">
        <f t="shared" si="65"/>
        <v>-8534</v>
      </c>
      <c r="F93" s="9">
        <f t="shared" si="65"/>
        <v>0</v>
      </c>
      <c r="G93" s="9">
        <f t="shared" si="65"/>
        <v>-53</v>
      </c>
      <c r="J93" s="93" t="s">
        <v>74</v>
      </c>
      <c r="K93" s="51">
        <f t="shared" si="41"/>
        <v>0</v>
      </c>
      <c r="L93" s="51">
        <f t="shared" si="42"/>
        <v>-8</v>
      </c>
      <c r="M93" s="51">
        <f t="shared" si="43"/>
        <v>-9</v>
      </c>
      <c r="N93" s="51">
        <f t="shared" si="64"/>
        <v>0</v>
      </c>
      <c r="O93" s="51">
        <f t="shared" si="45"/>
        <v>0</v>
      </c>
    </row>
    <row r="94" spans="1:15" ht="15.75" x14ac:dyDescent="0.25">
      <c r="A94" s="75" t="s">
        <v>87</v>
      </c>
      <c r="B94" s="73"/>
      <c r="C94" s="12">
        <f>C96</f>
        <v>0</v>
      </c>
      <c r="D94" s="12">
        <f t="shared" ref="D94:G94" si="66">D96</f>
        <v>-8481</v>
      </c>
      <c r="E94" s="12">
        <f t="shared" si="66"/>
        <v>-9503</v>
      </c>
      <c r="F94" s="12">
        <f t="shared" si="66"/>
        <v>0</v>
      </c>
      <c r="G94" s="12">
        <f t="shared" si="66"/>
        <v>-1022</v>
      </c>
      <c r="J94" s="50" t="s">
        <v>87</v>
      </c>
      <c r="K94" s="50">
        <f t="shared" si="41"/>
        <v>0</v>
      </c>
      <c r="L94" s="50">
        <f t="shared" si="42"/>
        <v>-8</v>
      </c>
      <c r="M94" s="50">
        <f t="shared" si="43"/>
        <v>-10</v>
      </c>
      <c r="N94" s="50">
        <f t="shared" si="64"/>
        <v>0</v>
      </c>
      <c r="O94" s="50">
        <f t="shared" si="45"/>
        <v>-1</v>
      </c>
    </row>
    <row r="95" spans="1:15" ht="15.75" x14ac:dyDescent="0.25">
      <c r="A95" s="74"/>
      <c r="B95" s="77" t="s">
        <v>10</v>
      </c>
      <c r="C95" s="9">
        <f>C97</f>
        <v>0</v>
      </c>
      <c r="D95" s="9">
        <f t="shared" ref="D95:G95" si="67">D97</f>
        <v>-8481</v>
      </c>
      <c r="E95" s="9">
        <f t="shared" si="67"/>
        <v>-8534</v>
      </c>
      <c r="F95" s="9">
        <f t="shared" si="67"/>
        <v>0</v>
      </c>
      <c r="G95" s="9">
        <f t="shared" si="67"/>
        <v>-53</v>
      </c>
      <c r="H95" s="63"/>
      <c r="I95" s="63"/>
      <c r="J95" s="93" t="s">
        <v>74</v>
      </c>
      <c r="K95" s="51">
        <f t="shared" si="41"/>
        <v>0</v>
      </c>
      <c r="L95" s="51">
        <f t="shared" si="42"/>
        <v>-8</v>
      </c>
      <c r="M95" s="51">
        <f t="shared" si="43"/>
        <v>-9</v>
      </c>
      <c r="N95" s="51">
        <f t="shared" si="64"/>
        <v>0</v>
      </c>
      <c r="O95" s="51">
        <f t="shared" si="45"/>
        <v>0</v>
      </c>
    </row>
    <row r="96" spans="1:15" ht="15.75" x14ac:dyDescent="0.25">
      <c r="A96" s="91" t="s">
        <v>88</v>
      </c>
      <c r="B96" s="77"/>
      <c r="C96" s="9">
        <v>0</v>
      </c>
      <c r="D96" s="4">
        <f>-883422-52+874993</f>
        <v>-8481</v>
      </c>
      <c r="E96" s="9">
        <v>-9503</v>
      </c>
      <c r="F96" s="9">
        <v>0</v>
      </c>
      <c r="G96" s="4">
        <f t="shared" ref="G96:G97" si="68">E96-D96</f>
        <v>-1022</v>
      </c>
      <c r="H96" s="45" t="s">
        <v>91</v>
      </c>
      <c r="J96" s="68" t="s">
        <v>88</v>
      </c>
      <c r="K96" s="51">
        <f t="shared" si="41"/>
        <v>0</v>
      </c>
      <c r="L96" s="51">
        <f t="shared" si="42"/>
        <v>-8</v>
      </c>
      <c r="M96" s="51">
        <f t="shared" si="43"/>
        <v>-10</v>
      </c>
      <c r="N96" s="51">
        <f t="shared" si="64"/>
        <v>0</v>
      </c>
      <c r="O96" s="51">
        <f t="shared" si="45"/>
        <v>-1</v>
      </c>
    </row>
    <row r="97" spans="1:15" ht="15.75" x14ac:dyDescent="0.25">
      <c r="A97" s="91"/>
      <c r="B97" s="77" t="s">
        <v>10</v>
      </c>
      <c r="C97" s="9">
        <v>0</v>
      </c>
      <c r="D97" s="4">
        <f>-8429-52</f>
        <v>-8481</v>
      </c>
      <c r="E97" s="9">
        <v>-8534</v>
      </c>
      <c r="F97" s="9">
        <v>0</v>
      </c>
      <c r="G97" s="4">
        <f t="shared" si="68"/>
        <v>-53</v>
      </c>
      <c r="J97" s="93" t="s">
        <v>74</v>
      </c>
      <c r="K97" s="51">
        <f t="shared" si="41"/>
        <v>0</v>
      </c>
      <c r="L97" s="51">
        <f t="shared" si="42"/>
        <v>-8</v>
      </c>
      <c r="M97" s="51">
        <f t="shared" si="43"/>
        <v>-9</v>
      </c>
      <c r="N97" s="51">
        <f t="shared" si="64"/>
        <v>0</v>
      </c>
      <c r="O97" s="51">
        <f t="shared" si="45"/>
        <v>0</v>
      </c>
    </row>
    <row r="98" spans="1:15" ht="15.75" x14ac:dyDescent="0.25">
      <c r="A98" s="73" t="s">
        <v>27</v>
      </c>
      <c r="B98" s="73"/>
      <c r="C98" s="12">
        <f>C100</f>
        <v>0</v>
      </c>
      <c r="D98" s="12">
        <f t="shared" ref="D98:G98" si="69">D100</f>
        <v>-79687005</v>
      </c>
      <c r="E98" s="12">
        <f t="shared" si="69"/>
        <v>-74764495</v>
      </c>
      <c r="F98" s="12">
        <f t="shared" si="69"/>
        <v>0</v>
      </c>
      <c r="G98" s="12">
        <f t="shared" si="69"/>
        <v>4922510</v>
      </c>
      <c r="J98" s="52" t="s">
        <v>27</v>
      </c>
      <c r="K98" s="50">
        <f t="shared" si="41"/>
        <v>0</v>
      </c>
      <c r="L98" s="50">
        <f t="shared" si="42"/>
        <v>-79687</v>
      </c>
      <c r="M98" s="50">
        <f t="shared" si="43"/>
        <v>-74764</v>
      </c>
      <c r="N98" s="50">
        <f t="shared" ref="N98:N103" si="70">ROUND(F98/1000,0)</f>
        <v>0</v>
      </c>
      <c r="O98" s="50">
        <f t="shared" si="45"/>
        <v>4923</v>
      </c>
    </row>
    <row r="99" spans="1:15" ht="15.75" x14ac:dyDescent="0.25">
      <c r="A99" s="73"/>
      <c r="B99" s="77" t="s">
        <v>10</v>
      </c>
      <c r="C99" s="9">
        <f>C101</f>
        <v>0</v>
      </c>
      <c r="D99" s="9">
        <f t="shared" ref="D99:G99" si="71">D101</f>
        <v>-79687005</v>
      </c>
      <c r="E99" s="9">
        <f t="shared" si="71"/>
        <v>-74756748</v>
      </c>
      <c r="F99" s="9">
        <f t="shared" si="71"/>
        <v>0</v>
      </c>
      <c r="G99" s="9">
        <f t="shared" si="71"/>
        <v>4930257</v>
      </c>
      <c r="J99" s="55" t="s">
        <v>74</v>
      </c>
      <c r="K99" s="51">
        <f t="shared" si="41"/>
        <v>0</v>
      </c>
      <c r="L99" s="51">
        <f t="shared" si="42"/>
        <v>-79687</v>
      </c>
      <c r="M99" s="51">
        <f t="shared" si="43"/>
        <v>-74757</v>
      </c>
      <c r="N99" s="51">
        <f t="shared" si="70"/>
        <v>0</v>
      </c>
      <c r="O99" s="51">
        <f t="shared" si="45"/>
        <v>4930</v>
      </c>
    </row>
    <row r="100" spans="1:15" ht="15.75" x14ac:dyDescent="0.25">
      <c r="A100" s="75" t="s">
        <v>83</v>
      </c>
      <c r="B100" s="75"/>
      <c r="C100" s="12">
        <f>C102</f>
        <v>0</v>
      </c>
      <c r="D100" s="12">
        <f t="shared" ref="D100:G100" si="72">D102</f>
        <v>-79687005</v>
      </c>
      <c r="E100" s="12">
        <f t="shared" si="72"/>
        <v>-74764495</v>
      </c>
      <c r="F100" s="12">
        <f t="shared" si="72"/>
        <v>0</v>
      </c>
      <c r="G100" s="12">
        <f t="shared" si="72"/>
        <v>4922510</v>
      </c>
      <c r="J100" s="50" t="s">
        <v>83</v>
      </c>
      <c r="K100" s="50">
        <f t="shared" si="41"/>
        <v>0</v>
      </c>
      <c r="L100" s="50">
        <f t="shared" si="42"/>
        <v>-79687</v>
      </c>
      <c r="M100" s="50">
        <f t="shared" si="43"/>
        <v>-74764</v>
      </c>
      <c r="N100" s="50">
        <f t="shared" si="70"/>
        <v>0</v>
      </c>
      <c r="O100" s="50">
        <f t="shared" si="45"/>
        <v>4923</v>
      </c>
    </row>
    <row r="101" spans="1:15" ht="15.75" x14ac:dyDescent="0.25">
      <c r="A101" s="75"/>
      <c r="B101" s="77" t="s">
        <v>10</v>
      </c>
      <c r="C101" s="9">
        <f>C103</f>
        <v>0</v>
      </c>
      <c r="D101" s="9">
        <f t="shared" ref="D101:G101" si="73">D103</f>
        <v>-79687005</v>
      </c>
      <c r="E101" s="9">
        <f t="shared" si="73"/>
        <v>-74756748</v>
      </c>
      <c r="F101" s="9">
        <f t="shared" si="73"/>
        <v>0</v>
      </c>
      <c r="G101" s="9">
        <f t="shared" si="73"/>
        <v>4930257</v>
      </c>
      <c r="J101" s="55" t="s">
        <v>74</v>
      </c>
      <c r="K101" s="51">
        <f t="shared" si="41"/>
        <v>0</v>
      </c>
      <c r="L101" s="51">
        <f t="shared" si="42"/>
        <v>-79687</v>
      </c>
      <c r="M101" s="51">
        <f t="shared" si="43"/>
        <v>-74757</v>
      </c>
      <c r="N101" s="51">
        <f t="shared" si="70"/>
        <v>0</v>
      </c>
      <c r="O101" s="51">
        <f t="shared" si="45"/>
        <v>4930</v>
      </c>
    </row>
    <row r="102" spans="1:15" ht="15.75" x14ac:dyDescent="0.25">
      <c r="A102" s="91" t="s">
        <v>84</v>
      </c>
      <c r="B102" s="82"/>
      <c r="C102" s="4">
        <v>0</v>
      </c>
      <c r="D102" s="4">
        <v>-79687005</v>
      </c>
      <c r="E102" s="43">
        <v>-74764495</v>
      </c>
      <c r="F102" s="43">
        <v>0</v>
      </c>
      <c r="G102" s="4">
        <f t="shared" ref="G102:G103" si="74">E102-D102</f>
        <v>4922510</v>
      </c>
      <c r="H102" s="63" t="s">
        <v>92</v>
      </c>
      <c r="I102" s="63"/>
      <c r="J102" s="68" t="s">
        <v>84</v>
      </c>
      <c r="K102" s="51">
        <f t="shared" si="41"/>
        <v>0</v>
      </c>
      <c r="L102" s="51">
        <f t="shared" si="42"/>
        <v>-79687</v>
      </c>
      <c r="M102" s="51">
        <f t="shared" si="43"/>
        <v>-74764</v>
      </c>
      <c r="N102" s="51">
        <f t="shared" si="70"/>
        <v>0</v>
      </c>
      <c r="O102" s="51">
        <f t="shared" si="45"/>
        <v>4923</v>
      </c>
    </row>
    <row r="103" spans="1:15" ht="15.75" x14ac:dyDescent="0.25">
      <c r="A103" s="17"/>
      <c r="B103" s="77" t="s">
        <v>10</v>
      </c>
      <c r="C103" s="4">
        <v>0</v>
      </c>
      <c r="D103" s="4">
        <v>-79687005</v>
      </c>
      <c r="E103" s="43">
        <v>-74756748</v>
      </c>
      <c r="F103" s="43">
        <v>0</v>
      </c>
      <c r="G103" s="4">
        <f t="shared" si="74"/>
        <v>4930257</v>
      </c>
      <c r="H103" s="63"/>
      <c r="I103" s="63"/>
      <c r="J103" s="93" t="s">
        <v>74</v>
      </c>
      <c r="K103" s="51">
        <f t="shared" si="41"/>
        <v>0</v>
      </c>
      <c r="L103" s="51">
        <f t="shared" si="42"/>
        <v>-79687</v>
      </c>
      <c r="M103" s="51">
        <f t="shared" si="43"/>
        <v>-74757</v>
      </c>
      <c r="N103" s="51">
        <f t="shared" si="70"/>
        <v>0</v>
      </c>
      <c r="O103" s="51">
        <f t="shared" si="45"/>
        <v>4930</v>
      </c>
    </row>
    <row r="104" spans="1:15" s="37" customFormat="1" ht="15.75" x14ac:dyDescent="0.25">
      <c r="A104" s="89" t="s">
        <v>58</v>
      </c>
      <c r="B104" s="76"/>
      <c r="C104" s="12">
        <v>-5308053</v>
      </c>
      <c r="D104" s="12">
        <f>C104-333321-8000+451202-697153.61</f>
        <v>-5895325.6100000003</v>
      </c>
      <c r="E104" s="12">
        <v>-3821840.4</v>
      </c>
      <c r="F104" s="12">
        <v>-3137174.99</v>
      </c>
      <c r="G104" s="12">
        <f>E104-D104</f>
        <v>2073485.2100000004</v>
      </c>
      <c r="H104" s="65"/>
      <c r="I104" s="65"/>
      <c r="J104" s="58" t="s">
        <v>58</v>
      </c>
      <c r="K104" s="50">
        <f t="shared" si="26"/>
        <v>-5308</v>
      </c>
      <c r="L104" s="50">
        <f t="shared" si="27"/>
        <v>-5895</v>
      </c>
      <c r="M104" s="50">
        <f t="shared" si="28"/>
        <v>-3822</v>
      </c>
      <c r="N104" s="50">
        <f t="shared" ref="N104" si="75">ROUND(F104/1000,0)</f>
        <v>-3137</v>
      </c>
      <c r="O104" s="50">
        <f t="shared" si="29"/>
        <v>2073</v>
      </c>
    </row>
    <row r="105" spans="1:15" s="37" customFormat="1" ht="15.75" x14ac:dyDescent="0.25">
      <c r="A105" s="73" t="s">
        <v>17</v>
      </c>
      <c r="B105" s="76"/>
      <c r="C105" s="12">
        <v>-4727001</v>
      </c>
      <c r="D105" s="12">
        <f>C105-2731476.05-70000-1596000+1254000-157726.85-1000000-10953455.2</f>
        <v>-19981659.100000001</v>
      </c>
      <c r="E105" s="12">
        <f>-11063355.82-1714520.53</f>
        <v>-12777876.35</v>
      </c>
      <c r="F105" s="12">
        <f>-5316371.21-866163.56</f>
        <v>-6182534.7699999996</v>
      </c>
      <c r="G105" s="12">
        <f>E105-D105</f>
        <v>7203782.7500000019</v>
      </c>
      <c r="H105" s="65"/>
      <c r="I105" s="65"/>
      <c r="J105" s="52" t="s">
        <v>17</v>
      </c>
      <c r="K105" s="50">
        <f t="shared" ref="K105:K106" si="76">ROUND(C105/1000,0)</f>
        <v>-4727</v>
      </c>
      <c r="L105" s="50">
        <f t="shared" ref="L105:L106" si="77">ROUND(D105/1000,0)</f>
        <v>-19982</v>
      </c>
      <c r="M105" s="50">
        <f t="shared" ref="M105:M106" si="78">ROUND(E105/1000,0)</f>
        <v>-12778</v>
      </c>
      <c r="N105" s="50">
        <f t="shared" ref="N105:N106" si="79">ROUND(F105/1000,0)</f>
        <v>-6183</v>
      </c>
      <c r="O105" s="50">
        <f t="shared" ref="O105:O106" si="80">ROUND(G105/1000,0)</f>
        <v>7204</v>
      </c>
    </row>
    <row r="106" spans="1:15" ht="15.75" x14ac:dyDescent="0.25">
      <c r="A106" s="84"/>
      <c r="B106" s="77" t="s">
        <v>10</v>
      </c>
      <c r="C106" s="9">
        <v>-3081668</v>
      </c>
      <c r="D106" s="95">
        <f>C106-2731476.05-70000-1330000-157726.85</f>
        <v>-7370870.8999999994</v>
      </c>
      <c r="E106" s="9">
        <v>-3644617.74</v>
      </c>
      <c r="F106" s="9">
        <v>-1442934.68</v>
      </c>
      <c r="G106" s="4">
        <f t="shared" ref="G106:G113" si="81">E106-D106</f>
        <v>3726253.1599999992</v>
      </c>
      <c r="J106" s="55" t="s">
        <v>74</v>
      </c>
      <c r="K106" s="51">
        <f t="shared" si="76"/>
        <v>-3082</v>
      </c>
      <c r="L106" s="51">
        <f t="shared" si="77"/>
        <v>-7371</v>
      </c>
      <c r="M106" s="51">
        <f t="shared" si="78"/>
        <v>-3645</v>
      </c>
      <c r="N106" s="51">
        <f t="shared" si="79"/>
        <v>-1443</v>
      </c>
      <c r="O106" s="51">
        <f t="shared" si="80"/>
        <v>3726</v>
      </c>
    </row>
    <row r="107" spans="1:15" ht="15.75" x14ac:dyDescent="0.25">
      <c r="A107" s="84"/>
      <c r="B107" s="77" t="s">
        <v>68</v>
      </c>
      <c r="C107" s="9">
        <v>-561166</v>
      </c>
      <c r="D107" s="95">
        <f>C107-266000+169833-954104.23</f>
        <v>-1611437.23</v>
      </c>
      <c r="E107" s="9">
        <v>-1714520.53</v>
      </c>
      <c r="F107" s="9">
        <v>-866163.56</v>
      </c>
      <c r="G107" s="4">
        <f t="shared" si="81"/>
        <v>-103083.30000000005</v>
      </c>
      <c r="J107" s="55" t="s">
        <v>75</v>
      </c>
      <c r="K107" s="51">
        <f t="shared" ref="K107:K108" si="82">ROUND(C107/1000,0)</f>
        <v>-561</v>
      </c>
      <c r="L107" s="51">
        <f t="shared" ref="L107:L108" si="83">ROUND(D107/1000,0)</f>
        <v>-1611</v>
      </c>
      <c r="M107" s="51">
        <f t="shared" ref="M107:M108" si="84">ROUND(E107/1000,0)</f>
        <v>-1715</v>
      </c>
      <c r="N107" s="51">
        <f t="shared" ref="N107:N108" si="85">ROUND(F107/1000,0)</f>
        <v>-866</v>
      </c>
      <c r="O107" s="51">
        <f t="shared" ref="O107:O108" si="86">ROUND(G107/1000,0)</f>
        <v>-103</v>
      </c>
    </row>
    <row r="108" spans="1:15" s="37" customFormat="1" ht="15.75" x14ac:dyDescent="0.25">
      <c r="A108" s="89" t="s">
        <v>23</v>
      </c>
      <c r="B108" s="76"/>
      <c r="C108" s="12">
        <f>C110+C112</f>
        <v>0</v>
      </c>
      <c r="D108" s="12">
        <f t="shared" ref="D108:G108" si="87">D110+D112</f>
        <v>2050000</v>
      </c>
      <c r="E108" s="12">
        <f t="shared" si="87"/>
        <v>20966253.73</v>
      </c>
      <c r="F108" s="12">
        <f t="shared" si="87"/>
        <v>7863847.2000000002</v>
      </c>
      <c r="G108" s="12">
        <f t="shared" si="87"/>
        <v>18916253.73</v>
      </c>
      <c r="H108" s="65"/>
      <c r="I108" s="65"/>
      <c r="J108" s="58" t="s">
        <v>23</v>
      </c>
      <c r="K108" s="50">
        <f t="shared" si="82"/>
        <v>0</v>
      </c>
      <c r="L108" s="50">
        <f t="shared" si="83"/>
        <v>2050</v>
      </c>
      <c r="M108" s="50">
        <f t="shared" si="84"/>
        <v>20966</v>
      </c>
      <c r="N108" s="50">
        <f t="shared" si="85"/>
        <v>7864</v>
      </c>
      <c r="O108" s="50">
        <f t="shared" si="86"/>
        <v>18916</v>
      </c>
    </row>
    <row r="109" spans="1:15" ht="15.75" x14ac:dyDescent="0.25">
      <c r="A109" s="84"/>
      <c r="B109" s="77" t="s">
        <v>10</v>
      </c>
      <c r="C109" s="9">
        <f>C111+C111</f>
        <v>0</v>
      </c>
      <c r="D109" s="9">
        <f t="shared" ref="D109:G109" si="88">D111+D111</f>
        <v>0</v>
      </c>
      <c r="E109" s="9">
        <f t="shared" si="88"/>
        <v>0</v>
      </c>
      <c r="F109" s="9">
        <f t="shared" si="88"/>
        <v>0</v>
      </c>
      <c r="G109" s="9">
        <f t="shared" si="88"/>
        <v>0</v>
      </c>
      <c r="J109" s="55" t="s">
        <v>74</v>
      </c>
      <c r="K109" s="51">
        <f t="shared" ref="K109" si="89">ROUND(C109/1000,0)</f>
        <v>0</v>
      </c>
      <c r="L109" s="51">
        <f t="shared" ref="L109" si="90">ROUND(D109/1000,0)</f>
        <v>0</v>
      </c>
      <c r="M109" s="51">
        <f t="shared" ref="M109" si="91">ROUND(E109/1000,0)</f>
        <v>0</v>
      </c>
      <c r="N109" s="51">
        <f t="shared" ref="N109" si="92">ROUND(F109/1000,0)</f>
        <v>0</v>
      </c>
      <c r="O109" s="51">
        <f t="shared" ref="O109" si="93">ROUND(G109/1000,0)</f>
        <v>0</v>
      </c>
    </row>
    <row r="110" spans="1:15" ht="15.75" x14ac:dyDescent="0.25">
      <c r="A110" s="84" t="s">
        <v>72</v>
      </c>
      <c r="B110" s="77"/>
      <c r="C110" s="9">
        <v>0</v>
      </c>
      <c r="D110" s="95">
        <v>2050000</v>
      </c>
      <c r="E110" s="9">
        <f>-198.5-26230.44-2355.77+1176553.82+1092147.35</f>
        <v>2239916.46</v>
      </c>
      <c r="F110" s="9">
        <v>0</v>
      </c>
      <c r="G110" s="4">
        <f t="shared" si="81"/>
        <v>189916.45999999996</v>
      </c>
      <c r="J110" s="55" t="s">
        <v>72</v>
      </c>
      <c r="K110" s="51">
        <f t="shared" ref="K110:K113" si="94">ROUND(C110/1000,0)</f>
        <v>0</v>
      </c>
      <c r="L110" s="51">
        <f t="shared" ref="L110:L113" si="95">ROUND(D110/1000,0)</f>
        <v>2050</v>
      </c>
      <c r="M110" s="51">
        <f t="shared" ref="M110:M113" si="96">ROUND(E110/1000,0)</f>
        <v>2240</v>
      </c>
      <c r="N110" s="51">
        <f t="shared" ref="N110:N113" si="97">ROUND(F110/1000,0)</f>
        <v>0</v>
      </c>
      <c r="O110" s="51">
        <f t="shared" ref="O110:O113" si="98">ROUND(G110/1000,0)</f>
        <v>190</v>
      </c>
    </row>
    <row r="111" spans="1:15" ht="15.75" x14ac:dyDescent="0.25">
      <c r="A111" s="84"/>
      <c r="B111" s="77" t="s">
        <v>10</v>
      </c>
      <c r="C111" s="9">
        <v>0</v>
      </c>
      <c r="D111" s="95">
        <v>0</v>
      </c>
      <c r="E111" s="9"/>
      <c r="F111" s="9">
        <v>0</v>
      </c>
      <c r="G111" s="4">
        <f t="shared" si="81"/>
        <v>0</v>
      </c>
      <c r="J111" s="55" t="s">
        <v>74</v>
      </c>
      <c r="K111" s="51">
        <f t="shared" si="94"/>
        <v>0</v>
      </c>
      <c r="L111" s="51">
        <f t="shared" si="95"/>
        <v>0</v>
      </c>
      <c r="M111" s="51">
        <f t="shared" si="96"/>
        <v>0</v>
      </c>
      <c r="N111" s="51">
        <f t="shared" si="97"/>
        <v>0</v>
      </c>
      <c r="O111" s="51">
        <f t="shared" si="98"/>
        <v>0</v>
      </c>
    </row>
    <row r="112" spans="1:15" ht="15.75" x14ac:dyDescent="0.25">
      <c r="A112" s="92" t="s">
        <v>89</v>
      </c>
      <c r="B112" s="77"/>
      <c r="C112" s="4">
        <v>0</v>
      </c>
      <c r="D112" s="9">
        <v>0</v>
      </c>
      <c r="E112" s="4">
        <f>-3739465.71+22465802.98</f>
        <v>18726337.27</v>
      </c>
      <c r="F112" s="9">
        <f>-82796.74+7946643.94</f>
        <v>7863847.2000000002</v>
      </c>
      <c r="G112" s="4">
        <f t="shared" si="81"/>
        <v>18726337.27</v>
      </c>
      <c r="H112" s="63"/>
      <c r="I112" s="63"/>
      <c r="J112" s="94" t="s">
        <v>89</v>
      </c>
      <c r="K112" s="51">
        <f t="shared" si="94"/>
        <v>0</v>
      </c>
      <c r="L112" s="51">
        <f t="shared" si="95"/>
        <v>0</v>
      </c>
      <c r="M112" s="51">
        <f t="shared" si="96"/>
        <v>18726</v>
      </c>
      <c r="N112" s="51">
        <f t="shared" si="97"/>
        <v>7864</v>
      </c>
      <c r="O112" s="51">
        <f t="shared" si="98"/>
        <v>18726</v>
      </c>
    </row>
    <row r="113" spans="1:15" ht="15.75" x14ac:dyDescent="0.25">
      <c r="A113" s="17"/>
      <c r="B113" s="77" t="s">
        <v>10</v>
      </c>
      <c r="C113" s="4">
        <v>0</v>
      </c>
      <c r="D113" s="9">
        <v>0</v>
      </c>
      <c r="E113" s="4">
        <v>0</v>
      </c>
      <c r="F113" s="9">
        <v>0</v>
      </c>
      <c r="G113" s="4">
        <f t="shared" si="81"/>
        <v>0</v>
      </c>
      <c r="H113" s="63"/>
      <c r="I113" s="63"/>
      <c r="J113" s="93" t="s">
        <v>74</v>
      </c>
      <c r="K113" s="51">
        <f t="shared" si="94"/>
        <v>0</v>
      </c>
      <c r="L113" s="51">
        <f t="shared" si="95"/>
        <v>0</v>
      </c>
      <c r="M113" s="51">
        <f t="shared" si="96"/>
        <v>0</v>
      </c>
      <c r="N113" s="51">
        <f t="shared" si="97"/>
        <v>0</v>
      </c>
      <c r="O113" s="51">
        <f t="shared" si="98"/>
        <v>0</v>
      </c>
    </row>
    <row r="114" spans="1:15" ht="15.75" x14ac:dyDescent="0.25">
      <c r="A114" s="79" t="s">
        <v>12</v>
      </c>
      <c r="B114" s="79"/>
      <c r="C114" s="42"/>
      <c r="D114" s="42"/>
      <c r="E114" s="42">
        <f>SUM(E115:E121)</f>
        <v>-290180527.65999997</v>
      </c>
      <c r="F114" s="42">
        <f>SUM(F115:F121)</f>
        <v>-315856.23999999976</v>
      </c>
      <c r="G114" s="42"/>
      <c r="J114" s="56" t="s">
        <v>12</v>
      </c>
      <c r="K114" s="51"/>
      <c r="L114" s="51"/>
      <c r="M114" s="50">
        <f t="shared" si="3"/>
        <v>-290181</v>
      </c>
      <c r="N114" s="50">
        <f t="shared" si="4"/>
        <v>-316</v>
      </c>
      <c r="O114" s="51"/>
    </row>
    <row r="115" spans="1:15" ht="15.75" x14ac:dyDescent="0.25">
      <c r="A115" s="17"/>
      <c r="B115" s="77" t="s">
        <v>31</v>
      </c>
      <c r="C115" s="4"/>
      <c r="D115" s="43"/>
      <c r="E115" s="43">
        <v>407841.33</v>
      </c>
      <c r="F115" s="43">
        <v>142549.6</v>
      </c>
      <c r="G115" s="3"/>
      <c r="J115" s="55" t="s">
        <v>31</v>
      </c>
      <c r="K115" s="51"/>
      <c r="L115" s="51"/>
      <c r="M115" s="51">
        <f t="shared" si="3"/>
        <v>408</v>
      </c>
      <c r="N115" s="51">
        <f t="shared" si="4"/>
        <v>143</v>
      </c>
      <c r="O115" s="51"/>
    </row>
    <row r="116" spans="1:15" ht="15.75" x14ac:dyDescent="0.25">
      <c r="A116" s="17"/>
      <c r="B116" s="77" t="s">
        <v>32</v>
      </c>
      <c r="C116" s="4"/>
      <c r="D116" s="43"/>
      <c r="E116" s="43">
        <v>4172706.78</v>
      </c>
      <c r="F116" s="43">
        <v>2338887.2799999998</v>
      </c>
      <c r="G116" s="3"/>
      <c r="J116" s="55" t="s">
        <v>32</v>
      </c>
      <c r="K116" s="51"/>
      <c r="L116" s="51"/>
      <c r="M116" s="51">
        <f t="shared" si="3"/>
        <v>4173</v>
      </c>
      <c r="N116" s="51">
        <f t="shared" si="4"/>
        <v>2339</v>
      </c>
      <c r="O116" s="51"/>
    </row>
    <row r="117" spans="1:15" ht="15.75" x14ac:dyDescent="0.25">
      <c r="A117" s="17"/>
      <c r="B117" s="77" t="s">
        <v>162</v>
      </c>
      <c r="C117" s="4"/>
      <c r="D117" s="43"/>
      <c r="E117" s="43">
        <v>-289783693</v>
      </c>
      <c r="F117" s="43">
        <v>0</v>
      </c>
      <c r="G117" s="3"/>
      <c r="J117" s="55" t="s">
        <v>162</v>
      </c>
      <c r="K117" s="51"/>
      <c r="L117" s="51"/>
      <c r="M117" s="51">
        <f t="shared" ref="M117" si="99">ROUND(E117/1000,0)</f>
        <v>-289784</v>
      </c>
      <c r="N117" s="51">
        <f t="shared" ref="N117" si="100">ROUND(F117/1000,0)</f>
        <v>0</v>
      </c>
      <c r="O117" s="51"/>
    </row>
    <row r="118" spans="1:15" ht="15.75" x14ac:dyDescent="0.25">
      <c r="A118" s="17"/>
      <c r="B118" s="77" t="s">
        <v>136</v>
      </c>
      <c r="C118" s="4"/>
      <c r="D118" s="43"/>
      <c r="E118" s="43">
        <v>25533.5</v>
      </c>
      <c r="F118" s="43">
        <v>-61208.75</v>
      </c>
      <c r="G118" s="3"/>
      <c r="J118" s="55" t="s">
        <v>136</v>
      </c>
      <c r="K118" s="51"/>
      <c r="L118" s="51"/>
      <c r="M118" s="51">
        <f t="shared" si="3"/>
        <v>26</v>
      </c>
      <c r="N118" s="51">
        <f t="shared" si="4"/>
        <v>-61</v>
      </c>
      <c r="O118" s="51"/>
    </row>
    <row r="119" spans="1:15" ht="15.75" x14ac:dyDescent="0.25">
      <c r="A119" s="17"/>
      <c r="B119" s="77" t="s">
        <v>137</v>
      </c>
      <c r="C119" s="4"/>
      <c r="D119" s="43"/>
      <c r="E119" s="43">
        <v>-25533.5</v>
      </c>
      <c r="F119" s="43">
        <v>61208.75</v>
      </c>
      <c r="G119" s="3"/>
      <c r="J119" s="55" t="s">
        <v>137</v>
      </c>
      <c r="K119" s="51"/>
      <c r="L119" s="51"/>
      <c r="M119" s="51">
        <f t="shared" si="3"/>
        <v>-26</v>
      </c>
      <c r="N119" s="51">
        <f t="shared" si="4"/>
        <v>61</v>
      </c>
      <c r="O119" s="51"/>
    </row>
    <row r="120" spans="1:15" ht="15.75" x14ac:dyDescent="0.25">
      <c r="A120" s="17"/>
      <c r="B120" s="77" t="s">
        <v>33</v>
      </c>
      <c r="C120" s="4"/>
      <c r="D120" s="43"/>
      <c r="E120" s="43">
        <f>-704911.84-4172706.78</f>
        <v>-4877618.62</v>
      </c>
      <c r="F120" s="43">
        <f>-458002.34-2338887.28</f>
        <v>-2796889.6199999996</v>
      </c>
      <c r="G120" s="3"/>
      <c r="J120" s="55" t="s">
        <v>33</v>
      </c>
      <c r="K120" s="51"/>
      <c r="L120" s="51"/>
      <c r="M120" s="51">
        <f t="shared" si="3"/>
        <v>-4878</v>
      </c>
      <c r="N120" s="51">
        <f t="shared" si="4"/>
        <v>-2797</v>
      </c>
      <c r="O120" s="51"/>
    </row>
    <row r="121" spans="1:15" ht="15.75" x14ac:dyDescent="0.25">
      <c r="A121" s="17"/>
      <c r="B121" s="77" t="s">
        <v>28</v>
      </c>
      <c r="C121" s="4"/>
      <c r="D121" s="43"/>
      <c r="E121" s="43">
        <v>-99764.15</v>
      </c>
      <c r="F121" s="43">
        <v>-403.5</v>
      </c>
      <c r="G121" s="3"/>
      <c r="J121" s="55" t="s">
        <v>28</v>
      </c>
      <c r="K121" s="51"/>
      <c r="L121" s="51"/>
      <c r="M121" s="51">
        <f t="shared" si="3"/>
        <v>-100</v>
      </c>
      <c r="N121" s="51">
        <f t="shared" si="4"/>
        <v>0</v>
      </c>
      <c r="O121" s="51"/>
    </row>
    <row r="122" spans="1:15" ht="15.75" hidden="1" x14ac:dyDescent="0.25">
      <c r="A122" s="85" t="s">
        <v>21</v>
      </c>
      <c r="B122" s="86"/>
      <c r="C122" s="13"/>
      <c r="D122" s="14"/>
      <c r="E122" s="7"/>
      <c r="F122" s="7"/>
      <c r="G122" s="8"/>
      <c r="J122" s="59"/>
      <c r="K122" s="51"/>
      <c r="L122" s="51"/>
      <c r="M122" s="51"/>
      <c r="N122" s="51"/>
      <c r="O122" s="51"/>
    </row>
    <row r="123" spans="1:15" ht="15.75" hidden="1" x14ac:dyDescent="0.25">
      <c r="A123" s="87" t="s">
        <v>22</v>
      </c>
      <c r="B123" s="87"/>
      <c r="C123" s="13"/>
      <c r="D123" s="15"/>
      <c r="E123" s="7"/>
      <c r="F123" s="7"/>
      <c r="G123" s="8"/>
      <c r="J123" s="60"/>
      <c r="K123" s="51"/>
      <c r="L123" s="51"/>
      <c r="M123" s="51"/>
      <c r="N123" s="51"/>
      <c r="O123" s="51"/>
    </row>
    <row r="124" spans="1:15" ht="15.75" hidden="1" x14ac:dyDescent="0.25">
      <c r="A124" s="81"/>
      <c r="B124" s="85" t="s">
        <v>19</v>
      </c>
      <c r="C124" s="13">
        <v>0</v>
      </c>
      <c r="D124" s="13"/>
      <c r="E124" s="13"/>
      <c r="F124" s="13">
        <v>0</v>
      </c>
      <c r="G124" s="13">
        <f>E124-D124</f>
        <v>0</v>
      </c>
      <c r="J124" s="61"/>
      <c r="K124" s="51"/>
      <c r="L124" s="51"/>
      <c r="M124" s="51"/>
      <c r="N124" s="51"/>
      <c r="O124" s="51"/>
    </row>
    <row r="125" spans="1:15" ht="15.75" hidden="1" x14ac:dyDescent="0.25">
      <c r="A125" s="81"/>
      <c r="B125" s="88" t="s">
        <v>10</v>
      </c>
      <c r="C125" s="5">
        <v>0</v>
      </c>
      <c r="D125" s="5"/>
      <c r="E125" s="5"/>
      <c r="F125" s="5">
        <v>0</v>
      </c>
      <c r="G125" s="5">
        <f>E125-D125</f>
        <v>0</v>
      </c>
      <c r="H125" s="45" t="s">
        <v>163</v>
      </c>
      <c r="J125" s="61"/>
      <c r="K125" s="51"/>
      <c r="L125" s="51"/>
      <c r="M125" s="51"/>
      <c r="N125" s="51"/>
      <c r="O125" s="51"/>
    </row>
    <row r="126" spans="1:15" ht="15.75" hidden="1" x14ac:dyDescent="0.25">
      <c r="A126" s="81"/>
      <c r="B126" s="85" t="s">
        <v>20</v>
      </c>
      <c r="C126" s="13">
        <v>0</v>
      </c>
      <c r="D126" s="13">
        <v>0</v>
      </c>
      <c r="E126" s="13">
        <v>0</v>
      </c>
      <c r="F126" s="13">
        <v>0</v>
      </c>
      <c r="G126" s="13">
        <f>E126-D126</f>
        <v>0</v>
      </c>
      <c r="J126" s="61"/>
      <c r="K126" s="51"/>
      <c r="L126" s="51"/>
      <c r="M126" s="51"/>
      <c r="N126" s="51"/>
      <c r="O126" s="51"/>
    </row>
    <row r="127" spans="1:15" ht="15.75" hidden="1" x14ac:dyDescent="0.25">
      <c r="A127" s="81"/>
      <c r="B127" s="88" t="s">
        <v>10</v>
      </c>
      <c r="C127" s="5">
        <v>0</v>
      </c>
      <c r="D127" s="5">
        <f t="shared" ref="D127" si="101">C127</f>
        <v>0</v>
      </c>
      <c r="E127" s="5">
        <v>0</v>
      </c>
      <c r="F127" s="5">
        <v>0</v>
      </c>
      <c r="G127" s="5">
        <f>E127-D127</f>
        <v>0</v>
      </c>
      <c r="J127" s="61"/>
      <c r="K127" s="51"/>
      <c r="L127" s="51"/>
      <c r="M127" s="51"/>
      <c r="N127" s="51"/>
      <c r="O127" s="51"/>
    </row>
    <row r="128" spans="1:15" ht="15.75" hidden="1" x14ac:dyDescent="0.25">
      <c r="A128" s="80"/>
      <c r="B128" s="81" t="s">
        <v>13</v>
      </c>
      <c r="C128" s="5"/>
      <c r="D128" s="6"/>
      <c r="E128" s="7">
        <f>E5+E14+E107+E114</f>
        <v>-477317527.8599999</v>
      </c>
      <c r="F128" s="7">
        <f>F5+F14+F107+F114</f>
        <v>-93114653.989999995</v>
      </c>
      <c r="G128" s="8"/>
      <c r="J128" s="57"/>
      <c r="K128" s="51"/>
      <c r="L128" s="51"/>
      <c r="M128" s="51"/>
      <c r="N128" s="51"/>
      <c r="O128" s="51"/>
    </row>
    <row r="129" spans="1:15" ht="15.75" hidden="1" x14ac:dyDescent="0.25">
      <c r="A129" s="80"/>
      <c r="B129" s="81" t="s">
        <v>14</v>
      </c>
      <c r="C129" s="5"/>
      <c r="D129" s="6"/>
      <c r="E129" s="7">
        <v>-477317527.66000003</v>
      </c>
      <c r="F129" s="7">
        <v>-93114654.010000005</v>
      </c>
      <c r="G129" s="8"/>
      <c r="J129" s="57"/>
      <c r="K129" s="51"/>
      <c r="L129" s="51"/>
      <c r="M129" s="51"/>
      <c r="N129" s="51"/>
      <c r="O129" s="51"/>
    </row>
    <row r="130" spans="1:15" ht="15.75" hidden="1" x14ac:dyDescent="0.25">
      <c r="A130" s="73"/>
      <c r="B130" s="74"/>
      <c r="C130" s="9"/>
      <c r="D130" s="10"/>
      <c r="E130" s="7">
        <f>E128-E129</f>
        <v>-0.19999986886978149</v>
      </c>
      <c r="F130" s="43">
        <f>F128-F129</f>
        <v>2.000001072883606E-2</v>
      </c>
      <c r="G130" s="3"/>
      <c r="J130" s="52"/>
      <c r="K130" s="51"/>
      <c r="L130" s="51"/>
      <c r="M130" s="51"/>
      <c r="N130" s="51"/>
      <c r="O130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22"/>
  <sheetViews>
    <sheetView workbookViewId="0">
      <selection activeCell="B40" sqref="B40"/>
    </sheetView>
  </sheetViews>
  <sheetFormatPr defaultRowHeight="15" x14ac:dyDescent="0.25"/>
  <cols>
    <col min="1" max="1" width="20.85546875" customWidth="1"/>
    <col min="2" max="2" width="39.140625" customWidth="1"/>
    <col min="3" max="3" width="16.7109375" style="41" bestFit="1" customWidth="1"/>
    <col min="4" max="4" width="16.140625" style="41" bestFit="1" customWidth="1"/>
    <col min="5" max="5" width="16.7109375" style="41" bestFit="1" customWidth="1"/>
    <col min="6" max="6" width="9.140625" style="24"/>
    <col min="7" max="7" width="16" style="24" bestFit="1" customWidth="1"/>
    <col min="8" max="8" width="16.7109375" style="24" bestFit="1" customWidth="1"/>
    <col min="9" max="9" width="15.85546875" style="24" bestFit="1" customWidth="1"/>
    <col min="11" max="11" width="13.28515625" bestFit="1" customWidth="1"/>
    <col min="13" max="13" width="14.28515625" bestFit="1" customWidth="1"/>
    <col min="14" max="14" width="10.7109375" bestFit="1" customWidth="1"/>
    <col min="15" max="15" width="13.28515625" customWidth="1"/>
  </cols>
  <sheetData>
    <row r="1" spans="1:15" x14ac:dyDescent="0.25">
      <c r="A1" s="18" t="s">
        <v>35</v>
      </c>
      <c r="B1" s="19"/>
      <c r="C1" s="46"/>
      <c r="D1" s="46"/>
      <c r="E1" s="46"/>
      <c r="F1" s="20"/>
      <c r="G1" s="21"/>
      <c r="H1" s="22"/>
      <c r="I1" s="23"/>
      <c r="J1" s="24"/>
    </row>
    <row r="2" spans="1:15" x14ac:dyDescent="0.25">
      <c r="A2" s="18" t="s">
        <v>36</v>
      </c>
      <c r="B2" s="19"/>
      <c r="C2" s="46"/>
      <c r="D2" s="46"/>
      <c r="E2" s="46"/>
      <c r="F2" s="20"/>
      <c r="G2" s="21"/>
      <c r="H2" s="22"/>
      <c r="I2" s="22"/>
      <c r="J2" s="24"/>
    </row>
    <row r="3" spans="1:15" x14ac:dyDescent="0.25">
      <c r="A3" s="18"/>
      <c r="B3" s="19"/>
      <c r="C3" s="47">
        <f>SUBTOTAL(9,C5:C22)</f>
        <v>-467414629.74999994</v>
      </c>
      <c r="D3" s="47">
        <f>SUBTOTAL(9,D5:D22)</f>
        <v>-467414629.94999993</v>
      </c>
      <c r="E3" s="47">
        <f>SUBTOTAL(9,E5:E22)</f>
        <v>0.19999998141429387</v>
      </c>
      <c r="F3" s="20"/>
      <c r="G3" s="22">
        <f>SUBTOTAL(9,G5:G22)</f>
        <v>-90567177.999999925</v>
      </c>
      <c r="H3" s="22">
        <f>SUBTOTAL(9,H5:H22)</f>
        <v>-90567177.999999985</v>
      </c>
      <c r="I3" s="22">
        <f>SUBTOTAL(9,I5:I22)</f>
        <v>6.1350874602794647E-8</v>
      </c>
    </row>
    <row r="4" spans="1:15" ht="25.5" x14ac:dyDescent="0.25">
      <c r="A4" s="25"/>
      <c r="B4" s="25" t="s">
        <v>37</v>
      </c>
      <c r="C4" s="48" t="s">
        <v>164</v>
      </c>
      <c r="D4" s="48" t="s">
        <v>165</v>
      </c>
      <c r="E4" s="48" t="s">
        <v>166</v>
      </c>
      <c r="F4" s="64" t="s">
        <v>38</v>
      </c>
      <c r="G4" s="26" t="s">
        <v>65</v>
      </c>
      <c r="H4" s="26" t="s">
        <v>66</v>
      </c>
      <c r="I4" s="26" t="s">
        <v>67</v>
      </c>
      <c r="J4" s="25" t="s">
        <v>38</v>
      </c>
    </row>
    <row r="5" spans="1:15" x14ac:dyDescent="0.25">
      <c r="A5" t="s">
        <v>155</v>
      </c>
      <c r="B5" t="s">
        <v>5</v>
      </c>
      <c r="C5" s="41">
        <v>1384485.23</v>
      </c>
      <c r="D5" s="22">
        <f>aruanne!E6</f>
        <v>1392718.94</v>
      </c>
      <c r="E5" s="41">
        <f>C5-D5</f>
        <v>-8233.7099999999627</v>
      </c>
      <c r="G5" s="41">
        <v>1511731.37</v>
      </c>
      <c r="H5" s="22">
        <f>aruanne!F6</f>
        <v>1520273.63</v>
      </c>
      <c r="I5" s="22">
        <f t="shared" ref="I5:I22" si="0">G5-H5</f>
        <v>-8542.2599999997765</v>
      </c>
      <c r="O5" s="24"/>
    </row>
    <row r="6" spans="1:15" x14ac:dyDescent="0.25">
      <c r="A6" t="s">
        <v>155</v>
      </c>
      <c r="B6" t="s">
        <v>6</v>
      </c>
      <c r="C6" s="41">
        <v>12115379.08</v>
      </c>
      <c r="D6" s="22">
        <f>aruanne!E7+aruanne!E118</f>
        <v>12453861.77</v>
      </c>
      <c r="E6" s="41">
        <f t="shared" ref="E6:E22" si="1">C6-D6</f>
        <v>-338482.68999999948</v>
      </c>
      <c r="G6" s="41">
        <v>8880075.8800000008</v>
      </c>
      <c r="H6" s="22">
        <f>aruanne!F7+aruanne!F118</f>
        <v>10215447.529999999</v>
      </c>
      <c r="I6" s="22">
        <f t="shared" si="0"/>
        <v>-1335371.6499999985</v>
      </c>
      <c r="O6" s="24"/>
    </row>
    <row r="7" spans="1:15" x14ac:dyDescent="0.25">
      <c r="A7" t="s">
        <v>155</v>
      </c>
      <c r="B7" t="s">
        <v>4</v>
      </c>
      <c r="C7" s="41">
        <v>350046176.35000002</v>
      </c>
      <c r="D7" s="22">
        <f>aruanne!E8+aruanne!E115+aruanne!E116</f>
        <v>350046176.35000002</v>
      </c>
      <c r="E7" s="41">
        <f t="shared" si="1"/>
        <v>0</v>
      </c>
      <c r="G7" s="41">
        <v>329102550.11000001</v>
      </c>
      <c r="H7" s="22">
        <f>aruanne!F8+aruanne!F115+aruanne!F116</f>
        <v>329102550.11000001</v>
      </c>
      <c r="I7" s="22">
        <f t="shared" si="0"/>
        <v>0</v>
      </c>
      <c r="O7" s="24"/>
    </row>
    <row r="8" spans="1:15" x14ac:dyDescent="0.25">
      <c r="A8" t="s">
        <v>155</v>
      </c>
      <c r="B8" t="s">
        <v>71</v>
      </c>
      <c r="C8" s="41">
        <v>10856099.439999999</v>
      </c>
      <c r="D8" s="22">
        <f>aruanne!E9</f>
        <v>10856099.439999999</v>
      </c>
      <c r="E8" s="41">
        <f t="shared" si="1"/>
        <v>0</v>
      </c>
      <c r="G8" s="41">
        <v>9.1300000000000008</v>
      </c>
      <c r="H8" s="22">
        <f>aruanne!F9</f>
        <v>9.1300000000001091</v>
      </c>
      <c r="I8" s="22">
        <f t="shared" si="0"/>
        <v>-1.0835776720341528E-13</v>
      </c>
      <c r="O8" s="24"/>
    </row>
    <row r="9" spans="1:15" x14ac:dyDescent="0.25">
      <c r="A9" t="s">
        <v>155</v>
      </c>
      <c r="B9" t="s">
        <v>7</v>
      </c>
      <c r="C9" s="41">
        <v>39601.910000000003</v>
      </c>
      <c r="D9" s="22">
        <f>aruanne!E10</f>
        <v>39601.910000000003</v>
      </c>
      <c r="E9" s="41">
        <f t="shared" si="1"/>
        <v>0</v>
      </c>
      <c r="G9" s="41">
        <v>15188.74</v>
      </c>
      <c r="H9" s="22">
        <f>aruanne!F10</f>
        <v>15188.74</v>
      </c>
      <c r="I9" s="22">
        <f t="shared" si="0"/>
        <v>0</v>
      </c>
      <c r="O9" s="24"/>
    </row>
    <row r="10" spans="1:15" x14ac:dyDescent="0.25">
      <c r="A10" t="s">
        <v>155</v>
      </c>
      <c r="B10" t="s">
        <v>8</v>
      </c>
      <c r="C10" s="41">
        <v>1261812.31</v>
      </c>
      <c r="D10" s="22">
        <f>aruanne!E11</f>
        <v>1261812.31</v>
      </c>
      <c r="E10" s="41">
        <f t="shared" si="1"/>
        <v>0</v>
      </c>
      <c r="G10" s="41">
        <v>1024146.57</v>
      </c>
      <c r="H10" s="22">
        <f>aruanne!F11</f>
        <v>1024146.57</v>
      </c>
      <c r="I10" s="22">
        <f t="shared" si="0"/>
        <v>0</v>
      </c>
      <c r="O10" s="24"/>
    </row>
    <row r="11" spans="1:15" x14ac:dyDescent="0.25">
      <c r="A11" t="s">
        <v>155</v>
      </c>
      <c r="B11" t="s">
        <v>60</v>
      </c>
      <c r="C11" s="41">
        <f>198342.78+1645504.46-1261812.31</f>
        <v>582034.92999999993</v>
      </c>
      <c r="D11" s="22">
        <f>aruanne!E12</f>
        <v>582034.92999999993</v>
      </c>
      <c r="E11" s="41">
        <f t="shared" si="1"/>
        <v>0</v>
      </c>
      <c r="G11" s="41">
        <f>129750.53+1847662.17-1024146.57</f>
        <v>953266.13</v>
      </c>
      <c r="H11" s="22">
        <f>aruanne!F12</f>
        <v>953266.13</v>
      </c>
      <c r="I11" s="22">
        <f t="shared" si="0"/>
        <v>0</v>
      </c>
      <c r="O11" s="24"/>
    </row>
    <row r="12" spans="1:15" x14ac:dyDescent="0.25">
      <c r="A12" t="s">
        <v>155</v>
      </c>
      <c r="B12" t="s">
        <v>41</v>
      </c>
      <c r="C12" s="41">
        <f>370157.41-23441.01</f>
        <v>346716.39999999997</v>
      </c>
      <c r="D12" s="22"/>
      <c r="E12" s="41">
        <f t="shared" si="1"/>
        <v>346716.39999999997</v>
      </c>
      <c r="G12" s="41">
        <v>1343913.91</v>
      </c>
      <c r="H12" s="22"/>
      <c r="I12" s="22">
        <f t="shared" si="0"/>
        <v>1343913.91</v>
      </c>
      <c r="O12" s="24"/>
    </row>
    <row r="13" spans="1:15" x14ac:dyDescent="0.25">
      <c r="A13" t="s">
        <v>155</v>
      </c>
      <c r="B13" t="s">
        <v>39</v>
      </c>
      <c r="C13" s="41">
        <f>83999.77+1963675.59+1738646.33</f>
        <v>3786321.6900000004</v>
      </c>
      <c r="D13" s="22">
        <f>aruanne!E13</f>
        <v>3786321.69</v>
      </c>
      <c r="E13" s="41">
        <f t="shared" si="1"/>
        <v>0</v>
      </c>
      <c r="G13" s="41">
        <f>244999.77+3568271.09</f>
        <v>3813270.86</v>
      </c>
      <c r="H13" s="22">
        <f>aruanne!F13</f>
        <v>3813270.86</v>
      </c>
      <c r="I13" s="22">
        <f t="shared" si="0"/>
        <v>0</v>
      </c>
      <c r="O13" s="24"/>
    </row>
    <row r="14" spans="1:15" x14ac:dyDescent="0.25">
      <c r="A14" t="s">
        <v>155</v>
      </c>
      <c r="B14" t="s">
        <v>70</v>
      </c>
      <c r="C14" s="41">
        <f>-857541879.43-C17-C20</f>
        <v>-852005518.5</v>
      </c>
      <c r="D14" s="22">
        <f>aruanne!E14+aruanne!E121+aruanne!E120+aruanne!E119-D17+aruanne!E117</f>
        <v>-852199794.26999998</v>
      </c>
      <c r="E14" s="41">
        <f t="shared" si="1"/>
        <v>194275.76999998093</v>
      </c>
      <c r="G14" s="41">
        <f>-438075413.19-G17-G20</f>
        <v>-434072074.63999999</v>
      </c>
      <c r="H14" s="22">
        <f>aruanne!F14+aruanne!F121+aruanne!F120+aruanne!F119-H17</f>
        <v>-435755468.14000005</v>
      </c>
      <c r="I14" s="22">
        <f t="shared" si="0"/>
        <v>1683393.5000000596</v>
      </c>
      <c r="O14" s="24"/>
    </row>
    <row r="15" spans="1:15" x14ac:dyDescent="0.25">
      <c r="A15" t="s">
        <v>155</v>
      </c>
      <c r="B15" t="s">
        <v>42</v>
      </c>
      <c r="C15" s="41">
        <v>-346716.4</v>
      </c>
      <c r="D15" s="22"/>
      <c r="E15" s="41">
        <f t="shared" si="1"/>
        <v>-346716.4</v>
      </c>
      <c r="G15" s="41">
        <v>-1343913.89</v>
      </c>
      <c r="H15" s="22"/>
      <c r="I15" s="22">
        <f t="shared" si="0"/>
        <v>-1343913.89</v>
      </c>
      <c r="O15" s="24"/>
    </row>
    <row r="16" spans="1:15" x14ac:dyDescent="0.25">
      <c r="A16" t="s">
        <v>155</v>
      </c>
      <c r="B16" t="s">
        <v>40</v>
      </c>
      <c r="C16" s="41">
        <v>152440.82999999999</v>
      </c>
      <c r="D16" s="22"/>
      <c r="E16" s="41">
        <f t="shared" si="1"/>
        <v>152440.82999999999</v>
      </c>
      <c r="G16" s="41">
        <v>-339479.61</v>
      </c>
      <c r="H16" s="22"/>
      <c r="I16" s="22">
        <f t="shared" si="0"/>
        <v>-339479.61</v>
      </c>
      <c r="O16" s="24"/>
    </row>
    <row r="17" spans="1:15" x14ac:dyDescent="0.25">
      <c r="A17" t="s">
        <v>155</v>
      </c>
      <c r="B17" s="27" t="s">
        <v>59</v>
      </c>
      <c r="C17" s="41">
        <v>-3821840.4</v>
      </c>
      <c r="D17" s="22">
        <f>aruanne!E104</f>
        <v>-3821840.4</v>
      </c>
      <c r="E17" s="41">
        <f t="shared" si="1"/>
        <v>0</v>
      </c>
      <c r="F17" s="28"/>
      <c r="G17" s="41">
        <v>-3137174.99</v>
      </c>
      <c r="H17" s="22">
        <f>aruanne!F104</f>
        <v>-3137174.99</v>
      </c>
      <c r="I17" s="22">
        <f t="shared" si="0"/>
        <v>0</v>
      </c>
      <c r="O17" s="24"/>
    </row>
    <row r="18" spans="1:15" x14ac:dyDescent="0.25">
      <c r="A18" t="s">
        <v>155</v>
      </c>
      <c r="B18" s="27" t="s">
        <v>20</v>
      </c>
      <c r="C18" s="41">
        <f>-5338014.24-5725341.58</f>
        <v>-11063355.82</v>
      </c>
      <c r="D18" s="22">
        <f>aruanne!E105-aruanne!E107</f>
        <v>-11063355.82</v>
      </c>
      <c r="E18" s="41">
        <f t="shared" si="1"/>
        <v>0</v>
      </c>
      <c r="F18" s="28"/>
      <c r="G18" s="41">
        <f>-1326962.35-4014050.15+24641.29</f>
        <v>-5316371.21</v>
      </c>
      <c r="H18" s="22">
        <f>aruanne!F105-aruanne!F107</f>
        <v>-5316371.209999999</v>
      </c>
      <c r="I18" s="22">
        <f t="shared" si="0"/>
        <v>0</v>
      </c>
      <c r="O18" s="24"/>
    </row>
    <row r="19" spans="1:15" x14ac:dyDescent="0.25">
      <c r="A19" t="s">
        <v>155</v>
      </c>
      <c r="B19" t="s">
        <v>43</v>
      </c>
      <c r="D19" s="22">
        <v>0</v>
      </c>
      <c r="E19" s="41">
        <f t="shared" si="1"/>
        <v>0</v>
      </c>
      <c r="G19" s="41"/>
      <c r="H19" s="22">
        <v>0</v>
      </c>
      <c r="I19" s="22">
        <f t="shared" si="0"/>
        <v>0</v>
      </c>
      <c r="O19" s="24"/>
    </row>
    <row r="20" spans="1:15" x14ac:dyDescent="0.25">
      <c r="A20" t="s">
        <v>155</v>
      </c>
      <c r="B20" s="27" t="s">
        <v>69</v>
      </c>
      <c r="C20" s="41">
        <v>-1714520.53</v>
      </c>
      <c r="D20" s="22">
        <f>aruanne!E107</f>
        <v>-1714520.53</v>
      </c>
      <c r="E20" s="41">
        <f t="shared" si="1"/>
        <v>0</v>
      </c>
      <c r="G20" s="41">
        <v>-866163.56</v>
      </c>
      <c r="H20" s="22">
        <f>aruanne!F107</f>
        <v>-866163.56</v>
      </c>
      <c r="I20" s="22">
        <f t="shared" si="0"/>
        <v>0</v>
      </c>
      <c r="O20" s="24"/>
    </row>
    <row r="21" spans="1:15" x14ac:dyDescent="0.25">
      <c r="A21" t="s">
        <v>155</v>
      </c>
      <c r="B21" s="27" t="s">
        <v>72</v>
      </c>
      <c r="C21" s="41">
        <f>-2355.77-26428.94+1092147.35+1176553.82</f>
        <v>2239916.46</v>
      </c>
      <c r="D21" s="22">
        <f>aruanne!E110</f>
        <v>2239916.46</v>
      </c>
      <c r="E21" s="41">
        <f t="shared" si="1"/>
        <v>0</v>
      </c>
      <c r="F21" s="28"/>
      <c r="G21" s="41"/>
      <c r="H21" s="22"/>
      <c r="I21" s="22">
        <f t="shared" si="0"/>
        <v>0</v>
      </c>
      <c r="O21" s="24"/>
    </row>
    <row r="22" spans="1:15" x14ac:dyDescent="0.25">
      <c r="A22" t="s">
        <v>155</v>
      </c>
      <c r="B22" s="27" t="s">
        <v>135</v>
      </c>
      <c r="C22" s="41">
        <f>-3739465.71+22465802.98</f>
        <v>18726337.27</v>
      </c>
      <c r="D22" s="22">
        <f>aruanne!E112</f>
        <v>18726337.27</v>
      </c>
      <c r="E22" s="41">
        <f t="shared" si="1"/>
        <v>0</v>
      </c>
      <c r="F22" s="28"/>
      <c r="G22" s="41">
        <f>-82796.74+7946643.94</f>
        <v>7863847.2000000002</v>
      </c>
      <c r="H22" s="22">
        <f>aruanne!F112</f>
        <v>7863847.2000000002</v>
      </c>
      <c r="I22" s="22">
        <f t="shared" si="0"/>
        <v>0</v>
      </c>
      <c r="O22" s="24"/>
    </row>
  </sheetData>
  <autoFilter ref="A4:J22" xr:uid="{EF1F9403-50E9-43C6-AF9D-B37F0A9328D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L36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D38" sqref="D38"/>
    </sheetView>
  </sheetViews>
  <sheetFormatPr defaultRowHeight="15" x14ac:dyDescent="0.25"/>
  <cols>
    <col min="1" max="1" width="58.28515625" customWidth="1"/>
    <col min="2" max="2" width="11.85546875" customWidth="1"/>
    <col min="3" max="3" width="19.42578125" customWidth="1"/>
    <col min="4" max="4" width="11.140625" customWidth="1"/>
    <col min="12" max="12" width="14.140625" style="24" bestFit="1" customWidth="1"/>
  </cols>
  <sheetData>
    <row r="1" spans="1:4" x14ac:dyDescent="0.25">
      <c r="A1" s="18" t="s">
        <v>35</v>
      </c>
    </row>
    <row r="2" spans="1:4" x14ac:dyDescent="0.25">
      <c r="A2" s="18" t="s">
        <v>44</v>
      </c>
      <c r="C2" s="1"/>
      <c r="D2" s="1"/>
    </row>
    <row r="3" spans="1:4" x14ac:dyDescent="0.25">
      <c r="A3" s="29" t="s">
        <v>0</v>
      </c>
      <c r="C3" s="1"/>
      <c r="D3" s="1"/>
    </row>
    <row r="4" spans="1:4" x14ac:dyDescent="0.25">
      <c r="A4" s="18"/>
      <c r="B4" s="19"/>
      <c r="C4" s="19"/>
      <c r="D4" s="19"/>
    </row>
    <row r="5" spans="1:4" x14ac:dyDescent="0.25">
      <c r="A5" s="18"/>
      <c r="B5" s="30">
        <v>13</v>
      </c>
      <c r="C5" s="30">
        <v>13</v>
      </c>
      <c r="D5" s="30">
        <v>13</v>
      </c>
    </row>
    <row r="6" spans="1:4" x14ac:dyDescent="0.25">
      <c r="A6" s="31"/>
      <c r="B6" s="32" t="s">
        <v>45</v>
      </c>
      <c r="C6" s="32" t="s">
        <v>73</v>
      </c>
      <c r="D6" s="32" t="s">
        <v>46</v>
      </c>
    </row>
    <row r="7" spans="1:4" x14ac:dyDescent="0.25">
      <c r="A7" s="96" t="s">
        <v>47</v>
      </c>
      <c r="B7" s="33">
        <f>aruanne!C5</f>
        <v>354868241</v>
      </c>
      <c r="C7" s="33">
        <f>aruanne!C14+aruanne!C105</f>
        <v>-480264896</v>
      </c>
      <c r="D7" s="33">
        <f>aruanne!C108</f>
        <v>0</v>
      </c>
    </row>
    <row r="8" spans="1:4" x14ac:dyDescent="0.25">
      <c r="A8" s="96" t="s">
        <v>48</v>
      </c>
      <c r="B8" s="33"/>
      <c r="C8" s="33">
        <v>-18436748</v>
      </c>
      <c r="D8" s="33"/>
    </row>
    <row r="9" spans="1:4" x14ac:dyDescent="0.25">
      <c r="A9" s="96" t="s">
        <v>153</v>
      </c>
      <c r="B9" s="33">
        <v>38041664</v>
      </c>
      <c r="C9" s="33">
        <v>-105147206</v>
      </c>
      <c r="D9" s="33">
        <v>2050000</v>
      </c>
    </row>
    <row r="10" spans="1:4" x14ac:dyDescent="0.25">
      <c r="A10" s="96" t="s">
        <v>161</v>
      </c>
      <c r="B10" s="33"/>
      <c r="C10" s="33">
        <v>-11346161.52</v>
      </c>
      <c r="D10" s="33"/>
    </row>
    <row r="11" spans="1:4" x14ac:dyDescent="0.25">
      <c r="A11" s="96" t="s">
        <v>156</v>
      </c>
      <c r="B11" s="33"/>
      <c r="C11" s="33">
        <v>-2776035.56</v>
      </c>
      <c r="D11" s="33"/>
    </row>
    <row r="12" spans="1:4" x14ac:dyDescent="0.25">
      <c r="A12" s="96" t="s">
        <v>154</v>
      </c>
      <c r="B12" s="33"/>
      <c r="C12" s="33">
        <v>-5805479</v>
      </c>
      <c r="D12" s="33"/>
    </row>
    <row r="13" spans="1:4" x14ac:dyDescent="0.25">
      <c r="A13" s="97" t="s">
        <v>49</v>
      </c>
      <c r="B13" s="33"/>
      <c r="C13" s="33">
        <v>-4513864.7</v>
      </c>
      <c r="D13" s="33"/>
    </row>
    <row r="14" spans="1:4" x14ac:dyDescent="0.25">
      <c r="A14" s="97" t="s">
        <v>159</v>
      </c>
      <c r="B14" s="33"/>
      <c r="C14" s="33">
        <v>-3560190.6</v>
      </c>
      <c r="D14" s="33"/>
    </row>
    <row r="15" spans="1:4" x14ac:dyDescent="0.25">
      <c r="A15" s="96" t="s">
        <v>50</v>
      </c>
      <c r="B15" s="33"/>
      <c r="C15" s="33">
        <v>367727590</v>
      </c>
      <c r="D15" s="33"/>
    </row>
    <row r="16" spans="1:4" x14ac:dyDescent="0.25">
      <c r="A16" s="96" t="s">
        <v>51</v>
      </c>
      <c r="B16" s="33"/>
      <c r="C16" s="33">
        <v>-351819300.10000002</v>
      </c>
      <c r="D16" s="33"/>
    </row>
    <row r="17" spans="1:12" x14ac:dyDescent="0.25">
      <c r="A17" s="96" t="s">
        <v>62</v>
      </c>
      <c r="B17" s="33"/>
      <c r="C17" s="33">
        <f>792480+407594669-367727590</f>
        <v>40659559</v>
      </c>
      <c r="D17" s="33"/>
    </row>
    <row r="18" spans="1:12" x14ac:dyDescent="0.25">
      <c r="A18" s="96" t="s">
        <v>63</v>
      </c>
      <c r="B18" s="33"/>
      <c r="C18" s="33">
        <v>-29197628.370000001</v>
      </c>
      <c r="D18" s="33"/>
    </row>
    <row r="19" spans="1:12" x14ac:dyDescent="0.25">
      <c r="A19" s="96" t="s">
        <v>52</v>
      </c>
      <c r="B19" s="33"/>
      <c r="C19" s="33">
        <f>1379986+85000</f>
        <v>1464986</v>
      </c>
      <c r="D19" s="33"/>
    </row>
    <row r="20" spans="1:12" x14ac:dyDescent="0.25">
      <c r="A20" s="96" t="s">
        <v>53</v>
      </c>
      <c r="B20" s="33"/>
      <c r="C20" s="33">
        <f>-1059540-29986</f>
        <v>-1089526</v>
      </c>
      <c r="D20" s="33"/>
      <c r="L20" s="38"/>
    </row>
    <row r="21" spans="1:12" x14ac:dyDescent="0.25">
      <c r="A21" s="96" t="s">
        <v>54</v>
      </c>
      <c r="B21" s="33"/>
      <c r="C21" s="33">
        <f>8094700+5499</f>
        <v>8100199</v>
      </c>
      <c r="D21" s="33"/>
    </row>
    <row r="22" spans="1:12" x14ac:dyDescent="0.25">
      <c r="A22" s="96" t="s">
        <v>55</v>
      </c>
      <c r="B22" s="33"/>
      <c r="C22" s="33">
        <v>-9027369.3399999999</v>
      </c>
      <c r="D22" s="33"/>
    </row>
    <row r="23" spans="1:12" x14ac:dyDescent="0.25">
      <c r="A23" s="96" t="s">
        <v>157</v>
      </c>
      <c r="B23" s="33"/>
      <c r="C23" s="33">
        <v>-6870.33</v>
      </c>
      <c r="D23" s="33"/>
    </row>
    <row r="24" spans="1:12" x14ac:dyDescent="0.25">
      <c r="A24" s="96" t="s">
        <v>56</v>
      </c>
      <c r="B24" s="33"/>
      <c r="C24" s="33">
        <v>-18287000</v>
      </c>
      <c r="D24" s="33"/>
      <c r="F24" s="27"/>
    </row>
    <row r="25" spans="1:12" x14ac:dyDescent="0.25">
      <c r="A25" s="96" t="s">
        <v>160</v>
      </c>
      <c r="B25" s="33"/>
      <c r="C25" s="33">
        <v>-4527339.01</v>
      </c>
      <c r="D25" s="33"/>
    </row>
    <row r="26" spans="1:12" x14ac:dyDescent="0.25">
      <c r="A26" s="96" t="s">
        <v>158</v>
      </c>
      <c r="B26" s="33"/>
      <c r="C26" s="33">
        <v>-2337886.84</v>
      </c>
      <c r="D26" s="33"/>
    </row>
    <row r="27" spans="1:12" x14ac:dyDescent="0.25">
      <c r="A27" s="34" t="s">
        <v>57</v>
      </c>
      <c r="B27" s="35">
        <f>SUM(B7:B26)</f>
        <v>392909905</v>
      </c>
      <c r="C27" s="35">
        <f>SUM(C7:C26)</f>
        <v>-630191167.37000012</v>
      </c>
      <c r="D27" s="35">
        <f>SUM(D7:D26)</f>
        <v>2050000</v>
      </c>
    </row>
    <row r="28" spans="1:12" x14ac:dyDescent="0.25">
      <c r="A28" s="36"/>
      <c r="B28" s="36">
        <f>aruanne!D5</f>
        <v>392909905</v>
      </c>
      <c r="C28" s="36">
        <f>aruanne!D14+aruanne!D105</f>
        <v>-630191174.71000004</v>
      </c>
      <c r="D28" s="36">
        <f>aruanne!D108</f>
        <v>2050000</v>
      </c>
    </row>
    <row r="29" spans="1:12" x14ac:dyDescent="0.25">
      <c r="A29" s="36"/>
      <c r="B29" s="36">
        <f t="shared" ref="B29:D29" si="0">B27-B28</f>
        <v>0</v>
      </c>
      <c r="C29" s="36">
        <f t="shared" si="0"/>
        <v>7.3399999141693115</v>
      </c>
      <c r="D29" s="36">
        <f t="shared" si="0"/>
        <v>0</v>
      </c>
    </row>
    <row r="31" spans="1:12" x14ac:dyDescent="0.25">
      <c r="C31" s="1"/>
    </row>
    <row r="36" spans="3:3" x14ac:dyDescent="0.25">
      <c r="C3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Inda Vaht</cp:lastModifiedBy>
  <dcterms:created xsi:type="dcterms:W3CDTF">2022-02-14T16:37:54Z</dcterms:created>
  <dcterms:modified xsi:type="dcterms:W3CDTF">2024-06-21T07:38:47Z</dcterms:modified>
</cp:coreProperties>
</file>