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ikak4\Desktop\"/>
    </mc:Choice>
  </mc:AlternateContent>
  <xr:revisionPtr revIDLastSave="0" documentId="13_ncr:1_{EAF4470D-DBD2-447D-AC27-469CAC57256E}" xr6:coauthVersionLast="47" xr6:coauthVersionMax="47" xr10:uidLastSave="{00000000-0000-0000-0000-000000000000}"/>
  <bookViews>
    <workbookView xWindow="-120" yWindow="-120" windowWidth="29040" windowHeight="15990" xr2:uid="{4D1749CD-7348-40E3-9063-2FA36ECE44CB}"/>
  </bookViews>
  <sheets>
    <sheet name="aruanne" sheetId="1" r:id="rId1"/>
    <sheet name="vordlus" sheetId="2" r:id="rId2"/>
    <sheet name="lisa1" sheetId="4" r:id="rId3"/>
  </sheets>
  <definedNames>
    <definedName name="_xlnm._FilterDatabase" localSheetId="1" hidden="1">vordlus!$A$4:$J$15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2" l="1"/>
  <c r="C10" i="2" l="1"/>
  <c r="E11" i="1"/>
  <c r="D14" i="2" l="1"/>
  <c r="E14" i="1"/>
  <c r="E8" i="1"/>
  <c r="D15" i="1"/>
  <c r="D14" i="1"/>
  <c r="D11" i="1"/>
  <c r="D13" i="1"/>
  <c r="D12" i="1"/>
  <c r="C3" i="2" l="1"/>
  <c r="F17" i="1" l="1"/>
  <c r="F11" i="1"/>
  <c r="F8" i="1"/>
  <c r="G10" i="2" l="1"/>
  <c r="D7" i="2" l="1"/>
  <c r="C7" i="4" l="1"/>
  <c r="G13" i="1"/>
  <c r="D9" i="1"/>
  <c r="D8" i="1"/>
  <c r="D7" i="1"/>
  <c r="D6" i="1"/>
  <c r="D10" i="1"/>
  <c r="D12" i="2"/>
  <c r="D10" i="2" s="1"/>
  <c r="H14" i="2"/>
  <c r="I14" i="2" s="1"/>
  <c r="H12" i="2"/>
  <c r="I12" i="2" s="1"/>
  <c r="D9" i="2"/>
  <c r="E9" i="2" s="1"/>
  <c r="D8" i="2"/>
  <c r="E8" i="2" s="1"/>
  <c r="E7" i="2"/>
  <c r="D6" i="2"/>
  <c r="E6" i="2" s="1"/>
  <c r="D5" i="2"/>
  <c r="E5" i="2" s="1"/>
  <c r="H9" i="2"/>
  <c r="I9" i="2" s="1"/>
  <c r="H8" i="2"/>
  <c r="I8" i="2" s="1"/>
  <c r="I7" i="2"/>
  <c r="H6" i="2"/>
  <c r="I6" i="2" s="1"/>
  <c r="H5" i="2"/>
  <c r="I5" i="2" s="1"/>
  <c r="E5" i="1"/>
  <c r="C5" i="1"/>
  <c r="F5" i="1"/>
  <c r="F21" i="1" l="1"/>
  <c r="G9" i="1"/>
  <c r="G6" i="1"/>
  <c r="G10" i="1"/>
  <c r="G7" i="1"/>
  <c r="G8" i="1"/>
  <c r="H10" i="2"/>
  <c r="G16" i="1"/>
  <c r="H13" i="2"/>
  <c r="I13" i="2" s="1"/>
  <c r="D5" i="1"/>
  <c r="G5" i="1" l="1"/>
  <c r="I10" i="2"/>
  <c r="B7" i="4" l="1"/>
  <c r="B35" i="4" s="1"/>
  <c r="C35" i="4" l="1"/>
  <c r="H11" i="2" l="1"/>
  <c r="I11" i="2" s="1"/>
  <c r="D11" i="2"/>
  <c r="E11" i="2" s="1"/>
  <c r="E17" i="1"/>
  <c r="E21" i="1" s="1"/>
  <c r="G12" i="1"/>
  <c r="G11" i="1"/>
  <c r="E14" i="2" l="1"/>
  <c r="D13" i="2"/>
  <c r="E13" i="2" s="1"/>
  <c r="C36" i="4"/>
  <c r="C37" i="4" s="1"/>
  <c r="G15" i="1"/>
  <c r="E12" i="2"/>
  <c r="E10" i="2"/>
  <c r="G14" i="1"/>
  <c r="B36" i="4"/>
  <c r="B37" i="4" s="1"/>
  <c r="G3" i="2" l="1"/>
  <c r="D3" i="2" l="1"/>
  <c r="H3" i="2" l="1"/>
  <c r="E3" i="2"/>
  <c r="I3" i="2" l="1"/>
</calcChain>
</file>

<file path=xl/sharedStrings.xml><?xml version="1.0" encoding="utf-8"?>
<sst xmlns="http://schemas.openxmlformats.org/spreadsheetml/2006/main" count="92" uniqueCount="74">
  <si>
    <t>eurodes</t>
  </si>
  <si>
    <t>Algne eelarve</t>
  </si>
  <si>
    <t>Lõplik eelarve</t>
  </si>
  <si>
    <t>Täitmine miinus lõplik eelarve</t>
  </si>
  <si>
    <t>Saadud toetused</t>
  </si>
  <si>
    <t>Riigilõivud</t>
  </si>
  <si>
    <t>Trahvid ja muud varalised karistused</t>
  </si>
  <si>
    <t>Muud tegevustulud</t>
  </si>
  <si>
    <t>sh piirmääraga vahendid</t>
  </si>
  <si>
    <t xml:space="preserve">TULUD </t>
  </si>
  <si>
    <t>KULUD</t>
  </si>
  <si>
    <t xml:space="preserve">INVESTEERINGUD </t>
  </si>
  <si>
    <t>KORRIGEERIMISED</t>
  </si>
  <si>
    <t>Kontroll</t>
  </si>
  <si>
    <t>saldoandmik</t>
  </si>
  <si>
    <t>Saadud riigisisesed toetused</t>
  </si>
  <si>
    <t>Intressikulu pensionieraldistelt</t>
  </si>
  <si>
    <t>Avaliku sektori eripensionid ja pensionisuurendused</t>
  </si>
  <si>
    <t>Investeeringud</t>
  </si>
  <si>
    <t xml:space="preserve">Lisa </t>
  </si>
  <si>
    <t>Eelarve täitmise ja raamatupidamisaruannete võrdlus</t>
  </si>
  <si>
    <t>Kirje</t>
  </si>
  <si>
    <t>Selgitus</t>
  </si>
  <si>
    <t>Finantskulud</t>
  </si>
  <si>
    <t>Riigikohus</t>
  </si>
  <si>
    <t>Lõpliku eelarve kujunemine</t>
  </si>
  <si>
    <t>Tulud</t>
  </si>
  <si>
    <t>Esialgne eelarve</t>
  </si>
  <si>
    <t>Üle toodud eelmisest aastast</t>
  </si>
  <si>
    <t>Sihtotstarbeliste vahendite reservist</t>
  </si>
  <si>
    <t>Eelarves kavandatud toetused</t>
  </si>
  <si>
    <t>Tegelikult saadud toetused ja avatud sildfinantseerimine</t>
  </si>
  <si>
    <t>Eelarves kavandatud saastekvootide müügist</t>
  </si>
  <si>
    <t>Tegelikult saadud saastekvootide müügist</t>
  </si>
  <si>
    <t>Saastekvootide müügist saadud eelarve ümberjaotamine</t>
  </si>
  <si>
    <t>Eelarves kavandatud majandustegevusest laekuv tulu</t>
  </si>
  <si>
    <t>Tegelikult majandustegevusest saadud tulu</t>
  </si>
  <si>
    <t>Eelarves kavandatud muud tuludest sõltuvad kulud</t>
  </si>
  <si>
    <t>Eelarves kavandatud edasiantavad maksud</t>
  </si>
  <si>
    <t>Tegelikud edasiantavad maksud</t>
  </si>
  <si>
    <t xml:space="preserve">Saadud Vabariigi Valitsuse reservfondist </t>
  </si>
  <si>
    <t>Antud Vabariigi valitsuse reservfondi</t>
  </si>
  <si>
    <t>Saadud omandireformi reservfondist</t>
  </si>
  <si>
    <t>Kokku lõplik eelarve</t>
  </si>
  <si>
    <t>Käibemaksukulu tegevuskuludelt</t>
  </si>
  <si>
    <t>Muud tulud</t>
  </si>
  <si>
    <t>Eelarves kavandatud välistoetuste kaasrahastamine</t>
  </si>
  <si>
    <t>Tegelik välistoetuste kaasrahastamine</t>
  </si>
  <si>
    <t>Täitmine 2022</t>
  </si>
  <si>
    <t>Raamatupidamisandmed 2022</t>
  </si>
  <si>
    <t>RE aruanne 2022</t>
  </si>
  <si>
    <t>Vahe 2022</t>
  </si>
  <si>
    <t>VAHENDITE LIIGENDUS</t>
  </si>
  <si>
    <t>Tulud majandustegevusest</t>
  </si>
  <si>
    <t>sh käibemaks</t>
  </si>
  <si>
    <t>Käibemaksukulu investeeringutelt</t>
  </si>
  <si>
    <t>Tegevuskulud, v.a käibemaksukulu</t>
  </si>
  <si>
    <t xml:space="preserve">RIIGIKOHUS </t>
  </si>
  <si>
    <t>Kulud, investeeringud</t>
  </si>
  <si>
    <t>Täitmine 2023</t>
  </si>
  <si>
    <t>Muudatused riigieelarve seaduse muutmise seaduse alusel alates 01.07.2023</t>
  </si>
  <si>
    <t>Muudatused riigieelarve seaduse muutmise seaduse alusel detsembris 2023</t>
  </si>
  <si>
    <t>Muudatused Vabariigi Valitsuse korralduste alusel</t>
  </si>
  <si>
    <t>Ümber jaotatatud tulust sõltuvate vahendite jäägid alates 01.07.2023</t>
  </si>
  <si>
    <t>Tegelikud muud tuludest sõltuvad kulud</t>
  </si>
  <si>
    <t>Taastuvenergia statistiliste ühikute eelarve ümberjaotamine</t>
  </si>
  <si>
    <t>Omandireformi reservfondi vahendite ümberjaotamine</t>
  </si>
  <si>
    <t>Sihtotstarbeliste vahendite reservi ümberjaotamine</t>
  </si>
  <si>
    <t xml:space="preserve">Vabariigi Valitsuse reservfondi vahendite ümberjaotamine </t>
  </si>
  <si>
    <t>Ümber jaotatatud 2022. aastast üle toodud piirmääraga vahendite jäägid alates 01.07.2023 (v.a reservid)</t>
  </si>
  <si>
    <t>Riigikohtu 2023. aasta riigieelarve täitmise arunne</t>
  </si>
  <si>
    <t>Raamatupidamisandmed 2023</t>
  </si>
  <si>
    <t>RE aruanne 2023</t>
  </si>
  <si>
    <t>Vahe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</si>
</sst>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€_-;\-* #,##0.00\ _€_-;_-* &quot;-&quot;??\ _€_-;_-@_-"/>
  </numFmts>
  <fonts count="14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2"/>
      <name val="Times New Roman"/>
      <family val="1"/>
      <charset val="186"/>
    </font>
    <font>
      <sz val="10"/>
      <name val="Arial"/>
      <family val="2"/>
      <charset val="186"/>
    </font>
    <font>
      <sz val="12"/>
      <color theme="5" tint="-0.499984740745262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sz val="9"/>
      <color rgb="FF333333"/>
      <name val="Arial"/>
      <family val="2"/>
      <charset val="186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</borders>
  <cellStyleXfs count="8">
    <xf numFmtId="0" fontId="0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7">
    <xf numFmtId="0" fontId="0" fillId="0" borderId="0" xfId="0"/>
    <xf numFmtId="3" fontId="0" fillId="0" borderId="0" xfId="0" applyNumberFormat="1"/>
    <xf numFmtId="3" fontId="3" fillId="0" borderId="1" xfId="0" applyNumberFormat="1" applyFont="1" applyBorder="1" applyAlignment="1">
      <alignment horizontal="center" wrapText="1"/>
    </xf>
    <xf numFmtId="3" fontId="5" fillId="0" borderId="1" xfId="0" applyNumberFormat="1" applyFont="1" applyBorder="1" applyAlignment="1">
      <alignment horizontal="right"/>
    </xf>
    <xf numFmtId="3" fontId="8" fillId="0" borderId="1" xfId="2" applyNumberFormat="1" applyFont="1" applyBorder="1" applyAlignment="1" applyProtection="1">
      <alignment horizontal="right"/>
      <protection locked="0"/>
    </xf>
    <xf numFmtId="3" fontId="8" fillId="0" borderId="1" xfId="1" applyNumberFormat="1" applyFont="1" applyBorder="1" applyAlignment="1" applyProtection="1">
      <alignment horizontal="right"/>
      <protection locked="0"/>
    </xf>
    <xf numFmtId="3" fontId="8" fillId="3" borderId="1" xfId="0" applyNumberFormat="1" applyFont="1" applyFill="1" applyBorder="1" applyAlignment="1">
      <alignment horizontal="right"/>
    </xf>
    <xf numFmtId="3" fontId="10" fillId="3" borderId="1" xfId="0" applyNumberFormat="1" applyFont="1" applyFill="1" applyBorder="1" applyAlignment="1">
      <alignment horizontal="right"/>
    </xf>
    <xf numFmtId="3" fontId="5" fillId="3" borderId="1" xfId="2" applyNumberFormat="1" applyFont="1" applyFill="1" applyBorder="1" applyAlignment="1" applyProtection="1">
      <alignment horizontal="right"/>
      <protection locked="0"/>
    </xf>
    <xf numFmtId="3" fontId="5" fillId="3" borderId="1" xfId="0" applyNumberFormat="1" applyFont="1" applyFill="1" applyBorder="1" applyAlignment="1">
      <alignment horizontal="right"/>
    </xf>
    <xf numFmtId="3" fontId="8" fillId="0" borderId="1" xfId="0" applyNumberFormat="1" applyFont="1" applyBorder="1" applyAlignment="1">
      <alignment horizontal="right"/>
    </xf>
    <xf numFmtId="3" fontId="10" fillId="0" borderId="1" xfId="0" applyNumberFormat="1" applyFont="1" applyBorder="1" applyAlignment="1">
      <alignment horizontal="right"/>
    </xf>
    <xf numFmtId="0" fontId="11" fillId="0" borderId="0" xfId="0" applyFont="1"/>
    <xf numFmtId="3" fontId="9" fillId="0" borderId="0" xfId="0" applyNumberFormat="1" applyFont="1"/>
    <xf numFmtId="4" fontId="9" fillId="0" borderId="0" xfId="0" applyNumberFormat="1" applyFont="1"/>
    <xf numFmtId="4" fontId="9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2" fillId="0" borderId="0" xfId="0" applyNumberFormat="1" applyFont="1" applyAlignment="1">
      <alignment wrapText="1"/>
    </xf>
    <xf numFmtId="4" fontId="0" fillId="0" borderId="0" xfId="0" applyNumberFormat="1"/>
    <xf numFmtId="0" fontId="11" fillId="3" borderId="1" xfId="0" applyFont="1" applyFill="1" applyBorder="1" applyAlignment="1">
      <alignment vertical="top"/>
    </xf>
    <xf numFmtId="4" fontId="11" fillId="3" borderId="1" xfId="0" applyNumberFormat="1" applyFont="1" applyFill="1" applyBorder="1" applyAlignment="1">
      <alignment vertical="top" wrapText="1"/>
    </xf>
    <xf numFmtId="3" fontId="12" fillId="4" borderId="1" xfId="0" applyNumberFormat="1" applyFont="1" applyFill="1" applyBorder="1" applyAlignment="1">
      <alignment horizontal="center" vertical="top" wrapText="1"/>
    </xf>
    <xf numFmtId="3" fontId="12" fillId="0" borderId="1" xfId="0" applyNumberFormat="1" applyFont="1" applyBorder="1" applyAlignment="1">
      <alignment vertical="top"/>
    </xf>
    <xf numFmtId="4" fontId="9" fillId="0" borderId="0" xfId="0" quotePrefix="1" applyNumberFormat="1" applyFont="1"/>
    <xf numFmtId="3" fontId="11" fillId="0" borderId="1" xfId="0" applyNumberFormat="1" applyFont="1" applyBorder="1" applyAlignment="1">
      <alignment vertical="top"/>
    </xf>
    <xf numFmtId="3" fontId="12" fillId="0" borderId="0" xfId="0" applyNumberFormat="1" applyFont="1"/>
    <xf numFmtId="4" fontId="0" fillId="0" borderId="0" xfId="0" applyNumberFormat="1" applyAlignment="1">
      <alignment horizontal="right"/>
    </xf>
    <xf numFmtId="3" fontId="6" fillId="0" borderId="1" xfId="2" applyNumberFormat="1" applyFont="1" applyBorder="1" applyAlignment="1" applyProtection="1">
      <alignment horizontal="right"/>
      <protection locked="0"/>
    </xf>
    <xf numFmtId="3" fontId="5" fillId="0" borderId="1" xfId="2" applyNumberFormat="1" applyFont="1" applyBorder="1" applyAlignment="1" applyProtection="1">
      <alignment horizontal="right"/>
      <protection locked="0"/>
    </xf>
    <xf numFmtId="43" fontId="0" fillId="0" borderId="0" xfId="6" applyFont="1"/>
    <xf numFmtId="4" fontId="9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 wrapText="1"/>
    </xf>
    <xf numFmtId="4" fontId="11" fillId="3" borderId="1" xfId="0" applyNumberFormat="1" applyFont="1" applyFill="1" applyBorder="1" applyAlignment="1">
      <alignment horizontal="right" vertical="top" wrapText="1"/>
    </xf>
    <xf numFmtId="43" fontId="1" fillId="0" borderId="0" xfId="6" applyFont="1"/>
    <xf numFmtId="164" fontId="0" fillId="0" borderId="0" xfId="0" applyNumberFormat="1"/>
    <xf numFmtId="4" fontId="11" fillId="3" borderId="1" xfId="0" applyNumberFormat="1" applyFont="1" applyFill="1" applyBorder="1" applyAlignment="1">
      <alignment vertical="top"/>
    </xf>
    <xf numFmtId="0" fontId="3" fillId="0" borderId="0" xfId="0" applyFont="1"/>
    <xf numFmtId="3" fontId="4" fillId="0" borderId="0" xfId="0" applyNumberFormat="1" applyFont="1"/>
    <xf numFmtId="3" fontId="5" fillId="0" borderId="0" xfId="0" applyNumberFormat="1" applyFont="1"/>
    <xf numFmtId="0" fontId="7" fillId="0" borderId="1" xfId="0" applyFont="1" applyBorder="1" applyAlignment="1">
      <alignment horizontal="left"/>
    </xf>
    <xf numFmtId="3" fontId="6" fillId="0" borderId="1" xfId="2" applyNumberFormat="1" applyFont="1" applyBorder="1" applyAlignment="1" applyProtection="1">
      <alignment horizontal="left"/>
      <protection locked="0"/>
    </xf>
    <xf numFmtId="3" fontId="8" fillId="0" borderId="1" xfId="2" applyNumberFormat="1" applyFont="1" applyBorder="1" applyAlignment="1" applyProtection="1">
      <alignment horizontal="center"/>
      <protection locked="0"/>
    </xf>
    <xf numFmtId="0" fontId="3" fillId="0" borderId="1" xfId="2" applyFont="1" applyBorder="1" applyAlignment="1" applyProtection="1">
      <alignment horizontal="left"/>
      <protection locked="0"/>
    </xf>
    <xf numFmtId="0" fontId="5" fillId="0" borderId="1" xfId="2" applyFont="1" applyBorder="1" applyAlignment="1" applyProtection="1">
      <alignment horizontal="left"/>
      <protection locked="0"/>
    </xf>
    <xf numFmtId="0" fontId="8" fillId="0" borderId="1" xfId="2" applyFont="1" applyBorder="1" applyAlignment="1" applyProtection="1">
      <alignment horizontal="center"/>
      <protection locked="0"/>
    </xf>
    <xf numFmtId="0" fontId="3" fillId="0" borderId="1" xfId="1" applyFont="1" applyBorder="1" applyAlignment="1" applyProtection="1">
      <alignment horizontal="left"/>
      <protection locked="0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/>
    <xf numFmtId="0" fontId="5" fillId="0" borderId="1" xfId="1" applyFont="1" applyBorder="1" applyAlignment="1" applyProtection="1">
      <alignment horizontal="left"/>
      <protection locked="0"/>
    </xf>
    <xf numFmtId="0" fontId="3" fillId="6" borderId="1" xfId="0" applyFont="1" applyFill="1" applyBorder="1" applyAlignment="1">
      <alignment horizontal="left"/>
    </xf>
    <xf numFmtId="0" fontId="5" fillId="6" borderId="1" xfId="0" applyFont="1" applyFill="1" applyBorder="1" applyAlignment="1">
      <alignment horizontal="left"/>
    </xf>
    <xf numFmtId="49" fontId="13" fillId="5" borderId="2" xfId="0" applyNumberFormat="1" applyFont="1" applyFill="1" applyBorder="1" applyAlignment="1">
      <alignment horizontal="left"/>
    </xf>
    <xf numFmtId="3" fontId="6" fillId="2" borderId="1" xfId="2" applyNumberFormat="1" applyFont="1" applyFill="1" applyBorder="1" applyAlignment="1" applyProtection="1">
      <alignment horizontal="right"/>
      <protection locked="0"/>
    </xf>
    <xf numFmtId="3" fontId="8" fillId="2" borderId="1" xfId="2" applyNumberFormat="1" applyFont="1" applyFill="1" applyBorder="1" applyAlignment="1" applyProtection="1">
      <alignment horizontal="right"/>
      <protection locked="0"/>
    </xf>
    <xf numFmtId="3" fontId="5" fillId="2" borderId="1" xfId="2" applyNumberFormat="1" applyFont="1" applyFill="1" applyBorder="1" applyAlignment="1" applyProtection="1">
      <alignment horizontal="right"/>
      <protection locked="0"/>
    </xf>
    <xf numFmtId="3" fontId="3" fillId="2" borderId="1" xfId="2" applyNumberFormat="1" applyFont="1" applyFill="1" applyBorder="1" applyAlignment="1" applyProtection="1">
      <alignment horizontal="right"/>
      <protection locked="0"/>
    </xf>
    <xf numFmtId="3" fontId="8" fillId="2" borderId="1" xfId="1" applyNumberFormat="1" applyFont="1" applyFill="1" applyBorder="1" applyAlignment="1" applyProtection="1">
      <alignment horizontal="right"/>
      <protection locked="0"/>
    </xf>
    <xf numFmtId="3" fontId="9" fillId="0" borderId="0" xfId="0" applyNumberFormat="1" applyFont="1" applyAlignment="1">
      <alignment wrapText="1"/>
    </xf>
    <xf numFmtId="0" fontId="11" fillId="3" borderId="1" xfId="0" applyFont="1" applyFill="1" applyBorder="1" applyAlignment="1">
      <alignment vertical="top" wrapText="1"/>
    </xf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11" fillId="4" borderId="1" xfId="0" applyFont="1" applyFill="1" applyBorder="1" applyAlignment="1">
      <alignment vertical="top" wrapText="1"/>
    </xf>
    <xf numFmtId="0" fontId="12" fillId="2" borderId="1" xfId="0" applyFont="1" applyFill="1" applyBorder="1" applyAlignment="1">
      <alignment vertical="top" wrapText="1"/>
    </xf>
    <xf numFmtId="0" fontId="12" fillId="2" borderId="1" xfId="0" applyFont="1" applyFill="1" applyBorder="1" applyAlignment="1">
      <alignment wrapText="1"/>
    </xf>
    <xf numFmtId="0" fontId="11" fillId="0" borderId="1" xfId="0" applyFont="1" applyBorder="1" applyAlignment="1">
      <alignment vertical="top" wrapText="1"/>
    </xf>
    <xf numFmtId="3" fontId="12" fillId="0" borderId="0" xfId="0" applyNumberFormat="1" applyFont="1" applyAlignment="1">
      <alignment wrapText="1"/>
    </xf>
  </cellXfs>
  <cellStyles count="8">
    <cellStyle name="Comma 2" xfId="7" xr:uid="{68AF3142-48B6-46A0-9B66-4AC016C8CCBB}"/>
    <cellStyle name="Koma" xfId="6" builtinId="3"/>
    <cellStyle name="Normaallaad" xfId="0" builtinId="0"/>
    <cellStyle name="Normaallaad 2" xfId="5" xr:uid="{625F7053-1720-45B8-BC60-DA405838C2BD}"/>
    <cellStyle name="Normal 10 2" xfId="1" xr:uid="{D70F4CDE-1FE7-448C-B78C-16802263EF7D}"/>
    <cellStyle name="Normal 25 3 6" xfId="4" xr:uid="{C2461F04-5869-445E-B9DC-9D0918BE1F25}"/>
    <cellStyle name="Normal 25 9" xfId="2" xr:uid="{8906365B-27A6-4989-AF6D-1E0C5258DC94}"/>
    <cellStyle name="Normal 25 9 2" xfId="3" xr:uid="{9FD4BB3A-C968-4E24-8E39-E7D1D70EBE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09F5C-00A4-4BD3-B743-9BFC60E719C1}">
  <dimension ref="A1:I22"/>
  <sheetViews>
    <sheetView tabSelected="1" zoomScale="90" zoomScaleNormal="90" workbookViewId="0">
      <selection activeCell="D16" sqref="D16"/>
    </sheetView>
  </sheetViews>
  <sheetFormatPr defaultRowHeight="15" x14ac:dyDescent="0.25"/>
  <cols>
    <col min="1" max="1" width="7.42578125" customWidth="1"/>
    <col min="2" max="2" width="46.85546875" customWidth="1"/>
    <col min="3" max="3" width="16" style="1" customWidth="1"/>
    <col min="4" max="4" width="16.140625" style="1" customWidth="1"/>
    <col min="5" max="6" width="17.5703125" style="1" customWidth="1"/>
    <col min="7" max="7" width="18.85546875" style="1" customWidth="1"/>
    <col min="8" max="8" width="19.7109375" style="29" customWidth="1"/>
    <col min="9" max="9" width="18.85546875" style="29" bestFit="1" customWidth="1"/>
  </cols>
  <sheetData>
    <row r="1" spans="1:9" ht="15.75" x14ac:dyDescent="0.25">
      <c r="A1" s="36" t="s">
        <v>70</v>
      </c>
      <c r="C1" s="37"/>
      <c r="G1" s="38"/>
    </row>
    <row r="2" spans="1:9" ht="15.75" x14ac:dyDescent="0.25">
      <c r="A2" t="s">
        <v>0</v>
      </c>
      <c r="C2" s="37"/>
      <c r="G2" s="38"/>
    </row>
    <row r="3" spans="1:9" ht="31.5" x14ac:dyDescent="0.25">
      <c r="A3" s="40" t="s">
        <v>52</v>
      </c>
      <c r="B3" s="41"/>
      <c r="C3" s="2" t="s">
        <v>1</v>
      </c>
      <c r="D3" s="2" t="s">
        <v>2</v>
      </c>
      <c r="E3" s="2" t="s">
        <v>59</v>
      </c>
      <c r="F3" s="2" t="s">
        <v>48</v>
      </c>
      <c r="G3" s="2" t="s">
        <v>3</v>
      </c>
    </row>
    <row r="4" spans="1:9" ht="15.75" x14ac:dyDescent="0.25">
      <c r="A4" s="49" t="s">
        <v>57</v>
      </c>
      <c r="B4" s="50"/>
      <c r="C4" s="10"/>
      <c r="D4" s="11"/>
      <c r="E4" s="28"/>
      <c r="F4" s="28"/>
      <c r="G4" s="3"/>
    </row>
    <row r="5" spans="1:9" ht="15.75" x14ac:dyDescent="0.25">
      <c r="A5" s="42" t="s">
        <v>9</v>
      </c>
      <c r="B5" s="42"/>
      <c r="C5" s="52">
        <f t="shared" ref="C5:E5" si="0">SUM(C6:C10)</f>
        <v>220000</v>
      </c>
      <c r="D5" s="52">
        <f t="shared" si="0"/>
        <v>220000</v>
      </c>
      <c r="E5" s="52">
        <f t="shared" si="0"/>
        <v>360397.42000000004</v>
      </c>
      <c r="F5" s="52">
        <f>SUM(F6:F10)</f>
        <v>428139.47000000003</v>
      </c>
      <c r="G5" s="27">
        <f>SUM(G6:G10)</f>
        <v>140397.42000000001</v>
      </c>
    </row>
    <row r="6" spans="1:9" ht="15.75" x14ac:dyDescent="0.25">
      <c r="A6" s="43" t="s">
        <v>5</v>
      </c>
      <c r="B6" s="43"/>
      <c r="C6" s="53">
        <v>220000</v>
      </c>
      <c r="D6" s="53">
        <f t="shared" ref="D6:D9" si="1">C6</f>
        <v>220000</v>
      </c>
      <c r="E6" s="53">
        <v>290130.7</v>
      </c>
      <c r="F6" s="53">
        <v>310684.13</v>
      </c>
      <c r="G6" s="4">
        <f t="shared" ref="G6:G10" si="2">E6-D6</f>
        <v>70130.700000000012</v>
      </c>
      <c r="H6" s="33"/>
      <c r="I6" s="33"/>
    </row>
    <row r="7" spans="1:9" ht="15.75" x14ac:dyDescent="0.25">
      <c r="A7" s="43" t="s">
        <v>53</v>
      </c>
      <c r="B7" s="43"/>
      <c r="C7" s="53">
        <v>0</v>
      </c>
      <c r="D7" s="53">
        <f t="shared" si="1"/>
        <v>0</v>
      </c>
      <c r="E7" s="53">
        <v>3746.09</v>
      </c>
      <c r="F7" s="53">
        <v>745.09</v>
      </c>
      <c r="G7" s="4">
        <f t="shared" si="2"/>
        <v>3746.09</v>
      </c>
      <c r="H7" s="33"/>
      <c r="I7" s="33"/>
    </row>
    <row r="8" spans="1:9" ht="15.75" x14ac:dyDescent="0.25">
      <c r="A8" s="43" t="s">
        <v>4</v>
      </c>
      <c r="B8" s="43"/>
      <c r="C8" s="53">
        <v>0</v>
      </c>
      <c r="D8" s="53">
        <f t="shared" si="1"/>
        <v>0</v>
      </c>
      <c r="E8" s="53">
        <f>50484.39-6457.2</f>
        <v>44027.19</v>
      </c>
      <c r="F8" s="53">
        <f>10490.33-128.25</f>
        <v>10362.08</v>
      </c>
      <c r="G8" s="4">
        <f t="shared" si="2"/>
        <v>44027.19</v>
      </c>
      <c r="H8" s="33"/>
      <c r="I8" s="33"/>
    </row>
    <row r="9" spans="1:9" ht="15.75" x14ac:dyDescent="0.25">
      <c r="A9" s="39" t="s">
        <v>6</v>
      </c>
      <c r="B9" s="39"/>
      <c r="C9" s="53">
        <v>0</v>
      </c>
      <c r="D9" s="53">
        <f t="shared" si="1"/>
        <v>0</v>
      </c>
      <c r="E9" s="53">
        <v>0</v>
      </c>
      <c r="F9" s="53">
        <v>5000</v>
      </c>
      <c r="G9" s="4">
        <f t="shared" si="2"/>
        <v>0</v>
      </c>
      <c r="H9" s="33"/>
      <c r="I9" s="33"/>
    </row>
    <row r="10" spans="1:9" ht="15.75" x14ac:dyDescent="0.25">
      <c r="A10" s="39" t="s">
        <v>45</v>
      </c>
      <c r="B10" s="39"/>
      <c r="C10" s="53">
        <v>0</v>
      </c>
      <c r="D10" s="53">
        <f>C10</f>
        <v>0</v>
      </c>
      <c r="E10" s="53">
        <v>22493.439999999999</v>
      </c>
      <c r="F10" s="53">
        <v>101348.17</v>
      </c>
      <c r="G10" s="4">
        <f t="shared" si="2"/>
        <v>22493.439999999999</v>
      </c>
      <c r="H10" s="33"/>
      <c r="I10" s="33"/>
    </row>
    <row r="11" spans="1:9" ht="15.75" x14ac:dyDescent="0.25">
      <c r="A11" s="42" t="s">
        <v>10</v>
      </c>
      <c r="B11" s="42"/>
      <c r="C11" s="52">
        <v>-6461261</v>
      </c>
      <c r="D11" s="52">
        <f>C11-649061.55+20000+6239-99984.23</f>
        <v>-7184067.7800000003</v>
      </c>
      <c r="E11" s="52">
        <f>-6666656.31-225660.89-145006.09+66766</f>
        <v>-6970557.2899999991</v>
      </c>
      <c r="F11" s="52">
        <f>-5685617.21-218302.1-105213.84+50485</f>
        <v>-5958648.1499999994</v>
      </c>
      <c r="G11" s="27">
        <f t="shared" ref="G11:G16" si="3">E11-D11</f>
        <v>213510.49000000115</v>
      </c>
    </row>
    <row r="12" spans="1:9" ht="15.75" x14ac:dyDescent="0.25">
      <c r="A12" s="44"/>
      <c r="B12" s="43" t="s">
        <v>8</v>
      </c>
      <c r="C12" s="53">
        <v>-3960970</v>
      </c>
      <c r="D12" s="53">
        <f>C12-629248+20000+6239-18599.14</f>
        <v>-4582578.1399999997</v>
      </c>
      <c r="E12" s="54">
        <v>-4394005.9400000004</v>
      </c>
      <c r="F12" s="54">
        <v>-3712934.47</v>
      </c>
      <c r="G12" s="4">
        <f t="shared" si="3"/>
        <v>188572.19999999925</v>
      </c>
    </row>
    <row r="13" spans="1:9" ht="15.75" x14ac:dyDescent="0.25">
      <c r="A13" s="44"/>
      <c r="B13" s="43" t="s">
        <v>54</v>
      </c>
      <c r="C13" s="53">
        <v>-107939</v>
      </c>
      <c r="D13" s="53">
        <f>C13-1139.01</f>
        <v>-109078.01</v>
      </c>
      <c r="E13" s="54">
        <v>-145006.09</v>
      </c>
      <c r="F13" s="54">
        <v>-105213.84</v>
      </c>
      <c r="G13" s="4">
        <f t="shared" si="3"/>
        <v>-35928.080000000002</v>
      </c>
    </row>
    <row r="14" spans="1:9" ht="15.75" x14ac:dyDescent="0.25">
      <c r="A14" s="42" t="s">
        <v>11</v>
      </c>
      <c r="B14" s="42"/>
      <c r="C14" s="52">
        <v>0</v>
      </c>
      <c r="D14" s="52">
        <f>-18000-20000-264</f>
        <v>-38264</v>
      </c>
      <c r="E14" s="55">
        <f>-38220-7644</f>
        <v>-45864</v>
      </c>
      <c r="F14" s="55">
        <v>0</v>
      </c>
      <c r="G14" s="27">
        <f t="shared" si="3"/>
        <v>-7600</v>
      </c>
    </row>
    <row r="15" spans="1:9" ht="15.75" x14ac:dyDescent="0.25">
      <c r="A15" s="44"/>
      <c r="B15" s="43" t="s">
        <v>8</v>
      </c>
      <c r="C15" s="53">
        <v>0</v>
      </c>
      <c r="D15" s="53">
        <f>-18000-20000</f>
        <v>-38000</v>
      </c>
      <c r="E15" s="54">
        <v>-38000</v>
      </c>
      <c r="F15" s="54">
        <v>0</v>
      </c>
      <c r="G15" s="4">
        <f t="shared" si="3"/>
        <v>0</v>
      </c>
    </row>
    <row r="16" spans="1:9" ht="15.75" x14ac:dyDescent="0.25">
      <c r="A16" s="44"/>
      <c r="B16" s="43" t="s">
        <v>54</v>
      </c>
      <c r="C16" s="53">
        <v>0</v>
      </c>
      <c r="D16" s="53">
        <v>-44</v>
      </c>
      <c r="E16" s="54">
        <v>-7644</v>
      </c>
      <c r="F16" s="54">
        <v>0</v>
      </c>
      <c r="G16" s="4">
        <f t="shared" si="3"/>
        <v>-7600</v>
      </c>
    </row>
    <row r="17" spans="1:7" ht="15.75" x14ac:dyDescent="0.25">
      <c r="A17" s="45" t="s">
        <v>12</v>
      </c>
      <c r="B17" s="45"/>
      <c r="C17" s="52"/>
      <c r="D17" s="52"/>
      <c r="E17" s="52">
        <f>SUM(E18:E20)</f>
        <v>-610681.80000000005</v>
      </c>
      <c r="F17" s="52">
        <f>SUM(F18:F20)</f>
        <v>-601896.15</v>
      </c>
      <c r="G17" s="27"/>
    </row>
    <row r="18" spans="1:7" ht="15.75" x14ac:dyDescent="0.25">
      <c r="A18" s="48"/>
      <c r="B18" s="48" t="s">
        <v>15</v>
      </c>
      <c r="C18" s="53"/>
      <c r="D18" s="53"/>
      <c r="E18" s="53">
        <v>6457.2</v>
      </c>
      <c r="F18" s="53">
        <v>128.25</v>
      </c>
      <c r="G18" s="4"/>
    </row>
    <row r="19" spans="1:7" ht="15.75" x14ac:dyDescent="0.25">
      <c r="A19" s="48"/>
      <c r="B19" s="48" t="s">
        <v>16</v>
      </c>
      <c r="C19" s="56"/>
      <c r="D19" s="56"/>
      <c r="E19" s="56">
        <v>-550373</v>
      </c>
      <c r="F19" s="56">
        <v>-551539.4</v>
      </c>
      <c r="G19" s="4"/>
    </row>
    <row r="20" spans="1:7" ht="15.75" x14ac:dyDescent="0.25">
      <c r="A20" s="43"/>
      <c r="B20" s="43" t="s">
        <v>17</v>
      </c>
      <c r="C20" s="5"/>
      <c r="D20" s="5"/>
      <c r="E20" s="5">
        <v>-66766</v>
      </c>
      <c r="F20" s="5">
        <v>-50485</v>
      </c>
      <c r="G20" s="4"/>
    </row>
    <row r="21" spans="1:7" ht="15.75" x14ac:dyDescent="0.25">
      <c r="A21" s="46"/>
      <c r="B21" s="47" t="s">
        <v>13</v>
      </c>
      <c r="C21" s="6"/>
      <c r="D21" s="7"/>
      <c r="E21" s="8">
        <f>E5+E11+E17+E16</f>
        <v>-7228485.669999999</v>
      </c>
      <c r="F21" s="8">
        <f>F5+F11+F17+F16</f>
        <v>-6132404.8300000001</v>
      </c>
      <c r="G21" s="9"/>
    </row>
    <row r="22" spans="1:7" ht="15.75" x14ac:dyDescent="0.25">
      <c r="A22" s="46"/>
      <c r="B22" s="47" t="s">
        <v>14</v>
      </c>
      <c r="C22" s="6"/>
      <c r="D22" s="7"/>
      <c r="E22" s="8">
        <v>-7228485.6699999999</v>
      </c>
      <c r="F22" s="8">
        <v>-6132404.8300000001</v>
      </c>
      <c r="G22" s="9"/>
    </row>
  </sheetData>
  <pageMargins left="0" right="0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F9403-50E9-43C6-AF9D-B37F0A9328D9}">
  <dimension ref="A1:O14"/>
  <sheetViews>
    <sheetView workbookViewId="0">
      <selection activeCell="D21" sqref="D21"/>
    </sheetView>
  </sheetViews>
  <sheetFormatPr defaultRowHeight="15" x14ac:dyDescent="0.25"/>
  <cols>
    <col min="1" max="1" width="11.28515625" customWidth="1"/>
    <col min="2" max="2" width="25.140625" style="59" customWidth="1"/>
    <col min="3" max="3" width="14" style="26" customWidth="1"/>
    <col min="4" max="4" width="14.42578125" style="26" customWidth="1"/>
    <col min="5" max="5" width="9.85546875" style="26" customWidth="1"/>
    <col min="6" max="6" width="9.140625" style="18"/>
    <col min="7" max="7" width="13.85546875" style="18" customWidth="1"/>
    <col min="8" max="8" width="13.42578125" style="18" customWidth="1"/>
    <col min="9" max="9" width="9.85546875" style="18" customWidth="1"/>
    <col min="10" max="10" width="22.5703125" customWidth="1"/>
    <col min="11" max="11" width="13.28515625" bestFit="1" customWidth="1"/>
    <col min="13" max="13" width="14.28515625" bestFit="1" customWidth="1"/>
    <col min="14" max="14" width="10.7109375" bestFit="1" customWidth="1"/>
    <col min="15" max="15" width="13.28515625" customWidth="1"/>
  </cols>
  <sheetData>
    <row r="1" spans="1:15" x14ac:dyDescent="0.25">
      <c r="A1" s="12" t="s">
        <v>19</v>
      </c>
      <c r="B1" s="57"/>
      <c r="C1" s="30"/>
      <c r="D1" s="30"/>
      <c r="E1" s="30"/>
      <c r="F1" s="14"/>
      <c r="G1" s="15"/>
      <c r="H1" s="16"/>
      <c r="I1" s="17"/>
      <c r="J1" s="18"/>
    </row>
    <row r="2" spans="1:15" x14ac:dyDescent="0.25">
      <c r="A2" s="12" t="s">
        <v>20</v>
      </c>
      <c r="B2" s="57"/>
      <c r="C2" s="30"/>
      <c r="D2" s="30"/>
      <c r="E2" s="30"/>
      <c r="F2" s="14"/>
      <c r="G2" s="15"/>
      <c r="H2" s="16"/>
      <c r="I2" s="16"/>
      <c r="J2" s="18"/>
    </row>
    <row r="3" spans="1:15" x14ac:dyDescent="0.25">
      <c r="A3" s="12"/>
      <c r="B3" s="57"/>
      <c r="C3" s="31">
        <f>SUBTOTAL(9,C5:C14)</f>
        <v>-7266705.6699999999</v>
      </c>
      <c r="D3" s="31">
        <f>SUBTOTAL(9,D5:D14)</f>
        <v>-7266705.669999999</v>
      </c>
      <c r="E3" s="31">
        <f>SUBTOTAL(9,E5:E14)</f>
        <v>0</v>
      </c>
      <c r="F3" s="14"/>
      <c r="G3" s="16">
        <f>SUBTOTAL(9,G5:G14)</f>
        <v>-6132404.830000001</v>
      </c>
      <c r="H3" s="16">
        <f>SUBTOTAL(9,H5:H14)</f>
        <v>-6132404.8300000001</v>
      </c>
      <c r="I3" s="16">
        <f>SUBTOTAL(9,I5:I14)</f>
        <v>0</v>
      </c>
    </row>
    <row r="4" spans="1:15" ht="25.5" x14ac:dyDescent="0.25">
      <c r="A4" s="19"/>
      <c r="B4" s="58" t="s">
        <v>21</v>
      </c>
      <c r="C4" s="32" t="s">
        <v>71</v>
      </c>
      <c r="D4" s="32" t="s">
        <v>72</v>
      </c>
      <c r="E4" s="32" t="s">
        <v>73</v>
      </c>
      <c r="F4" s="35" t="s">
        <v>22</v>
      </c>
      <c r="G4" s="20" t="s">
        <v>49</v>
      </c>
      <c r="H4" s="20" t="s">
        <v>50</v>
      </c>
      <c r="I4" s="20" t="s">
        <v>51</v>
      </c>
      <c r="J4" s="19" t="s">
        <v>22</v>
      </c>
    </row>
    <row r="5" spans="1:15" x14ac:dyDescent="0.25">
      <c r="A5" t="s">
        <v>24</v>
      </c>
      <c r="B5" s="59" t="s">
        <v>5</v>
      </c>
      <c r="C5" s="18">
        <v>290130.7</v>
      </c>
      <c r="D5" s="16">
        <f>aruanne!E6</f>
        <v>290130.7</v>
      </c>
      <c r="E5" s="16">
        <f t="shared" ref="E5:E14" si="0">C5-D5</f>
        <v>0</v>
      </c>
      <c r="G5" s="18">
        <v>310684.13</v>
      </c>
      <c r="H5" s="16">
        <f>aruanne!F6</f>
        <v>310684.13</v>
      </c>
      <c r="I5" s="16">
        <f t="shared" ref="I5:I14" si="1">G5-H5</f>
        <v>0</v>
      </c>
      <c r="O5" s="18"/>
    </row>
    <row r="6" spans="1:15" x14ac:dyDescent="0.25">
      <c r="A6" t="s">
        <v>24</v>
      </c>
      <c r="B6" s="59" t="s">
        <v>53</v>
      </c>
      <c r="C6" s="18">
        <v>3746.09</v>
      </c>
      <c r="D6" s="16">
        <f>aruanne!E7</f>
        <v>3746.09</v>
      </c>
      <c r="E6" s="16">
        <f t="shared" si="0"/>
        <v>0</v>
      </c>
      <c r="G6" s="18">
        <v>745.09</v>
      </c>
      <c r="H6" s="16">
        <f>aruanne!F7</f>
        <v>745.09</v>
      </c>
      <c r="I6" s="16">
        <f t="shared" si="1"/>
        <v>0</v>
      </c>
      <c r="O6" s="18"/>
    </row>
    <row r="7" spans="1:15" x14ac:dyDescent="0.25">
      <c r="A7" t="s">
        <v>24</v>
      </c>
      <c r="B7" s="59" t="s">
        <v>4</v>
      </c>
      <c r="C7" s="18">
        <v>50484.39</v>
      </c>
      <c r="D7" s="16">
        <f>aruanne!E8+aruanne!E18</f>
        <v>50484.39</v>
      </c>
      <c r="E7" s="16">
        <f t="shared" si="0"/>
        <v>0</v>
      </c>
      <c r="G7" s="18">
        <v>10490.33</v>
      </c>
      <c r="H7" s="16">
        <f>aruanne!F8+aruanne!F18</f>
        <v>10490.33</v>
      </c>
      <c r="I7" s="16">
        <f t="shared" si="1"/>
        <v>0</v>
      </c>
      <c r="O7" s="18"/>
    </row>
    <row r="8" spans="1:15" ht="30" x14ac:dyDescent="0.25">
      <c r="A8" t="s">
        <v>24</v>
      </c>
      <c r="B8" s="59" t="s">
        <v>6</v>
      </c>
      <c r="C8" s="18">
        <v>0</v>
      </c>
      <c r="D8" s="16">
        <f>aruanne!E9</f>
        <v>0</v>
      </c>
      <c r="E8" s="16">
        <f t="shared" si="0"/>
        <v>0</v>
      </c>
      <c r="G8" s="18">
        <v>5000</v>
      </c>
      <c r="H8" s="16">
        <f>aruanne!F9</f>
        <v>5000</v>
      </c>
      <c r="I8" s="16">
        <f t="shared" si="1"/>
        <v>0</v>
      </c>
      <c r="O8" s="18"/>
    </row>
    <row r="9" spans="1:15" x14ac:dyDescent="0.25">
      <c r="A9" t="s">
        <v>24</v>
      </c>
      <c r="B9" s="59" t="s">
        <v>7</v>
      </c>
      <c r="C9" s="18">
        <v>22493.439999999999</v>
      </c>
      <c r="D9" s="16">
        <f>aruanne!E10</f>
        <v>22493.439999999999</v>
      </c>
      <c r="E9" s="16">
        <f t="shared" si="0"/>
        <v>0</v>
      </c>
      <c r="G9" s="18">
        <v>101348.17</v>
      </c>
      <c r="H9" s="16">
        <f>aruanne!F10</f>
        <v>101348.17</v>
      </c>
      <c r="I9" s="16">
        <f t="shared" si="1"/>
        <v>0</v>
      </c>
      <c r="O9" s="18"/>
    </row>
    <row r="10" spans="1:15" x14ac:dyDescent="0.25">
      <c r="A10" t="s">
        <v>24</v>
      </c>
      <c r="B10" s="59" t="s">
        <v>56</v>
      </c>
      <c r="C10" s="18">
        <f>-7044967.29-C12-C14</f>
        <v>-6892317.2000000002</v>
      </c>
      <c r="D10" s="16">
        <f>aruanne!E11-D12+aruanne!E20</f>
        <v>-6892317.1999999993</v>
      </c>
      <c r="E10" s="16">
        <f t="shared" si="0"/>
        <v>0</v>
      </c>
      <c r="G10" s="18">
        <f>-6009133.15-G12-G14</f>
        <v>-5903919.3100000005</v>
      </c>
      <c r="H10" s="16">
        <f>aruanne!F11-H12+aruanne!F20</f>
        <v>-5903919.3099999996</v>
      </c>
      <c r="I10" s="16">
        <f t="shared" si="1"/>
        <v>0</v>
      </c>
      <c r="O10" s="18"/>
    </row>
    <row r="11" spans="1:15" x14ac:dyDescent="0.25">
      <c r="A11" t="s">
        <v>24</v>
      </c>
      <c r="B11" s="59" t="s">
        <v>23</v>
      </c>
      <c r="C11" s="18">
        <v>-550373</v>
      </c>
      <c r="D11" s="16">
        <f>aruanne!E19</f>
        <v>-550373</v>
      </c>
      <c r="E11" s="16">
        <f t="shared" si="0"/>
        <v>0</v>
      </c>
      <c r="G11" s="18">
        <v>-551539.4</v>
      </c>
      <c r="H11" s="16">
        <f>aruanne!F19</f>
        <v>-551539.4</v>
      </c>
      <c r="I11" s="16">
        <f t="shared" si="1"/>
        <v>0</v>
      </c>
      <c r="O11" s="18"/>
    </row>
    <row r="12" spans="1:15" x14ac:dyDescent="0.25">
      <c r="A12" t="s">
        <v>24</v>
      </c>
      <c r="B12" s="59" t="s">
        <v>44</v>
      </c>
      <c r="C12" s="18">
        <v>-145006.09</v>
      </c>
      <c r="D12" s="16">
        <f>aruanne!E13</f>
        <v>-145006.09</v>
      </c>
      <c r="E12" s="16">
        <f t="shared" si="0"/>
        <v>0</v>
      </c>
      <c r="G12" s="18">
        <v>-105213.84</v>
      </c>
      <c r="H12" s="16">
        <f>aruanne!F13</f>
        <v>-105213.84</v>
      </c>
      <c r="I12" s="16">
        <f t="shared" si="1"/>
        <v>0</v>
      </c>
      <c r="O12" s="18"/>
    </row>
    <row r="13" spans="1:15" x14ac:dyDescent="0.25">
      <c r="A13" t="s">
        <v>24</v>
      </c>
      <c r="B13" s="59" t="s">
        <v>18</v>
      </c>
      <c r="C13" s="18">
        <v>-38220</v>
      </c>
      <c r="D13" s="16">
        <f>aruanne!E14-D14</f>
        <v>-38220</v>
      </c>
      <c r="E13" s="16">
        <f t="shared" ref="E13" si="2">C13-D13</f>
        <v>0</v>
      </c>
      <c r="H13" s="16">
        <f>aruanne!F14-H14</f>
        <v>0</v>
      </c>
      <c r="I13" s="16">
        <f t="shared" si="1"/>
        <v>0</v>
      </c>
      <c r="O13" s="18"/>
    </row>
    <row r="14" spans="1:15" x14ac:dyDescent="0.25">
      <c r="A14" t="s">
        <v>24</v>
      </c>
      <c r="B14" s="59" t="s">
        <v>55</v>
      </c>
      <c r="C14" s="18">
        <v>-7644</v>
      </c>
      <c r="D14" s="16">
        <f>aruanne!E16</f>
        <v>-7644</v>
      </c>
      <c r="E14" s="16">
        <f t="shared" si="0"/>
        <v>0</v>
      </c>
      <c r="H14" s="16">
        <f>aruanne!F16</f>
        <v>0</v>
      </c>
      <c r="I14" s="16">
        <f t="shared" si="1"/>
        <v>0</v>
      </c>
      <c r="O14" s="18"/>
    </row>
  </sheetData>
  <autoFilter ref="A4:J15" xr:uid="{EF1F9403-50E9-43C6-AF9D-B37F0A9328D9}"/>
  <pageMargins left="0" right="0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086A9-CF0E-4B82-AA53-D93B7E26FB31}">
  <dimension ref="A1:E37"/>
  <sheetViews>
    <sheetView topLeftCell="A3" workbookViewId="0">
      <pane xSplit="1" ySplit="4" topLeftCell="B7" activePane="bottomRight" state="frozen"/>
      <selection activeCell="A3" sqref="A3"/>
      <selection pane="topRight" activeCell="B3" sqref="B3"/>
      <selection pane="bottomLeft" activeCell="A7" sqref="A7"/>
      <selection pane="bottomRight" activeCell="D19" sqref="D19"/>
    </sheetView>
  </sheetViews>
  <sheetFormatPr defaultRowHeight="15" x14ac:dyDescent="0.25"/>
  <cols>
    <col min="1" max="1" width="47.140625" style="59" customWidth="1"/>
    <col min="3" max="3" width="20.7109375" customWidth="1"/>
    <col min="4" max="4" width="28.5703125" customWidth="1"/>
    <col min="5" max="5" width="16.85546875" customWidth="1"/>
  </cols>
  <sheetData>
    <row r="1" spans="1:5" x14ac:dyDescent="0.25">
      <c r="A1" s="60" t="s">
        <v>19</v>
      </c>
      <c r="D1" s="18"/>
    </row>
    <row r="2" spans="1:5" x14ac:dyDescent="0.25">
      <c r="A2" s="60" t="s">
        <v>25</v>
      </c>
      <c r="D2" s="18"/>
    </row>
    <row r="3" spans="1:5" x14ac:dyDescent="0.25">
      <c r="A3" s="61" t="s">
        <v>0</v>
      </c>
      <c r="D3" s="18"/>
    </row>
    <row r="4" spans="1:5" x14ac:dyDescent="0.25">
      <c r="A4" s="60"/>
      <c r="B4" s="13"/>
      <c r="C4" s="13"/>
      <c r="D4" s="18"/>
    </row>
    <row r="5" spans="1:5" x14ac:dyDescent="0.25">
      <c r="A5" s="60"/>
      <c r="B5" s="13"/>
      <c r="C5" s="13"/>
      <c r="D5" s="18"/>
    </row>
    <row r="6" spans="1:5" x14ac:dyDescent="0.25">
      <c r="A6" s="62"/>
      <c r="B6" s="21" t="s">
        <v>26</v>
      </c>
      <c r="C6" s="21" t="s">
        <v>58</v>
      </c>
      <c r="D6" s="18"/>
    </row>
    <row r="7" spans="1:5" x14ac:dyDescent="0.25">
      <c r="A7" s="63" t="s">
        <v>27</v>
      </c>
      <c r="B7" s="22">
        <f>aruanne!C5</f>
        <v>220000</v>
      </c>
      <c r="C7" s="22">
        <f>aruanne!C11+aruanne!C14</f>
        <v>-6461261</v>
      </c>
      <c r="D7" s="14"/>
      <c r="E7" s="1"/>
    </row>
    <row r="8" spans="1:5" x14ac:dyDescent="0.25">
      <c r="A8" s="63" t="s">
        <v>28</v>
      </c>
      <c r="B8" s="22"/>
      <c r="C8" s="22">
        <v>-667062</v>
      </c>
      <c r="D8" s="14"/>
    </row>
    <row r="9" spans="1:5" ht="25.5" x14ac:dyDescent="0.25">
      <c r="A9" s="63" t="s">
        <v>60</v>
      </c>
      <c r="B9" s="22"/>
      <c r="C9" s="22"/>
      <c r="D9" s="14"/>
    </row>
    <row r="10" spans="1:5" ht="25.5" x14ac:dyDescent="0.25">
      <c r="A10" s="63" t="s">
        <v>69</v>
      </c>
      <c r="B10" s="22"/>
      <c r="C10" s="22"/>
      <c r="D10" s="14"/>
    </row>
    <row r="11" spans="1:5" x14ac:dyDescent="0.25">
      <c r="A11" s="63" t="s">
        <v>63</v>
      </c>
      <c r="B11" s="22"/>
      <c r="C11" s="22"/>
      <c r="D11" s="14"/>
    </row>
    <row r="12" spans="1:5" ht="25.5" x14ac:dyDescent="0.25">
      <c r="A12" s="63" t="s">
        <v>61</v>
      </c>
      <c r="B12" s="22"/>
      <c r="C12" s="22">
        <v>6239</v>
      </c>
      <c r="D12" s="51"/>
    </row>
    <row r="13" spans="1:5" x14ac:dyDescent="0.25">
      <c r="A13" s="64" t="s">
        <v>62</v>
      </c>
      <c r="B13" s="22"/>
      <c r="C13" s="22"/>
      <c r="D13" s="14"/>
      <c r="E13" s="29"/>
    </row>
    <row r="14" spans="1:5" x14ac:dyDescent="0.25">
      <c r="A14" s="64" t="s">
        <v>29</v>
      </c>
      <c r="B14" s="22"/>
      <c r="C14" s="22"/>
      <c r="D14" s="14"/>
      <c r="E14" s="34"/>
    </row>
    <row r="15" spans="1:5" x14ac:dyDescent="0.25">
      <c r="A15" s="64" t="s">
        <v>67</v>
      </c>
      <c r="B15" s="22"/>
      <c r="C15" s="22"/>
      <c r="D15" s="14"/>
      <c r="E15" s="34"/>
    </row>
    <row r="16" spans="1:5" x14ac:dyDescent="0.25">
      <c r="A16" s="63" t="s">
        <v>30</v>
      </c>
      <c r="B16" s="22"/>
      <c r="C16" s="22"/>
      <c r="D16" s="14"/>
      <c r="E16" s="1"/>
    </row>
    <row r="17" spans="1:4" x14ac:dyDescent="0.25">
      <c r="A17" s="63" t="s">
        <v>31</v>
      </c>
      <c r="B17" s="22"/>
      <c r="C17" s="22">
        <v>-96502.14</v>
      </c>
      <c r="D17" s="23"/>
    </row>
    <row r="18" spans="1:4" x14ac:dyDescent="0.25">
      <c r="A18" s="63" t="s">
        <v>46</v>
      </c>
      <c r="B18" s="22"/>
      <c r="C18" s="22"/>
      <c r="D18" s="23"/>
    </row>
    <row r="19" spans="1:4" x14ac:dyDescent="0.25">
      <c r="A19" s="63" t="s">
        <v>47</v>
      </c>
      <c r="B19" s="22"/>
      <c r="C19" s="22"/>
      <c r="D19" s="14"/>
    </row>
    <row r="20" spans="1:4" x14ac:dyDescent="0.25">
      <c r="A20" s="63" t="s">
        <v>32</v>
      </c>
      <c r="B20" s="22"/>
      <c r="C20" s="22"/>
      <c r="D20" s="14"/>
    </row>
    <row r="21" spans="1:4" x14ac:dyDescent="0.25">
      <c r="A21" s="63" t="s">
        <v>33</v>
      </c>
      <c r="B21" s="22"/>
      <c r="C21" s="22"/>
      <c r="D21" s="14"/>
    </row>
    <row r="22" spans="1:4" x14ac:dyDescent="0.25">
      <c r="A22" s="63" t="s">
        <v>34</v>
      </c>
      <c r="B22" s="22"/>
      <c r="C22" s="22"/>
      <c r="D22" s="14"/>
    </row>
    <row r="23" spans="1:4" x14ac:dyDescent="0.25">
      <c r="A23" s="63" t="s">
        <v>35</v>
      </c>
      <c r="B23" s="22"/>
      <c r="C23" s="22"/>
      <c r="D23" s="14"/>
    </row>
    <row r="24" spans="1:4" x14ac:dyDescent="0.25">
      <c r="A24" s="63" t="s">
        <v>36</v>
      </c>
      <c r="B24" s="22"/>
      <c r="C24" s="22">
        <v>-3746.09</v>
      </c>
      <c r="D24" s="14"/>
    </row>
    <row r="25" spans="1:4" x14ac:dyDescent="0.25">
      <c r="A25" s="63" t="s">
        <v>37</v>
      </c>
      <c r="B25" s="22"/>
      <c r="C25" s="22"/>
      <c r="D25" s="14"/>
    </row>
    <row r="26" spans="1:4" x14ac:dyDescent="0.25">
      <c r="A26" s="63" t="s">
        <v>64</v>
      </c>
      <c r="B26" s="22"/>
      <c r="C26" s="22"/>
      <c r="D26" s="14"/>
    </row>
    <row r="27" spans="1:4" x14ac:dyDescent="0.25">
      <c r="A27" s="63" t="s">
        <v>65</v>
      </c>
      <c r="B27" s="22"/>
      <c r="C27" s="22"/>
      <c r="D27" s="14"/>
    </row>
    <row r="28" spans="1:4" x14ac:dyDescent="0.25">
      <c r="A28" s="63" t="s">
        <v>38</v>
      </c>
      <c r="B28" s="22"/>
      <c r="C28" s="22"/>
      <c r="D28" s="14"/>
    </row>
    <row r="29" spans="1:4" x14ac:dyDescent="0.25">
      <c r="A29" s="63" t="s">
        <v>39</v>
      </c>
      <c r="B29" s="22"/>
      <c r="C29" s="22"/>
      <c r="D29" s="14"/>
    </row>
    <row r="30" spans="1:4" x14ac:dyDescent="0.25">
      <c r="A30" s="63" t="s">
        <v>40</v>
      </c>
      <c r="B30" s="22"/>
      <c r="C30" s="22"/>
      <c r="D30" s="14"/>
    </row>
    <row r="31" spans="1:4" x14ac:dyDescent="0.25">
      <c r="A31" s="63" t="s">
        <v>68</v>
      </c>
      <c r="B31" s="22"/>
      <c r="C31" s="22"/>
      <c r="D31" s="14"/>
    </row>
    <row r="32" spans="1:4" x14ac:dyDescent="0.25">
      <c r="A32" s="63" t="s">
        <v>41</v>
      </c>
      <c r="B32" s="22"/>
      <c r="C32" s="22"/>
      <c r="D32" s="14"/>
    </row>
    <row r="33" spans="1:4" x14ac:dyDescent="0.25">
      <c r="A33" s="63" t="s">
        <v>66</v>
      </c>
      <c r="B33" s="22"/>
      <c r="C33" s="22"/>
      <c r="D33" s="14"/>
    </row>
    <row r="34" spans="1:4" x14ac:dyDescent="0.25">
      <c r="A34" s="63" t="s">
        <v>42</v>
      </c>
      <c r="B34" s="22"/>
      <c r="C34" s="22"/>
      <c r="D34" s="14"/>
    </row>
    <row r="35" spans="1:4" x14ac:dyDescent="0.25">
      <c r="A35" s="65" t="s">
        <v>43</v>
      </c>
      <c r="B35" s="24">
        <f t="shared" ref="B35:C35" si="0">SUM(B7:B34)</f>
        <v>220000</v>
      </c>
      <c r="C35" s="24">
        <f t="shared" si="0"/>
        <v>-7222332.2299999995</v>
      </c>
      <c r="D35" s="18"/>
    </row>
    <row r="36" spans="1:4" x14ac:dyDescent="0.25">
      <c r="A36" s="66"/>
      <c r="B36" s="25">
        <f>aruanne!D5</f>
        <v>220000</v>
      </c>
      <c r="C36" s="25">
        <f>aruanne!D11+aruanne!D14</f>
        <v>-7222331.7800000003</v>
      </c>
      <c r="D36" s="25"/>
    </row>
    <row r="37" spans="1:4" x14ac:dyDescent="0.25">
      <c r="A37" s="66"/>
      <c r="B37" s="25">
        <f t="shared" ref="B37:C37" si="1">B35-B36</f>
        <v>0</v>
      </c>
      <c r="C37" s="25">
        <f t="shared" si="1"/>
        <v>-0.44999999925494194</v>
      </c>
      <c r="D37" s="2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aruanne</vt:lpstr>
      <vt:lpstr>vordlus</vt:lpstr>
      <vt:lpstr>lisa1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Juta Maar</dc:creator>
  <cp:lastModifiedBy>Monika Kask</cp:lastModifiedBy>
  <cp:lastPrinted>2024-05-07T05:53:27Z</cp:lastPrinted>
  <dcterms:created xsi:type="dcterms:W3CDTF">2022-02-14T16:37:54Z</dcterms:created>
  <dcterms:modified xsi:type="dcterms:W3CDTF">2024-05-07T14:36:23Z</dcterms:modified>
</cp:coreProperties>
</file>