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ros\home\monikak4\Documents\Aastaaruanded\2025 aasta dokumendid\"/>
    </mc:Choice>
  </mc:AlternateContent>
  <xr:revisionPtr revIDLastSave="0" documentId="13_ncr:1_{91FC3AAB-937D-4786-9E50-B1EE0C557527}" xr6:coauthVersionLast="47" xr6:coauthVersionMax="47" xr10:uidLastSave="{00000000-0000-0000-0000-000000000000}"/>
  <bookViews>
    <workbookView xWindow="-120" yWindow="-120" windowWidth="29040" windowHeight="15720" xr2:uid="{4D1749CD-7348-40E3-9063-2FA36ECE44CB}"/>
  </bookViews>
  <sheets>
    <sheet name="aruanne" sheetId="1" r:id="rId1"/>
    <sheet name="LISA" sheetId="13" r:id="rId2"/>
    <sheet name="vordlus" sheetId="2" r:id="rId3"/>
    <sheet name="lisa1" sheetId="4" r:id="rId4"/>
  </sheets>
  <definedNames>
    <definedName name="_xlnm._FilterDatabase" localSheetId="0" hidden="1">aruanne!$A$3:$I$25</definedName>
    <definedName name="_xlnm._FilterDatabase" localSheetId="2" hidden="1">vordlus!$A$4:$J$15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3" l="1"/>
  <c r="G39" i="13" s="1"/>
  <c r="E21" i="13"/>
  <c r="E20" i="13"/>
  <c r="C10" i="2" l="1"/>
  <c r="F28" i="13" l="1"/>
  <c r="E8" i="1"/>
  <c r="E14" i="1" l="1"/>
  <c r="C13" i="2"/>
  <c r="F14" i="13"/>
  <c r="D14" i="13"/>
  <c r="G36" i="13"/>
  <c r="G31" i="13"/>
  <c r="D17" i="13"/>
  <c r="F19" i="13"/>
  <c r="D19" i="13"/>
  <c r="G23" i="13"/>
  <c r="G27" i="13"/>
  <c r="F34" i="13"/>
  <c r="E34" i="13"/>
  <c r="D34" i="13"/>
  <c r="F29" i="13"/>
  <c r="E29" i="13"/>
  <c r="D29" i="13"/>
  <c r="E13" i="13"/>
  <c r="G13" i="13" s="1"/>
  <c r="G35" i="13"/>
  <c r="G30" i="13"/>
  <c r="C14" i="4" l="1"/>
  <c r="G23" i="1" l="1"/>
  <c r="G22" i="1"/>
  <c r="G10" i="2" l="1"/>
  <c r="D11" i="13" l="1"/>
  <c r="F18" i="13"/>
  <c r="E13" i="1" s="1"/>
  <c r="F16" i="13"/>
  <c r="F15" i="13"/>
  <c r="D18" i="13"/>
  <c r="C13" i="1" s="1"/>
  <c r="D16" i="13"/>
  <c r="D15" i="13"/>
  <c r="D12" i="13" l="1"/>
  <c r="E17" i="13" l="1"/>
  <c r="F10" i="13"/>
  <c r="D10" i="13"/>
  <c r="F9" i="13"/>
  <c r="D9" i="13"/>
  <c r="E28" i="13"/>
  <c r="E26" i="13"/>
  <c r="E25" i="13"/>
  <c r="F24" i="13"/>
  <c r="F8" i="13" s="1"/>
  <c r="D24" i="13"/>
  <c r="D8" i="13" s="1"/>
  <c r="E22" i="13"/>
  <c r="E16" i="13" s="1"/>
  <c r="G16" i="13" s="1"/>
  <c r="F7" i="13"/>
  <c r="E12" i="1" s="1"/>
  <c r="D7" i="13"/>
  <c r="C12" i="1" s="1"/>
  <c r="E14" i="13" l="1"/>
  <c r="G14" i="13" s="1"/>
  <c r="E19" i="13"/>
  <c r="E18" i="13"/>
  <c r="E15" i="13"/>
  <c r="G15" i="13" s="1"/>
  <c r="E11" i="13"/>
  <c r="G22" i="13"/>
  <c r="G32" i="13"/>
  <c r="G33" i="13"/>
  <c r="G37" i="13"/>
  <c r="G25" i="13"/>
  <c r="G38" i="13"/>
  <c r="E10" i="13"/>
  <c r="D6" i="13"/>
  <c r="C11" i="1" s="1"/>
  <c r="E24" i="13"/>
  <c r="E8" i="13" s="1"/>
  <c r="G26" i="13"/>
  <c r="G28" i="13"/>
  <c r="E9" i="13"/>
  <c r="G20" i="13"/>
  <c r="G21" i="13"/>
  <c r="E7" i="13" l="1"/>
  <c r="D12" i="1" s="1"/>
  <c r="D13" i="1"/>
  <c r="E12" i="13"/>
  <c r="G18" i="13"/>
  <c r="G29" i="13"/>
  <c r="G7" i="13"/>
  <c r="G24" i="13"/>
  <c r="G34" i="13"/>
  <c r="G9" i="13"/>
  <c r="G8" i="13"/>
  <c r="G19" i="13"/>
  <c r="E6" i="13"/>
  <c r="D11" i="1" s="1"/>
  <c r="F17" i="1"/>
  <c r="F11" i="1"/>
  <c r="F8" i="1"/>
  <c r="F5" i="1" s="1"/>
  <c r="F24" i="1" l="1"/>
  <c r="G3" i="2" l="1"/>
  <c r="C3" i="2" l="1"/>
  <c r="F17" i="13" l="1"/>
  <c r="G10" i="13"/>
  <c r="F12" i="13" l="1"/>
  <c r="F11" i="13"/>
  <c r="G12" i="13" l="1"/>
  <c r="G17" i="13"/>
  <c r="G11" i="13"/>
  <c r="F6" i="13"/>
  <c r="E11" i="1" l="1"/>
  <c r="G6" i="13"/>
  <c r="D14" i="2" l="1"/>
  <c r="H7" i="2" l="1"/>
  <c r="D7" i="2" l="1"/>
  <c r="C6" i="4" l="1"/>
  <c r="G13" i="1"/>
  <c r="D9" i="1"/>
  <c r="D8" i="1"/>
  <c r="D7" i="1"/>
  <c r="D6" i="1"/>
  <c r="D10" i="1"/>
  <c r="D12" i="2"/>
  <c r="D10" i="2" s="1"/>
  <c r="H14" i="2"/>
  <c r="I14" i="2" s="1"/>
  <c r="H12" i="2"/>
  <c r="I12" i="2" s="1"/>
  <c r="D9" i="2"/>
  <c r="E9" i="2" s="1"/>
  <c r="D8" i="2"/>
  <c r="E8" i="2" s="1"/>
  <c r="E7" i="2"/>
  <c r="D6" i="2"/>
  <c r="E6" i="2" s="1"/>
  <c r="D5" i="2"/>
  <c r="E5" i="2" s="1"/>
  <c r="H9" i="2"/>
  <c r="I9" i="2" s="1"/>
  <c r="H8" i="2"/>
  <c r="I8" i="2" s="1"/>
  <c r="I7" i="2"/>
  <c r="H6" i="2"/>
  <c r="I6" i="2" s="1"/>
  <c r="H5" i="2"/>
  <c r="I5" i="2" s="1"/>
  <c r="E5" i="1"/>
  <c r="C5" i="1"/>
  <c r="G9" i="1" l="1"/>
  <c r="G6" i="1"/>
  <c r="G10" i="1"/>
  <c r="G7" i="1"/>
  <c r="G8" i="1"/>
  <c r="H10" i="2"/>
  <c r="G16" i="1"/>
  <c r="H13" i="2"/>
  <c r="I13" i="2" s="1"/>
  <c r="D5" i="1"/>
  <c r="G5" i="1" l="1"/>
  <c r="I10" i="2"/>
  <c r="B6" i="4" l="1"/>
  <c r="B28" i="4" s="1"/>
  <c r="C28" i="4" l="1"/>
  <c r="H11" i="2" l="1"/>
  <c r="I11" i="2" s="1"/>
  <c r="D11" i="2"/>
  <c r="E11" i="2" s="1"/>
  <c r="E17" i="1"/>
  <c r="G12" i="1"/>
  <c r="G11" i="1"/>
  <c r="E24" i="1" l="1"/>
  <c r="H3" i="2"/>
  <c r="E14" i="2"/>
  <c r="D13" i="2"/>
  <c r="E13" i="2" s="1"/>
  <c r="C29" i="4"/>
  <c r="C30" i="4" s="1"/>
  <c r="G15" i="1"/>
  <c r="E12" i="2"/>
  <c r="E10" i="2"/>
  <c r="G14" i="1"/>
  <c r="B29" i="4"/>
  <c r="B30" i="4" s="1"/>
  <c r="D3" i="2" l="1"/>
  <c r="E3" i="2" l="1"/>
  <c r="I3" i="2" l="1"/>
</calcChain>
</file>

<file path=xl/sharedStrings.xml><?xml version="1.0" encoding="utf-8"?>
<sst xmlns="http://schemas.openxmlformats.org/spreadsheetml/2006/main" count="130" uniqueCount="86">
  <si>
    <t>eurodes</t>
  </si>
  <si>
    <t>Algne eelarve</t>
  </si>
  <si>
    <t>Lõplik eelarve</t>
  </si>
  <si>
    <t>Täitmine miinus lõplik eelarve</t>
  </si>
  <si>
    <t>Saadud toetused</t>
  </si>
  <si>
    <t>Riigilõivud</t>
  </si>
  <si>
    <t>Tulu majandustegevusest</t>
  </si>
  <si>
    <t>Trahvid ja muud varalised karistused</t>
  </si>
  <si>
    <t>Muud tegevustulud</t>
  </si>
  <si>
    <t>sh piirmääraga vahendid</t>
  </si>
  <si>
    <t xml:space="preserve">TULUD </t>
  </si>
  <si>
    <t>KULUD</t>
  </si>
  <si>
    <t xml:space="preserve">INVESTEERINGUD </t>
  </si>
  <si>
    <t>KORRIGEERIMISED</t>
  </si>
  <si>
    <t>Kontroll</t>
  </si>
  <si>
    <t>saldoandmik</t>
  </si>
  <si>
    <t>Intressikulu eraldistelt</t>
  </si>
  <si>
    <t>Saadud riigisisesed toetused</t>
  </si>
  <si>
    <t>Avaliku sektori eripensionid ja pensionisuurendused</t>
  </si>
  <si>
    <t>Kulud</t>
  </si>
  <si>
    <t>Investeeringud</t>
  </si>
  <si>
    <t xml:space="preserve">JAOTAMATA </t>
  </si>
  <si>
    <t xml:space="preserve">Lisa </t>
  </si>
  <si>
    <t>Eelarve täitmise ja raamatupidamisaruannete võrdlus</t>
  </si>
  <si>
    <t>Kirje</t>
  </si>
  <si>
    <t>Selgitus</t>
  </si>
  <si>
    <t>Finantskulud</t>
  </si>
  <si>
    <t>Riigikohus</t>
  </si>
  <si>
    <t>Valitsemisala</t>
  </si>
  <si>
    <t>Lõpliku eelarve kujunemine</t>
  </si>
  <si>
    <t>Tulud</t>
  </si>
  <si>
    <t>Esialgne eelarve</t>
  </si>
  <si>
    <t>Üle toodud eelmisest aastast</t>
  </si>
  <si>
    <t>Sihtotstarbeliste vahendite reservist</t>
  </si>
  <si>
    <t>Eelarves kavandatud toetused</t>
  </si>
  <si>
    <t>Tegelikult saadud toetused ja avatud sildfinantseerimine</t>
  </si>
  <si>
    <t>Eelarves kavandatud saastekvootide müügist</t>
  </si>
  <si>
    <t>Tegelikult saadud saastekvootide müügist</t>
  </si>
  <si>
    <t>Saastekvootide müügist saadud eelarve ümberjaotamine</t>
  </si>
  <si>
    <t>Eelarves kavandatud majandustegevusest laekuv tulu</t>
  </si>
  <si>
    <t>Tegelikult majandustegevusest saadud tulu</t>
  </si>
  <si>
    <t>Eelarves kavandatud muud tuludest sõltuvad kulud</t>
  </si>
  <si>
    <t>Eelarves kavandatud edasiantavad maksud</t>
  </si>
  <si>
    <t>Tegelikud edasiantavad maksud</t>
  </si>
  <si>
    <t xml:space="preserve">Saadud Vabariigi Valitsuse reservfondist </t>
  </si>
  <si>
    <t>Antud Vabariigi valitsuse reservfondi</t>
  </si>
  <si>
    <t>Saadud omandireformi reservfondist</t>
  </si>
  <si>
    <t>Kokku lõplik eelarve</t>
  </si>
  <si>
    <t>Käibemaks</t>
  </si>
  <si>
    <t>Käibemaksukulu tegevuskuludelt</t>
  </si>
  <si>
    <t>Muud tulud</t>
  </si>
  <si>
    <t>Tööjõukulud</t>
  </si>
  <si>
    <t>Majandamiskulud</t>
  </si>
  <si>
    <t>Muud kulud</t>
  </si>
  <si>
    <t>Kulud kokku</t>
  </si>
  <si>
    <t>Eelarves kavandatud välistoetuste kaasrahastamine</t>
  </si>
  <si>
    <t>Tegelik välistoetuste kaasrahastamine</t>
  </si>
  <si>
    <t>Tulud majandustegevusest</t>
  </si>
  <si>
    <t>sh käibemaks</t>
  </si>
  <si>
    <t>Käibemaksukulu investeeringutelt</t>
  </si>
  <si>
    <t>Tegevuskulud, v.a käibemaksukulu</t>
  </si>
  <si>
    <t xml:space="preserve">RIIGIKOHUS </t>
  </si>
  <si>
    <t>Kulud, investeeringud</t>
  </si>
  <si>
    <t>Muudatused Vabariigi Valitsuse korralduste alusel</t>
  </si>
  <si>
    <t>Tegelikud muud tuludest sõltuvad kulud</t>
  </si>
  <si>
    <t>Täitmine 2024</t>
  </si>
  <si>
    <t>Raamatupidamisandmed 2024</t>
  </si>
  <si>
    <t>RE aruanne 2024</t>
  </si>
  <si>
    <t>Vahe 2024</t>
  </si>
  <si>
    <t>2025. aasta riigieelarve täitmise arunne</t>
  </si>
  <si>
    <t>Täitmine 2025</t>
  </si>
  <si>
    <t>Muud toetused</t>
  </si>
  <si>
    <t>Muud kulud, sh amortisatsioon</t>
  </si>
  <si>
    <t>Seaduses toodud kulude detailsem jaotus asutuste, majandusliku sisu ja liikide lõikes</t>
  </si>
  <si>
    <t>2025. a riigieelarve täitmise aruande lisa</t>
  </si>
  <si>
    <t>Sh piirmääraga kulud</t>
  </si>
  <si>
    <t>Sh arvestuslikud kulud</t>
  </si>
  <si>
    <t>Sh välistoetus koos riigieelarvelise kaasfinantseeringuga</t>
  </si>
  <si>
    <t>Sh muud tuludest sõltuvad kulud</t>
  </si>
  <si>
    <t>Sh amortisatsioon</t>
  </si>
  <si>
    <t>Muudatused 18.06.2025 lisaeelarve seaduse alusel</t>
  </si>
  <si>
    <t>Muudatused 03.12.2025 teise lisaeelarve seaduse alusel</t>
  </si>
  <si>
    <t>Tuludest sõltuvate kulude tegelik limiit</t>
  </si>
  <si>
    <t>Raamatupidamisandmed 2025</t>
  </si>
  <si>
    <t>RE aruanne 2025</t>
  </si>
  <si>
    <t>Vahe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</si>
</sst>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00FF"/>
      <name val="Times New Roman"/>
      <family val="1"/>
      <charset val="186"/>
    </font>
    <font>
      <sz val="10"/>
      <name val="Arial"/>
      <family val="2"/>
      <charset val="186"/>
    </font>
    <font>
      <sz val="12"/>
      <color theme="5" tint="-0.49998474074526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3" fontId="4" fillId="0" borderId="0" xfId="0" applyNumberFormat="1" applyFont="1"/>
    <xf numFmtId="3" fontId="0" fillId="0" borderId="0" xfId="0" applyNumberFormat="1"/>
    <xf numFmtId="0" fontId="0" fillId="0" borderId="1" xfId="0" applyBorder="1"/>
    <xf numFmtId="3" fontId="3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10" fillId="2" borderId="1" xfId="0" applyNumberFormat="1" applyFont="1" applyFill="1" applyBorder="1" applyAlignment="1">
      <alignment horizontal="right"/>
    </xf>
    <xf numFmtId="3" fontId="5" fillId="2" borderId="1" xfId="2" applyNumberFormat="1" applyFont="1" applyFill="1" applyBorder="1" applyAlignment="1" applyProtection="1">
      <alignment horizontal="right"/>
      <protection locked="0"/>
    </xf>
    <xf numFmtId="3" fontId="5" fillId="2" borderId="1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0" fontId="11" fillId="0" borderId="0" xfId="0" applyFont="1"/>
    <xf numFmtId="3" fontId="9" fillId="0" borderId="0" xfId="0" applyNumberFormat="1" applyFont="1"/>
    <xf numFmtId="4" fontId="9" fillId="0" borderId="0" xfId="0" applyNumberFormat="1" applyFont="1"/>
    <xf numFmtId="4" fontId="9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" fillId="0" borderId="0" xfId="0" applyNumberFormat="1" applyFont="1" applyAlignment="1">
      <alignment wrapText="1"/>
    </xf>
    <xf numFmtId="4" fontId="0" fillId="0" borderId="0" xfId="0" applyNumberFormat="1"/>
    <xf numFmtId="0" fontId="11" fillId="2" borderId="1" xfId="0" applyFont="1" applyFill="1" applyBorder="1" applyAlignment="1">
      <alignment vertical="top"/>
    </xf>
    <xf numFmtId="4" fontId="11" fillId="2" borderId="1" xfId="0" applyNumberFormat="1" applyFont="1" applyFill="1" applyBorder="1" applyAlignment="1">
      <alignment vertical="top" wrapText="1"/>
    </xf>
    <xf numFmtId="0" fontId="13" fillId="0" borderId="0" xfId="0" applyFont="1"/>
    <xf numFmtId="0" fontId="11" fillId="3" borderId="1" xfId="0" applyFont="1" applyFill="1" applyBorder="1" applyAlignment="1">
      <alignment vertical="top"/>
    </xf>
    <xf numFmtId="3" fontId="13" fillId="3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3" fontId="13" fillId="0" borderId="1" xfId="0" applyNumberFormat="1" applyFont="1" applyBorder="1" applyAlignment="1">
      <alignment vertical="top"/>
    </xf>
    <xf numFmtId="0" fontId="13" fillId="0" borderId="1" xfId="0" applyFont="1" applyBorder="1"/>
    <xf numFmtId="0" fontId="11" fillId="0" borderId="1" xfId="0" applyFont="1" applyBorder="1" applyAlignment="1">
      <alignment vertical="top"/>
    </xf>
    <xf numFmtId="3" fontId="11" fillId="0" borderId="1" xfId="0" applyNumberFormat="1" applyFont="1" applyBorder="1" applyAlignment="1">
      <alignment vertical="top"/>
    </xf>
    <xf numFmtId="3" fontId="13" fillId="0" borderId="0" xfId="0" applyNumberFormat="1" applyFont="1"/>
    <xf numFmtId="0" fontId="12" fillId="0" borderId="0" xfId="0" applyFont="1"/>
    <xf numFmtId="4" fontId="0" fillId="0" borderId="1" xfId="0" applyNumberFormat="1" applyBorder="1"/>
    <xf numFmtId="0" fontId="12" fillId="0" borderId="1" xfId="0" applyFont="1" applyBorder="1"/>
    <xf numFmtId="3" fontId="12" fillId="0" borderId="1" xfId="0" applyNumberFormat="1" applyFont="1" applyBorder="1"/>
    <xf numFmtId="4" fontId="0" fillId="0" borderId="0" xfId="0" applyNumberFormat="1" applyAlignment="1">
      <alignment horizontal="right"/>
    </xf>
    <xf numFmtId="3" fontId="5" fillId="0" borderId="1" xfId="2" applyNumberFormat="1" applyFont="1" applyBorder="1" applyAlignment="1" applyProtection="1">
      <alignment horizontal="right"/>
      <protection locked="0"/>
    </xf>
    <xf numFmtId="43" fontId="0" fillId="0" borderId="0" xfId="6" applyFont="1"/>
    <xf numFmtId="4" fontId="9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 wrapText="1"/>
    </xf>
    <xf numFmtId="4" fontId="11" fillId="2" borderId="1" xfId="0" applyNumberFormat="1" applyFont="1" applyFill="1" applyBorder="1" applyAlignment="1">
      <alignment horizontal="right" vertical="top" wrapText="1"/>
    </xf>
    <xf numFmtId="43" fontId="1" fillId="0" borderId="0" xfId="6" applyFont="1"/>
    <xf numFmtId="4" fontId="11" fillId="2" borderId="1" xfId="0" applyNumberFormat="1" applyFont="1" applyFill="1" applyBorder="1" applyAlignment="1">
      <alignment vertical="top"/>
    </xf>
    <xf numFmtId="0" fontId="3" fillId="0" borderId="0" xfId="0" applyFont="1"/>
    <xf numFmtId="3" fontId="5" fillId="0" borderId="0" xfId="0" applyNumberFormat="1" applyFont="1"/>
    <xf numFmtId="3" fontId="6" fillId="0" borderId="1" xfId="2" applyNumberFormat="1" applyFont="1" applyBorder="1" applyAlignment="1" applyProtection="1">
      <alignment horizontal="left"/>
      <protection locked="0"/>
    </xf>
    <xf numFmtId="3" fontId="7" fillId="0" borderId="1" xfId="2" applyNumberFormat="1" applyFont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3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0" fontId="5" fillId="2" borderId="1" xfId="2" applyFont="1" applyFill="1" applyBorder="1" applyAlignment="1" applyProtection="1">
      <alignment horizontal="left"/>
      <protection locked="0"/>
    </xf>
    <xf numFmtId="0" fontId="3" fillId="5" borderId="1" xfId="0" applyFont="1" applyFill="1" applyBorder="1" applyAlignment="1">
      <alignment horizontal="left"/>
    </xf>
    <xf numFmtId="3" fontId="2" fillId="0" borderId="0" xfId="0" applyNumberFormat="1" applyFont="1"/>
    <xf numFmtId="0" fontId="0" fillId="5" borderId="1" xfId="0" applyFill="1" applyBorder="1"/>
    <xf numFmtId="3" fontId="0" fillId="5" borderId="1" xfId="0" applyNumberFormat="1" applyFill="1" applyBorder="1"/>
    <xf numFmtId="3" fontId="12" fillId="0" borderId="0" xfId="0" applyNumberFormat="1" applyFont="1"/>
    <xf numFmtId="3" fontId="14" fillId="0" borderId="1" xfId="0" applyNumberFormat="1" applyFont="1" applyBorder="1" applyAlignment="1">
      <alignment vertical="top"/>
    </xf>
    <xf numFmtId="0" fontId="2" fillId="0" borderId="0" xfId="0" applyFont="1"/>
    <xf numFmtId="3" fontId="6" fillId="6" borderId="1" xfId="2" applyNumberFormat="1" applyFont="1" applyFill="1" applyBorder="1" applyAlignment="1" applyProtection="1">
      <alignment horizontal="right"/>
      <protection locked="0"/>
    </xf>
    <xf numFmtId="3" fontId="7" fillId="6" borderId="1" xfId="2" applyNumberFormat="1" applyFont="1" applyFill="1" applyBorder="1" applyAlignment="1" applyProtection="1">
      <alignment horizontal="right"/>
      <protection locked="0"/>
    </xf>
    <xf numFmtId="0" fontId="7" fillId="6" borderId="1" xfId="2" applyFont="1" applyFill="1" applyBorder="1" applyAlignment="1" applyProtection="1">
      <alignment horizontal="center"/>
      <protection locked="0"/>
    </xf>
    <xf numFmtId="3" fontId="7" fillId="6" borderId="1" xfId="1" applyNumberFormat="1" applyFont="1" applyFill="1" applyBorder="1" applyAlignment="1" applyProtection="1">
      <alignment horizontal="right"/>
      <protection locked="0"/>
    </xf>
    <xf numFmtId="0" fontId="6" fillId="6" borderId="1" xfId="2" applyFont="1" applyFill="1" applyBorder="1" applyAlignment="1" applyProtection="1">
      <alignment horizontal="left"/>
      <protection locked="0"/>
    </xf>
    <xf numFmtId="0" fontId="7" fillId="6" borderId="1" xfId="2" applyFont="1" applyFill="1" applyBorder="1" applyAlignment="1" applyProtection="1">
      <alignment horizontal="left"/>
      <protection locked="0"/>
    </xf>
    <xf numFmtId="0" fontId="7" fillId="6" borderId="1" xfId="0" applyFont="1" applyFill="1" applyBorder="1" applyAlignment="1">
      <alignment horizontal="left"/>
    </xf>
    <xf numFmtId="0" fontId="6" fillId="6" borderId="1" xfId="1" applyFont="1" applyFill="1" applyBorder="1" applyAlignment="1" applyProtection="1">
      <alignment horizontal="left"/>
      <protection locked="0"/>
    </xf>
    <xf numFmtId="0" fontId="7" fillId="6" borderId="1" xfId="1" applyFont="1" applyFill="1" applyBorder="1" applyAlignment="1" applyProtection="1">
      <alignment horizontal="left"/>
      <protection locked="0"/>
    </xf>
    <xf numFmtId="0" fontId="0" fillId="6" borderId="1" xfId="0" applyFill="1" applyBorder="1"/>
    <xf numFmtId="3" fontId="0" fillId="6" borderId="1" xfId="0" applyNumberFormat="1" applyFill="1" applyBorder="1"/>
    <xf numFmtId="0" fontId="12" fillId="6" borderId="1" xfId="0" applyFont="1" applyFill="1" applyBorder="1"/>
    <xf numFmtId="3" fontId="12" fillId="6" borderId="1" xfId="0" applyNumberFormat="1" applyFont="1" applyFill="1" applyBorder="1"/>
    <xf numFmtId="3" fontId="4" fillId="6" borderId="1" xfId="0" applyNumberFormat="1" applyFont="1" applyFill="1" applyBorder="1"/>
    <xf numFmtId="4" fontId="0" fillId="6" borderId="1" xfId="0" applyNumberFormat="1" applyFill="1" applyBorder="1"/>
    <xf numFmtId="4" fontId="0" fillId="0" borderId="1" xfId="0" applyNumberFormat="1" applyBorder="1" applyAlignment="1">
      <alignment wrapText="1"/>
    </xf>
    <xf numFmtId="3" fontId="13" fillId="6" borderId="1" xfId="0" applyNumberFormat="1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</cellXfs>
  <cellStyles count="8">
    <cellStyle name="Comma 2" xfId="7" xr:uid="{68AF3142-48B6-46A0-9B66-4AC016C8CCBB}"/>
    <cellStyle name="Koma" xfId="6" builtinId="3"/>
    <cellStyle name="Normaallaad" xfId="0" builtinId="0"/>
    <cellStyle name="Normaallaad 2" xfId="5" xr:uid="{625F7053-1720-45B8-BC60-DA405838C2BD}"/>
    <cellStyle name="Normal 10 2" xfId="1" xr:uid="{D70F4CDE-1FE7-448C-B78C-16802263EF7D}"/>
    <cellStyle name="Normal 25 3 6" xfId="4" xr:uid="{C2461F04-5869-445E-B9DC-9D0918BE1F25}"/>
    <cellStyle name="Normal 25 9" xfId="2" xr:uid="{8906365B-27A6-4989-AF6D-1E0C5258DC94}"/>
    <cellStyle name="Normal 25 9 2" xfId="3" xr:uid="{9FD4BB3A-C968-4E24-8E39-E7D1D70EB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9F5C-00A4-4BD3-B743-9BFC60E719C1}">
  <dimension ref="A1:I25"/>
  <sheetViews>
    <sheetView tabSelected="1" zoomScale="90" zoomScaleNormal="90" workbookViewId="0">
      <selection activeCell="G12" sqref="G12"/>
    </sheetView>
  </sheetViews>
  <sheetFormatPr defaultRowHeight="15" x14ac:dyDescent="0.25"/>
  <cols>
    <col min="1" max="1" width="7.42578125" customWidth="1"/>
    <col min="2" max="2" width="27.140625" customWidth="1"/>
    <col min="3" max="3" width="14.42578125" style="2" customWidth="1"/>
    <col min="4" max="4" width="16.5703125" style="2" customWidth="1"/>
    <col min="5" max="5" width="17.140625" style="2" customWidth="1"/>
    <col min="6" max="6" width="20.7109375" style="2" customWidth="1"/>
    <col min="7" max="7" width="15.42578125" style="2" customWidth="1"/>
    <col min="8" max="8" width="23.85546875" style="38" customWidth="1"/>
    <col min="9" max="9" width="9.140625" style="38" customWidth="1"/>
  </cols>
  <sheetData>
    <row r="1" spans="1:9" ht="15.75" x14ac:dyDescent="0.25">
      <c r="A1" s="44" t="s">
        <v>69</v>
      </c>
      <c r="C1" s="1"/>
      <c r="E1" s="56"/>
      <c r="F1" s="56"/>
      <c r="G1" s="45"/>
    </row>
    <row r="2" spans="1:9" ht="15.75" x14ac:dyDescent="0.25">
      <c r="A2" t="s">
        <v>0</v>
      </c>
      <c r="C2" s="1"/>
      <c r="G2" s="45"/>
    </row>
    <row r="3" spans="1:9" ht="47.25" x14ac:dyDescent="0.25">
      <c r="A3" s="3"/>
      <c r="B3" s="3"/>
      <c r="C3" s="4" t="s">
        <v>1</v>
      </c>
      <c r="D3" s="4" t="s">
        <v>2</v>
      </c>
      <c r="E3" s="4" t="s">
        <v>70</v>
      </c>
      <c r="F3" s="4" t="s">
        <v>65</v>
      </c>
      <c r="G3" s="4" t="s">
        <v>3</v>
      </c>
    </row>
    <row r="4" spans="1:9" ht="15.75" x14ac:dyDescent="0.25">
      <c r="A4" s="50" t="s">
        <v>61</v>
      </c>
      <c r="B4" s="51"/>
      <c r="C4" s="10"/>
      <c r="D4" s="11"/>
      <c r="E4" s="37"/>
      <c r="F4" s="37"/>
      <c r="G4" s="5"/>
    </row>
    <row r="5" spans="1:9" ht="15.75" x14ac:dyDescent="0.25">
      <c r="A5" s="66" t="s">
        <v>10</v>
      </c>
      <c r="B5" s="66"/>
      <c r="C5" s="62">
        <f t="shared" ref="C5:E5" si="0">SUM(C6:C10)</f>
        <v>341612</v>
      </c>
      <c r="D5" s="62">
        <f t="shared" si="0"/>
        <v>341612</v>
      </c>
      <c r="E5" s="62">
        <f t="shared" si="0"/>
        <v>394282.11</v>
      </c>
      <c r="F5" s="62">
        <f t="shared" ref="F5" si="1">SUM(F6:F10)</f>
        <v>393190.16000000003</v>
      </c>
      <c r="G5" s="62">
        <f>SUM(G6:G10)</f>
        <v>52670.109999999986</v>
      </c>
    </row>
    <row r="6" spans="1:9" ht="15.75" x14ac:dyDescent="0.25">
      <c r="A6" s="67" t="s">
        <v>5</v>
      </c>
      <c r="B6" s="67"/>
      <c r="C6" s="63">
        <v>310000</v>
      </c>
      <c r="D6" s="63">
        <f t="shared" ref="D6:D9" si="2">C6</f>
        <v>310000</v>
      </c>
      <c r="E6" s="63">
        <v>277112.03999999998</v>
      </c>
      <c r="F6" s="63">
        <v>278980.17</v>
      </c>
      <c r="G6" s="63">
        <f t="shared" ref="G6:G10" si="3">E6-D6</f>
        <v>-32887.960000000021</v>
      </c>
      <c r="H6" s="42"/>
      <c r="I6" s="42"/>
    </row>
    <row r="7" spans="1:9" ht="15.75" x14ac:dyDescent="0.25">
      <c r="A7" s="67" t="s">
        <v>6</v>
      </c>
      <c r="B7" s="67"/>
      <c r="C7" s="63">
        <v>2500</v>
      </c>
      <c r="D7" s="63">
        <f t="shared" si="2"/>
        <v>2500</v>
      </c>
      <c r="E7" s="63">
        <v>5074.6899999999996</v>
      </c>
      <c r="F7" s="63">
        <v>41447.949999999997</v>
      </c>
      <c r="G7" s="63">
        <f t="shared" si="3"/>
        <v>2574.6899999999996</v>
      </c>
      <c r="H7" s="42"/>
      <c r="I7" s="42"/>
    </row>
    <row r="8" spans="1:9" ht="15.75" x14ac:dyDescent="0.25">
      <c r="A8" s="67" t="s">
        <v>4</v>
      </c>
      <c r="B8" s="67"/>
      <c r="C8" s="63">
        <v>29112</v>
      </c>
      <c r="D8" s="63">
        <f t="shared" si="2"/>
        <v>29112</v>
      </c>
      <c r="E8" s="63">
        <f>85862.63-13480.33</f>
        <v>72382.3</v>
      </c>
      <c r="F8" s="63">
        <f>55626.72-10820.88</f>
        <v>44805.840000000004</v>
      </c>
      <c r="G8" s="63">
        <f t="shared" si="3"/>
        <v>43270.3</v>
      </c>
      <c r="H8" s="42"/>
      <c r="I8" s="42"/>
    </row>
    <row r="9" spans="1:9" ht="15.75" x14ac:dyDescent="0.25">
      <c r="A9" s="68" t="s">
        <v>7</v>
      </c>
      <c r="B9" s="68"/>
      <c r="C9" s="63"/>
      <c r="D9" s="63">
        <f t="shared" si="2"/>
        <v>0</v>
      </c>
      <c r="E9" s="63">
        <v>0</v>
      </c>
      <c r="F9" s="63">
        <v>10000</v>
      </c>
      <c r="G9" s="63">
        <f t="shared" si="3"/>
        <v>0</v>
      </c>
      <c r="H9" s="42"/>
      <c r="I9" s="42"/>
    </row>
    <row r="10" spans="1:9" ht="15.75" x14ac:dyDescent="0.25">
      <c r="A10" s="68" t="s">
        <v>50</v>
      </c>
      <c r="B10" s="68"/>
      <c r="C10" s="63"/>
      <c r="D10" s="63">
        <f>C10</f>
        <v>0</v>
      </c>
      <c r="E10" s="63">
        <v>39713.08</v>
      </c>
      <c r="F10" s="63">
        <v>17956.2</v>
      </c>
      <c r="G10" s="63">
        <f t="shared" si="3"/>
        <v>39713.08</v>
      </c>
      <c r="H10" s="42"/>
      <c r="I10" s="42"/>
    </row>
    <row r="11" spans="1:9" ht="15.75" x14ac:dyDescent="0.25">
      <c r="A11" s="66" t="s">
        <v>11</v>
      </c>
      <c r="B11" s="66"/>
      <c r="C11" s="62">
        <f>LISA!D6</f>
        <v>-6961589</v>
      </c>
      <c r="D11" s="62">
        <f>LISA!E6+D22</f>
        <v>-7346965.4299999997</v>
      </c>
      <c r="E11" s="62">
        <f>LISA!F6</f>
        <v>-6972878.5299999993</v>
      </c>
      <c r="F11" s="62">
        <f>-6563667.91-216326.48-131470.46+71132</f>
        <v>-6840332.8500000006</v>
      </c>
      <c r="G11" s="62">
        <f t="shared" ref="G11:G16" si="4">E11-D11</f>
        <v>374086.90000000037</v>
      </c>
    </row>
    <row r="12" spans="1:9" ht="15.75" x14ac:dyDescent="0.25">
      <c r="A12" s="64"/>
      <c r="B12" s="67" t="s">
        <v>9</v>
      </c>
      <c r="C12" s="63">
        <f>LISA!D7</f>
        <v>-4167054</v>
      </c>
      <c r="D12" s="63">
        <f>LISA!E7+D23</f>
        <v>-4332727.7699999996</v>
      </c>
      <c r="E12" s="63">
        <f>LISA!F7</f>
        <v>-4125732.2299999995</v>
      </c>
      <c r="F12" s="63">
        <v>-4086603.61</v>
      </c>
      <c r="G12" s="63">
        <f t="shared" si="4"/>
        <v>206995.54000000004</v>
      </c>
    </row>
    <row r="13" spans="1:9" ht="15.75" x14ac:dyDescent="0.25">
      <c r="A13" s="64"/>
      <c r="B13" s="67" t="s">
        <v>58</v>
      </c>
      <c r="C13" s="63">
        <f>LISA!D18</f>
        <v>-132594</v>
      </c>
      <c r="D13" s="63">
        <f>LISA!E18</f>
        <v>-136846.07999999999</v>
      </c>
      <c r="E13" s="63">
        <f>LISA!F18</f>
        <v>-140911.10999999999</v>
      </c>
      <c r="F13" s="63">
        <v>-131470.46</v>
      </c>
      <c r="G13" s="63">
        <f t="shared" si="4"/>
        <v>-4065.0299999999988</v>
      </c>
    </row>
    <row r="14" spans="1:9" ht="15.75" x14ac:dyDescent="0.25">
      <c r="A14" s="66" t="s">
        <v>12</v>
      </c>
      <c r="B14" s="66"/>
      <c r="C14" s="62">
        <v>0</v>
      </c>
      <c r="D14" s="62">
        <v>-150000</v>
      </c>
      <c r="E14" s="62">
        <f>-27560.8-6540.38</f>
        <v>-34101.18</v>
      </c>
      <c r="F14" s="62">
        <v>0</v>
      </c>
      <c r="G14" s="62">
        <f t="shared" si="4"/>
        <v>115898.82</v>
      </c>
    </row>
    <row r="15" spans="1:9" ht="15.75" x14ac:dyDescent="0.25">
      <c r="A15" s="64"/>
      <c r="B15" s="67" t="s">
        <v>9</v>
      </c>
      <c r="C15" s="63">
        <v>0</v>
      </c>
      <c r="D15" s="63">
        <v>-150000</v>
      </c>
      <c r="E15" s="63">
        <v>-27560.799999999999</v>
      </c>
      <c r="F15" s="63">
        <v>0</v>
      </c>
      <c r="G15" s="63">
        <f t="shared" si="4"/>
        <v>122439.2</v>
      </c>
    </row>
    <row r="16" spans="1:9" ht="15.75" x14ac:dyDescent="0.25">
      <c r="A16" s="64"/>
      <c r="B16" s="67" t="s">
        <v>58</v>
      </c>
      <c r="C16" s="63">
        <v>0</v>
      </c>
      <c r="D16" s="63">
        <v>0</v>
      </c>
      <c r="E16" s="63">
        <v>-6540.38</v>
      </c>
      <c r="F16" s="63">
        <v>0</v>
      </c>
      <c r="G16" s="63">
        <f t="shared" si="4"/>
        <v>-6540.38</v>
      </c>
    </row>
    <row r="17" spans="1:7" ht="15.75" x14ac:dyDescent="0.25">
      <c r="A17" s="69" t="s">
        <v>13</v>
      </c>
      <c r="B17" s="69"/>
      <c r="C17" s="62"/>
      <c r="D17" s="62"/>
      <c r="E17" s="62">
        <f>SUM(E18:E20)</f>
        <v>-503390.67</v>
      </c>
      <c r="F17" s="62">
        <f>SUM(F18:F20)</f>
        <v>-427618.12</v>
      </c>
      <c r="G17" s="62"/>
    </row>
    <row r="18" spans="1:7" ht="15.75" x14ac:dyDescent="0.25">
      <c r="A18" s="70"/>
      <c r="B18" s="70" t="s">
        <v>17</v>
      </c>
      <c r="C18" s="63"/>
      <c r="D18" s="63"/>
      <c r="E18" s="63">
        <v>13480.33</v>
      </c>
      <c r="F18" s="63">
        <v>10820.88</v>
      </c>
      <c r="G18" s="63"/>
    </row>
    <row r="19" spans="1:7" ht="15.75" x14ac:dyDescent="0.25">
      <c r="A19" s="70"/>
      <c r="B19" s="70" t="s">
        <v>16</v>
      </c>
      <c r="C19" s="65"/>
      <c r="D19" s="65"/>
      <c r="E19" s="65">
        <v>-461922</v>
      </c>
      <c r="F19" s="65">
        <v>-367307</v>
      </c>
      <c r="G19" s="63"/>
    </row>
    <row r="20" spans="1:7" ht="15.75" x14ac:dyDescent="0.25">
      <c r="A20" s="67"/>
      <c r="B20" s="67" t="s">
        <v>18</v>
      </c>
      <c r="C20" s="65"/>
      <c r="D20" s="65"/>
      <c r="E20" s="65">
        <v>-54949</v>
      </c>
      <c r="F20" s="65">
        <v>-71132</v>
      </c>
      <c r="G20" s="63"/>
    </row>
    <row r="21" spans="1:7" ht="15.75" x14ac:dyDescent="0.25">
      <c r="A21" s="52" t="s">
        <v>21</v>
      </c>
      <c r="B21" s="53"/>
      <c r="C21" s="12"/>
      <c r="D21" s="13"/>
      <c r="E21" s="8"/>
      <c r="F21" s="8"/>
      <c r="G21" s="12"/>
    </row>
    <row r="22" spans="1:7" ht="15.75" x14ac:dyDescent="0.25">
      <c r="A22" s="49"/>
      <c r="B22" s="52" t="s">
        <v>19</v>
      </c>
      <c r="C22" s="12">
        <v>0</v>
      </c>
      <c r="D22" s="12"/>
      <c r="E22" s="12">
        <v>0</v>
      </c>
      <c r="F22" s="12">
        <v>0</v>
      </c>
      <c r="G22" s="12">
        <f>E22-D22</f>
        <v>0</v>
      </c>
    </row>
    <row r="23" spans="1:7" ht="15.75" x14ac:dyDescent="0.25">
      <c r="A23" s="49"/>
      <c r="B23" s="54" t="s">
        <v>9</v>
      </c>
      <c r="C23" s="6">
        <v>0</v>
      </c>
      <c r="D23" s="6"/>
      <c r="E23" s="6">
        <v>0</v>
      </c>
      <c r="F23" s="6">
        <v>0</v>
      </c>
      <c r="G23" s="6">
        <f>E23-D23</f>
        <v>0</v>
      </c>
    </row>
    <row r="24" spans="1:7" ht="15.75" x14ac:dyDescent="0.25">
      <c r="A24" s="48"/>
      <c r="B24" s="49" t="s">
        <v>14</v>
      </c>
      <c r="C24" s="6"/>
      <c r="D24" s="7"/>
      <c r="E24" s="8">
        <f>E5+E11+E17+E16</f>
        <v>-7088527.4699999988</v>
      </c>
      <c r="F24" s="8">
        <f>F5+F11+F17+F16</f>
        <v>-6874760.8100000005</v>
      </c>
      <c r="G24" s="9"/>
    </row>
    <row r="25" spans="1:7" ht="15.75" x14ac:dyDescent="0.25">
      <c r="A25" s="48"/>
      <c r="B25" s="49" t="s">
        <v>15</v>
      </c>
      <c r="C25" s="6"/>
      <c r="D25" s="7"/>
      <c r="E25" s="8">
        <v>-7088527.4699999997</v>
      </c>
      <c r="F25" s="8">
        <v>-6874760.8099999996</v>
      </c>
      <c r="G25" s="9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352C-D577-4AC0-AB2D-448D0F264886}">
  <dimension ref="A1:I39"/>
  <sheetViews>
    <sheetView workbookViewId="0">
      <selection activeCell="D12" sqref="D12"/>
    </sheetView>
  </sheetViews>
  <sheetFormatPr defaultRowHeight="15" x14ac:dyDescent="0.25"/>
  <cols>
    <col min="1" max="2" width="5.7109375" customWidth="1"/>
    <col min="3" max="3" width="40.28515625" customWidth="1"/>
    <col min="4" max="4" width="22" style="2" customWidth="1"/>
    <col min="5" max="5" width="20.140625" style="2" customWidth="1"/>
    <col min="6" max="6" width="13.42578125" style="2" bestFit="1" customWidth="1"/>
    <col min="7" max="7" width="13.28515625" style="2" bestFit="1" customWidth="1"/>
    <col min="8" max="8" width="16.85546875" style="20" customWidth="1"/>
    <col min="10" max="10" width="12" bestFit="1" customWidth="1"/>
    <col min="14" max="15" width="9.5703125" bestFit="1" customWidth="1"/>
    <col min="16" max="16" width="9.85546875" customWidth="1"/>
  </cols>
  <sheetData>
    <row r="1" spans="1:9" x14ac:dyDescent="0.25">
      <c r="A1" s="32" t="s">
        <v>74</v>
      </c>
      <c r="B1" s="32"/>
    </row>
    <row r="2" spans="1:9" x14ac:dyDescent="0.25">
      <c r="A2" s="32" t="s">
        <v>73</v>
      </c>
      <c r="B2" s="32"/>
    </row>
    <row r="4" spans="1:9" ht="47.25" x14ac:dyDescent="0.25">
      <c r="A4" s="46"/>
      <c r="B4" s="46"/>
      <c r="C4" s="47"/>
      <c r="D4" s="4" t="s">
        <v>1</v>
      </c>
      <c r="E4" s="4" t="s">
        <v>2</v>
      </c>
      <c r="F4" s="4" t="s">
        <v>70</v>
      </c>
      <c r="G4" s="4" t="s">
        <v>3</v>
      </c>
    </row>
    <row r="5" spans="1:9" ht="15.75" x14ac:dyDescent="0.25">
      <c r="A5" s="55" t="s">
        <v>61</v>
      </c>
      <c r="B5" s="57"/>
      <c r="C5" s="57"/>
      <c r="D5" s="58"/>
      <c r="E5" s="58"/>
      <c r="F5" s="58"/>
      <c r="G5" s="58"/>
      <c r="I5" s="2"/>
    </row>
    <row r="6" spans="1:9" s="32" customFormat="1" x14ac:dyDescent="0.25">
      <c r="A6" s="34" t="s">
        <v>54</v>
      </c>
      <c r="B6" s="34"/>
      <c r="C6" s="34"/>
      <c r="D6" s="35">
        <f>SUM(D7:D11)</f>
        <v>-6961589</v>
      </c>
      <c r="E6" s="35">
        <f>SUM(E7:E11)</f>
        <v>-7346965.4299999997</v>
      </c>
      <c r="F6" s="35">
        <f>SUM(F7:F11)</f>
        <v>-6972878.5299999993</v>
      </c>
      <c r="G6" s="35">
        <f>F6-E6</f>
        <v>374086.90000000037</v>
      </c>
      <c r="H6" s="20"/>
      <c r="I6" s="2"/>
    </row>
    <row r="7" spans="1:9" x14ac:dyDescent="0.25">
      <c r="A7" s="3"/>
      <c r="B7" s="71" t="s">
        <v>75</v>
      </c>
      <c r="C7" s="71"/>
      <c r="D7" s="72">
        <f>D19</f>
        <v>-4167054</v>
      </c>
      <c r="E7" s="72">
        <f t="shared" ref="E7:F7" si="0">E19</f>
        <v>-4332727.7699999996</v>
      </c>
      <c r="F7" s="72">
        <f t="shared" si="0"/>
        <v>-4125732.2299999995</v>
      </c>
      <c r="G7" s="72">
        <f t="shared" ref="G7:G11" si="1">F7-E7</f>
        <v>206995.54000000004</v>
      </c>
      <c r="I7" s="2"/>
    </row>
    <row r="8" spans="1:9" x14ac:dyDescent="0.25">
      <c r="A8" s="3"/>
      <c r="B8" s="71" t="s">
        <v>76</v>
      </c>
      <c r="C8" s="71"/>
      <c r="D8" s="72">
        <f>D24</f>
        <v>-2542219</v>
      </c>
      <c r="E8" s="72">
        <f t="shared" ref="E8:F8" si="2">E24</f>
        <v>-2542219</v>
      </c>
      <c r="F8" s="72">
        <f t="shared" si="2"/>
        <v>-2544077.69</v>
      </c>
      <c r="G8" s="72">
        <f t="shared" si="1"/>
        <v>-1858.6899999999441</v>
      </c>
      <c r="I8" s="2"/>
    </row>
    <row r="9" spans="1:9" x14ac:dyDescent="0.25">
      <c r="A9" s="3"/>
      <c r="B9" s="71" t="s">
        <v>77</v>
      </c>
      <c r="C9" s="71"/>
      <c r="D9" s="72">
        <f>D29</f>
        <v>-38816</v>
      </c>
      <c r="E9" s="72">
        <f t="shared" ref="E9:F9" si="3">E29</f>
        <v>-175377.04</v>
      </c>
      <c r="F9" s="72">
        <f t="shared" si="3"/>
        <v>-50226.950000000004</v>
      </c>
      <c r="G9" s="72">
        <f t="shared" si="1"/>
        <v>125150.09</v>
      </c>
      <c r="I9" s="2"/>
    </row>
    <row r="10" spans="1:9" x14ac:dyDescent="0.25">
      <c r="A10" s="3"/>
      <c r="B10" s="71" t="s">
        <v>78</v>
      </c>
      <c r="C10" s="71"/>
      <c r="D10" s="72">
        <f>D34</f>
        <v>-2500</v>
      </c>
      <c r="E10" s="72">
        <f t="shared" ref="E10:F10" si="4">E34</f>
        <v>-85641.62</v>
      </c>
      <c r="F10" s="72">
        <f t="shared" si="4"/>
        <v>-46336.639999999999</v>
      </c>
      <c r="G10" s="72">
        <f t="shared" si="1"/>
        <v>39304.979999999996</v>
      </c>
      <c r="I10" s="2"/>
    </row>
    <row r="11" spans="1:9" x14ac:dyDescent="0.25">
      <c r="A11" s="3"/>
      <c r="B11" s="71" t="s">
        <v>79</v>
      </c>
      <c r="C11" s="71"/>
      <c r="D11" s="72">
        <f>D39</f>
        <v>-211000</v>
      </c>
      <c r="E11" s="72">
        <f>E39</f>
        <v>-211000</v>
      </c>
      <c r="F11" s="72">
        <f>F39</f>
        <v>-206505.02</v>
      </c>
      <c r="G11" s="72">
        <f t="shared" si="1"/>
        <v>4494.9800000000105</v>
      </c>
      <c r="I11" s="2"/>
    </row>
    <row r="12" spans="1:9" s="32" customFormat="1" x14ac:dyDescent="0.25">
      <c r="A12" s="34"/>
      <c r="B12" s="73" t="s">
        <v>27</v>
      </c>
      <c r="C12" s="73"/>
      <c r="D12" s="74">
        <f>SUM(D13:D18)</f>
        <v>-6961589</v>
      </c>
      <c r="E12" s="74">
        <f t="shared" ref="E12:F12" si="5">SUM(E13:E18)</f>
        <v>-7346965.4299999997</v>
      </c>
      <c r="F12" s="74">
        <f t="shared" si="5"/>
        <v>-6972878.5300000003</v>
      </c>
      <c r="G12" s="74">
        <f>F12-E12</f>
        <v>374086.89999999944</v>
      </c>
      <c r="H12" s="20"/>
      <c r="I12" s="59"/>
    </row>
    <row r="13" spans="1:9" s="32" customFormat="1" x14ac:dyDescent="0.25">
      <c r="A13" s="34"/>
      <c r="B13" s="73"/>
      <c r="C13" s="71" t="s">
        <v>82</v>
      </c>
      <c r="D13" s="72"/>
      <c r="E13" s="72">
        <f>E30+E35</f>
        <v>-256766.58000000002</v>
      </c>
      <c r="F13" s="72"/>
      <c r="G13" s="72">
        <f t="shared" ref="G13" si="6">F13-E13</f>
        <v>256766.58000000002</v>
      </c>
      <c r="H13" s="20"/>
      <c r="I13" s="2"/>
    </row>
    <row r="14" spans="1:9" x14ac:dyDescent="0.25">
      <c r="A14" s="3"/>
      <c r="B14" s="71"/>
      <c r="C14" s="71" t="s">
        <v>51</v>
      </c>
      <c r="D14" s="72">
        <f>D20+D25+D31+D36</f>
        <v>-5804611</v>
      </c>
      <c r="E14" s="72">
        <f t="shared" ref="E14:F14" si="7">E20+E25+E31+E36</f>
        <v>-5852050</v>
      </c>
      <c r="F14" s="72">
        <f t="shared" si="7"/>
        <v>-5824414.1799999997</v>
      </c>
      <c r="G14" s="72">
        <f t="shared" ref="G14:G18" si="8">F14-E14</f>
        <v>27635.820000000298</v>
      </c>
      <c r="I14" s="2"/>
    </row>
    <row r="15" spans="1:9" x14ac:dyDescent="0.25">
      <c r="A15" s="3"/>
      <c r="B15" s="71"/>
      <c r="C15" s="71" t="s">
        <v>52</v>
      </c>
      <c r="D15" s="72">
        <f>D21+D26+D32+D37</f>
        <v>-802849</v>
      </c>
      <c r="E15" s="72">
        <f t="shared" ref="E15:F15" si="9">E21+E26+E32+E37</f>
        <v>-879767.77</v>
      </c>
      <c r="F15" s="72">
        <f t="shared" si="9"/>
        <v>-786273.63</v>
      </c>
      <c r="G15" s="72">
        <f t="shared" si="8"/>
        <v>93494.140000000014</v>
      </c>
      <c r="I15" s="2"/>
    </row>
    <row r="16" spans="1:9" x14ac:dyDescent="0.25">
      <c r="A16" s="3"/>
      <c r="B16" s="71"/>
      <c r="C16" s="71" t="s">
        <v>71</v>
      </c>
      <c r="D16" s="72">
        <f>D22</f>
        <v>-10535</v>
      </c>
      <c r="E16" s="72">
        <f t="shared" ref="E16:F16" si="10">E22</f>
        <v>-10535</v>
      </c>
      <c r="F16" s="72">
        <f t="shared" si="10"/>
        <v>-13535</v>
      </c>
      <c r="G16" s="72">
        <f t="shared" si="8"/>
        <v>-3000</v>
      </c>
      <c r="I16" s="2"/>
    </row>
    <row r="17" spans="1:9" x14ac:dyDescent="0.25">
      <c r="A17" s="3"/>
      <c r="B17" s="71"/>
      <c r="C17" s="71" t="s">
        <v>72</v>
      </c>
      <c r="D17" s="72">
        <f>D39+D27+D23</f>
        <v>-211000</v>
      </c>
      <c r="E17" s="72">
        <f>E39+E27+E23</f>
        <v>-211000</v>
      </c>
      <c r="F17" s="72">
        <f>F39+F27+F23</f>
        <v>-207744.61</v>
      </c>
      <c r="G17" s="72">
        <f t="shared" si="8"/>
        <v>3255.390000000014</v>
      </c>
      <c r="I17" s="2"/>
    </row>
    <row r="18" spans="1:9" x14ac:dyDescent="0.25">
      <c r="A18" s="3"/>
      <c r="B18" s="71"/>
      <c r="C18" s="71" t="s">
        <v>48</v>
      </c>
      <c r="D18" s="72">
        <f>D28+D33+D38</f>
        <v>-132594</v>
      </c>
      <c r="E18" s="72">
        <f t="shared" ref="E18:F18" si="11">E28+E33+E38</f>
        <v>-136846.07999999999</v>
      </c>
      <c r="F18" s="72">
        <f t="shared" si="11"/>
        <v>-140911.10999999999</v>
      </c>
      <c r="G18" s="72">
        <f t="shared" si="8"/>
        <v>-4065.0299999999988</v>
      </c>
      <c r="I18" s="2"/>
    </row>
    <row r="19" spans="1:9" x14ac:dyDescent="0.25">
      <c r="A19" s="34"/>
      <c r="B19" s="73"/>
      <c r="C19" s="73" t="s">
        <v>75</v>
      </c>
      <c r="D19" s="74">
        <f>SUM(D20:D23)</f>
        <v>-4167054</v>
      </c>
      <c r="E19" s="74">
        <f t="shared" ref="E19:F19" si="12">SUM(E20:E23)</f>
        <v>-4332727.7699999996</v>
      </c>
      <c r="F19" s="74">
        <f t="shared" si="12"/>
        <v>-4125732.2299999995</v>
      </c>
      <c r="G19" s="74">
        <f>F19-E19</f>
        <v>206995.54000000004</v>
      </c>
      <c r="I19" s="2"/>
    </row>
    <row r="20" spans="1:9" x14ac:dyDescent="0.25">
      <c r="A20" s="3"/>
      <c r="B20" s="71"/>
      <c r="C20" s="71" t="s">
        <v>51</v>
      </c>
      <c r="D20" s="72">
        <v>-3417910</v>
      </c>
      <c r="E20" s="72">
        <f>D20-47439</f>
        <v>-3465349</v>
      </c>
      <c r="F20" s="72">
        <v>-3403504.32</v>
      </c>
      <c r="G20" s="72">
        <f t="shared" ref="G20:G23" si="13">F20-E20</f>
        <v>61844.680000000168</v>
      </c>
      <c r="I20" s="2"/>
    </row>
    <row r="21" spans="1:9" x14ac:dyDescent="0.25">
      <c r="A21" s="3"/>
      <c r="B21" s="71"/>
      <c r="C21" s="71" t="s">
        <v>52</v>
      </c>
      <c r="D21" s="72">
        <v>-738609</v>
      </c>
      <c r="E21" s="72">
        <f>D21-9466.77-108768</f>
        <v>-856843.77</v>
      </c>
      <c r="F21" s="72">
        <v>-707492.15</v>
      </c>
      <c r="G21" s="72">
        <f t="shared" si="13"/>
        <v>149351.62</v>
      </c>
      <c r="I21" s="2"/>
    </row>
    <row r="22" spans="1:9" x14ac:dyDescent="0.25">
      <c r="A22" s="3"/>
      <c r="B22" s="71"/>
      <c r="C22" s="71" t="s">
        <v>71</v>
      </c>
      <c r="D22" s="72">
        <v>-10535</v>
      </c>
      <c r="E22" s="72">
        <f t="shared" ref="E22" si="14">D22</f>
        <v>-10535</v>
      </c>
      <c r="F22" s="72">
        <v>-13535</v>
      </c>
      <c r="G22" s="72">
        <f t="shared" si="13"/>
        <v>-3000</v>
      </c>
      <c r="I22" s="2"/>
    </row>
    <row r="23" spans="1:9" x14ac:dyDescent="0.25">
      <c r="A23" s="3"/>
      <c r="B23" s="71"/>
      <c r="C23" s="71" t="s">
        <v>53</v>
      </c>
      <c r="D23" s="72">
        <v>0</v>
      </c>
      <c r="E23" s="72">
        <v>0</v>
      </c>
      <c r="F23" s="72">
        <v>-1200.76</v>
      </c>
      <c r="G23" s="72">
        <f t="shared" si="13"/>
        <v>-1200.76</v>
      </c>
      <c r="I23" s="2"/>
    </row>
    <row r="24" spans="1:9" x14ac:dyDescent="0.25">
      <c r="A24" s="34"/>
      <c r="B24" s="71"/>
      <c r="C24" s="73" t="s">
        <v>76</v>
      </c>
      <c r="D24" s="74">
        <f>SUM(D25:D28)</f>
        <v>-2542219</v>
      </c>
      <c r="E24" s="74">
        <f t="shared" ref="E24" si="15">SUM(E25:E28)</f>
        <v>-2542219</v>
      </c>
      <c r="F24" s="74">
        <f t="shared" ref="F24" si="16">SUM(F25:F28)</f>
        <v>-2544077.69</v>
      </c>
      <c r="G24" s="74">
        <f>F24-E24</f>
        <v>-1858.6899999999441</v>
      </c>
      <c r="I24" s="2"/>
    </row>
    <row r="25" spans="1:9" x14ac:dyDescent="0.25">
      <c r="A25" s="3"/>
      <c r="B25" s="71"/>
      <c r="C25" s="71" t="s">
        <v>51</v>
      </c>
      <c r="D25" s="72">
        <v>-2386701</v>
      </c>
      <c r="E25" s="72">
        <f t="shared" ref="E25:E28" si="17">D25</f>
        <v>-2386701</v>
      </c>
      <c r="F25" s="75">
        <v>-2384356.15</v>
      </c>
      <c r="G25" s="72">
        <f t="shared" ref="G25:G28" si="18">F25-E25</f>
        <v>2344.8500000000931</v>
      </c>
      <c r="I25" s="2"/>
    </row>
    <row r="26" spans="1:9" x14ac:dyDescent="0.25">
      <c r="A26" s="3"/>
      <c r="B26" s="71"/>
      <c r="C26" s="71" t="s">
        <v>52</v>
      </c>
      <c r="D26" s="72">
        <v>-22924</v>
      </c>
      <c r="E26" s="72">
        <f t="shared" si="17"/>
        <v>-22924</v>
      </c>
      <c r="F26" s="72">
        <v>-23023.68</v>
      </c>
      <c r="G26" s="72">
        <f t="shared" si="18"/>
        <v>-99.680000000000291</v>
      </c>
      <c r="I26" s="2"/>
    </row>
    <row r="27" spans="1:9" x14ac:dyDescent="0.25">
      <c r="A27" s="3"/>
      <c r="B27" s="71"/>
      <c r="C27" s="71" t="s">
        <v>53</v>
      </c>
      <c r="D27" s="72">
        <v>0</v>
      </c>
      <c r="E27" s="72">
        <v>0</v>
      </c>
      <c r="F27" s="72">
        <v>-38.83</v>
      </c>
      <c r="G27" s="72">
        <f t="shared" si="18"/>
        <v>-38.83</v>
      </c>
      <c r="I27" s="2"/>
    </row>
    <row r="28" spans="1:9" x14ac:dyDescent="0.25">
      <c r="A28" s="3"/>
      <c r="B28" s="71"/>
      <c r="C28" s="71" t="s">
        <v>48</v>
      </c>
      <c r="D28" s="72">
        <v>-132594</v>
      </c>
      <c r="E28" s="72">
        <f t="shared" si="17"/>
        <v>-132594</v>
      </c>
      <c r="F28" s="72">
        <f>-136486.42-172.61</f>
        <v>-136659.03</v>
      </c>
      <c r="G28" s="72">
        <f t="shared" si="18"/>
        <v>-4065.0299999999988</v>
      </c>
      <c r="I28" s="2"/>
    </row>
    <row r="29" spans="1:9" s="32" customFormat="1" x14ac:dyDescent="0.25">
      <c r="A29" s="34"/>
      <c r="B29" s="73"/>
      <c r="C29" s="73" t="s">
        <v>77</v>
      </c>
      <c r="D29" s="74">
        <f>SUM(D30:D33)</f>
        <v>-38816</v>
      </c>
      <c r="E29" s="74">
        <f t="shared" ref="E29:F29" si="19">SUM(E30:E33)</f>
        <v>-175377.04</v>
      </c>
      <c r="F29" s="74">
        <f t="shared" si="19"/>
        <v>-50226.950000000004</v>
      </c>
      <c r="G29" s="74">
        <f>F29-E29</f>
        <v>125150.09</v>
      </c>
      <c r="H29" s="20"/>
      <c r="I29" s="2"/>
    </row>
    <row r="30" spans="1:9" x14ac:dyDescent="0.25">
      <c r="A30" s="3"/>
      <c r="B30" s="71"/>
      <c r="C30" s="71" t="s">
        <v>82</v>
      </c>
      <c r="D30" s="72"/>
      <c r="E30" s="72">
        <v>-173952.14</v>
      </c>
      <c r="F30" s="72"/>
      <c r="G30" s="72">
        <f t="shared" ref="G30:G33" si="20">F30-E30</f>
        <v>173952.14</v>
      </c>
      <c r="I30" s="2"/>
    </row>
    <row r="31" spans="1:9" x14ac:dyDescent="0.25">
      <c r="A31" s="3"/>
      <c r="B31" s="71"/>
      <c r="C31" s="71" t="s">
        <v>51</v>
      </c>
      <c r="D31" s="72">
        <v>0</v>
      </c>
      <c r="E31" s="72"/>
      <c r="F31" s="72">
        <v>-34078.85</v>
      </c>
      <c r="G31" s="72">
        <f t="shared" ref="G31" si="21">F31-E31</f>
        <v>-34078.85</v>
      </c>
      <c r="I31" s="2"/>
    </row>
    <row r="32" spans="1:9" x14ac:dyDescent="0.25">
      <c r="A32" s="3"/>
      <c r="B32" s="71"/>
      <c r="C32" s="71" t="s">
        <v>52</v>
      </c>
      <c r="D32" s="72">
        <v>-38816</v>
      </c>
      <c r="E32" s="72"/>
      <c r="F32" s="72">
        <v>-14723.2</v>
      </c>
      <c r="G32" s="72">
        <f t="shared" si="20"/>
        <v>-14723.2</v>
      </c>
      <c r="I32" s="2"/>
    </row>
    <row r="33" spans="1:9" x14ac:dyDescent="0.25">
      <c r="A33" s="3"/>
      <c r="B33" s="71"/>
      <c r="C33" s="71" t="s">
        <v>48</v>
      </c>
      <c r="D33" s="72">
        <v>0</v>
      </c>
      <c r="E33" s="72">
        <v>-1424.9</v>
      </c>
      <c r="F33" s="72">
        <v>-1424.9</v>
      </c>
      <c r="G33" s="72">
        <f t="shared" si="20"/>
        <v>0</v>
      </c>
      <c r="I33" s="2"/>
    </row>
    <row r="34" spans="1:9" s="32" customFormat="1" x14ac:dyDescent="0.25">
      <c r="A34" s="34"/>
      <c r="B34" s="73"/>
      <c r="C34" s="73" t="s">
        <v>78</v>
      </c>
      <c r="D34" s="74">
        <f>SUM(D35:D38)</f>
        <v>-2500</v>
      </c>
      <c r="E34" s="74">
        <f t="shared" ref="E34:F34" si="22">SUM(E35:E38)</f>
        <v>-85641.62</v>
      </c>
      <c r="F34" s="74">
        <f t="shared" si="22"/>
        <v>-46336.639999999999</v>
      </c>
      <c r="G34" s="74">
        <f>F34-E34</f>
        <v>39304.979999999996</v>
      </c>
      <c r="H34" s="20"/>
      <c r="I34" s="2"/>
    </row>
    <row r="35" spans="1:9" s="32" customFormat="1" x14ac:dyDescent="0.25">
      <c r="A35" s="34"/>
      <c r="B35" s="73"/>
      <c r="C35" s="71" t="s">
        <v>82</v>
      </c>
      <c r="D35" s="72"/>
      <c r="E35" s="72">
        <v>-82814.44</v>
      </c>
      <c r="F35" s="72"/>
      <c r="G35" s="72">
        <f t="shared" ref="G35:G38" si="23">F35-E35</f>
        <v>82814.44</v>
      </c>
      <c r="H35" s="20"/>
      <c r="I35" s="2"/>
    </row>
    <row r="36" spans="1:9" x14ac:dyDescent="0.25">
      <c r="A36" s="3"/>
      <c r="B36" s="71"/>
      <c r="C36" s="71" t="s">
        <v>51</v>
      </c>
      <c r="D36" s="72">
        <v>0</v>
      </c>
      <c r="E36" s="72"/>
      <c r="F36" s="72">
        <v>-2474.86</v>
      </c>
      <c r="G36" s="72">
        <f t="shared" si="23"/>
        <v>-2474.86</v>
      </c>
      <c r="I36" s="2"/>
    </row>
    <row r="37" spans="1:9" x14ac:dyDescent="0.25">
      <c r="A37" s="3"/>
      <c r="B37" s="71"/>
      <c r="C37" s="71" t="s">
        <v>52</v>
      </c>
      <c r="D37" s="72">
        <v>-2500</v>
      </c>
      <c r="E37" s="72"/>
      <c r="F37" s="72">
        <v>-41034.6</v>
      </c>
      <c r="G37" s="72">
        <f t="shared" si="23"/>
        <v>-41034.6</v>
      </c>
      <c r="I37" s="2"/>
    </row>
    <row r="38" spans="1:9" x14ac:dyDescent="0.25">
      <c r="A38" s="3"/>
      <c r="B38" s="71"/>
      <c r="C38" s="71" t="s">
        <v>48</v>
      </c>
      <c r="D38" s="72">
        <v>0</v>
      </c>
      <c r="E38" s="72">
        <v>-2827.18</v>
      </c>
      <c r="F38" s="72">
        <v>-2827.18</v>
      </c>
      <c r="G38" s="72">
        <f t="shared" si="23"/>
        <v>0</v>
      </c>
      <c r="I38" s="2"/>
    </row>
    <row r="39" spans="1:9" x14ac:dyDescent="0.25">
      <c r="A39" s="3"/>
      <c r="B39" s="71"/>
      <c r="C39" s="71" t="s">
        <v>79</v>
      </c>
      <c r="D39" s="72">
        <v>-211000</v>
      </c>
      <c r="E39" s="72">
        <f>D39</f>
        <v>-211000</v>
      </c>
      <c r="F39" s="72">
        <v>-206505.02</v>
      </c>
      <c r="G39" s="72">
        <f>F39-E39</f>
        <v>4494.9800000000105</v>
      </c>
      <c r="I39" s="2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9403-50E9-43C6-AF9D-B37F0A9328D9}">
  <dimension ref="A1:O14"/>
  <sheetViews>
    <sheetView workbookViewId="0">
      <selection activeCell="H19" sqref="H19"/>
    </sheetView>
  </sheetViews>
  <sheetFormatPr defaultRowHeight="15" x14ac:dyDescent="0.25"/>
  <cols>
    <col min="1" max="1" width="15.85546875" customWidth="1"/>
    <col min="2" max="2" width="39.140625" customWidth="1"/>
    <col min="3" max="3" width="16.7109375" style="36" bestFit="1" customWidth="1"/>
    <col min="4" max="4" width="16.140625" style="36" bestFit="1" customWidth="1"/>
    <col min="5" max="5" width="16.7109375" style="36" bestFit="1" customWidth="1"/>
    <col min="6" max="6" width="9.140625" style="20"/>
    <col min="7" max="7" width="16" style="20" bestFit="1" customWidth="1"/>
    <col min="8" max="8" width="16.7109375" style="20" bestFit="1" customWidth="1"/>
    <col min="9" max="9" width="15.85546875" style="20" bestFit="1" customWidth="1"/>
    <col min="11" max="11" width="14.28515625" bestFit="1" customWidth="1"/>
    <col min="13" max="13" width="14.28515625" bestFit="1" customWidth="1"/>
    <col min="14" max="14" width="10.7109375" bestFit="1" customWidth="1"/>
    <col min="15" max="15" width="13.28515625" customWidth="1"/>
  </cols>
  <sheetData>
    <row r="1" spans="1:15" x14ac:dyDescent="0.25">
      <c r="A1" s="14" t="s">
        <v>22</v>
      </c>
      <c r="B1" s="15"/>
      <c r="C1" s="39"/>
      <c r="D1" s="39"/>
      <c r="E1" s="39"/>
      <c r="F1" s="16"/>
      <c r="G1" s="17"/>
      <c r="H1" s="18"/>
      <c r="I1" s="19"/>
      <c r="J1" s="20"/>
    </row>
    <row r="2" spans="1:15" x14ac:dyDescent="0.25">
      <c r="A2" s="14" t="s">
        <v>23</v>
      </c>
      <c r="B2" s="15"/>
      <c r="C2" s="39"/>
      <c r="D2" s="39"/>
      <c r="E2" s="39"/>
      <c r="F2" s="16"/>
      <c r="G2" s="39"/>
      <c r="H2" s="39"/>
      <c r="I2" s="18"/>
      <c r="J2" s="20"/>
    </row>
    <row r="3" spans="1:15" x14ac:dyDescent="0.25">
      <c r="A3" s="14"/>
      <c r="B3" s="15"/>
      <c r="C3" s="40">
        <f>SUBTOTAL(9,C5:C15)</f>
        <v>-7116088.2699999996</v>
      </c>
      <c r="D3" s="40">
        <f>SUBTOTAL(9,D5:D15)</f>
        <v>-7116088.2699999986</v>
      </c>
      <c r="E3" s="40">
        <f>SUBTOTAL(9,E5:E15)</f>
        <v>0</v>
      </c>
      <c r="F3" s="16"/>
      <c r="G3" s="40">
        <f>SUBTOTAL(9,G5:G15)</f>
        <v>-6874760.8099999996</v>
      </c>
      <c r="H3" s="40">
        <f>SUBTOTAL(9,H5:H15)</f>
        <v>-6874760.8100000005</v>
      </c>
      <c r="I3" s="40">
        <f>SUBTOTAL(9,I5:I15)</f>
        <v>0</v>
      </c>
    </row>
    <row r="4" spans="1:15" ht="25.5" x14ac:dyDescent="0.25">
      <c r="A4" s="21" t="s">
        <v>28</v>
      </c>
      <c r="B4" s="21" t="s">
        <v>24</v>
      </c>
      <c r="C4" s="41" t="s">
        <v>83</v>
      </c>
      <c r="D4" s="41" t="s">
        <v>84</v>
      </c>
      <c r="E4" s="41" t="s">
        <v>85</v>
      </c>
      <c r="F4" s="43" t="s">
        <v>25</v>
      </c>
      <c r="G4" s="22" t="s">
        <v>66</v>
      </c>
      <c r="H4" s="22" t="s">
        <v>67</v>
      </c>
      <c r="I4" s="22" t="s">
        <v>68</v>
      </c>
      <c r="J4" s="21" t="s">
        <v>25</v>
      </c>
    </row>
    <row r="5" spans="1:15" x14ac:dyDescent="0.25">
      <c r="A5" s="3" t="s">
        <v>27</v>
      </c>
      <c r="B5" s="3" t="s">
        <v>5</v>
      </c>
      <c r="C5" s="76">
        <v>277112.03999999998</v>
      </c>
      <c r="D5" s="77">
        <f>aruanne!E6</f>
        <v>277112.03999999998</v>
      </c>
      <c r="E5" s="77">
        <f t="shared" ref="E5:E14" si="0">C5-D5</f>
        <v>0</v>
      </c>
      <c r="F5" s="33"/>
      <c r="G5" s="33">
        <v>278980.17</v>
      </c>
      <c r="H5" s="77">
        <f>aruanne!F6</f>
        <v>278980.17</v>
      </c>
      <c r="I5" s="77">
        <f t="shared" ref="I5:I14" si="1">G5-H5</f>
        <v>0</v>
      </c>
      <c r="J5" s="3"/>
      <c r="K5" s="20"/>
      <c r="O5" s="20"/>
    </row>
    <row r="6" spans="1:15" x14ac:dyDescent="0.25">
      <c r="A6" s="3" t="s">
        <v>27</v>
      </c>
      <c r="B6" s="3" t="s">
        <v>57</v>
      </c>
      <c r="C6" s="76">
        <v>5074.6899999999996</v>
      </c>
      <c r="D6" s="77">
        <f>aruanne!E7</f>
        <v>5074.6899999999996</v>
      </c>
      <c r="E6" s="77">
        <f t="shared" si="0"/>
        <v>0</v>
      </c>
      <c r="F6" s="33"/>
      <c r="G6" s="33">
        <v>41447.949999999997</v>
      </c>
      <c r="H6" s="77">
        <f>aruanne!F7</f>
        <v>41447.949999999997</v>
      </c>
      <c r="I6" s="77">
        <f t="shared" si="1"/>
        <v>0</v>
      </c>
      <c r="J6" s="3"/>
      <c r="K6" s="20"/>
      <c r="O6" s="20"/>
    </row>
    <row r="7" spans="1:15" x14ac:dyDescent="0.25">
      <c r="A7" s="3" t="s">
        <v>27</v>
      </c>
      <c r="B7" s="3" t="s">
        <v>4</v>
      </c>
      <c r="C7" s="76">
        <v>85862.63</v>
      </c>
      <c r="D7" s="77">
        <f>aruanne!E8+aruanne!E18</f>
        <v>85862.63</v>
      </c>
      <c r="E7" s="77">
        <f t="shared" si="0"/>
        <v>0</v>
      </c>
      <c r="F7" s="33"/>
      <c r="G7" s="33">
        <v>55626.720000000001</v>
      </c>
      <c r="H7" s="77">
        <f>aruanne!F8+aruanne!F18</f>
        <v>55626.720000000001</v>
      </c>
      <c r="I7" s="77">
        <f t="shared" si="1"/>
        <v>0</v>
      </c>
      <c r="J7" s="3"/>
      <c r="K7" s="20"/>
      <c r="O7" s="20"/>
    </row>
    <row r="8" spans="1:15" x14ac:dyDescent="0.25">
      <c r="A8" s="3" t="s">
        <v>27</v>
      </c>
      <c r="B8" s="3" t="s">
        <v>7</v>
      </c>
      <c r="C8" s="76">
        <v>0</v>
      </c>
      <c r="D8" s="77">
        <f>aruanne!E9</f>
        <v>0</v>
      </c>
      <c r="E8" s="77">
        <f t="shared" si="0"/>
        <v>0</v>
      </c>
      <c r="F8" s="33"/>
      <c r="G8" s="33">
        <v>10000</v>
      </c>
      <c r="H8" s="77">
        <f>aruanne!F9</f>
        <v>10000</v>
      </c>
      <c r="I8" s="77">
        <f t="shared" si="1"/>
        <v>0</v>
      </c>
      <c r="J8" s="3"/>
      <c r="K8" s="20"/>
      <c r="O8" s="20"/>
    </row>
    <row r="9" spans="1:15" x14ac:dyDescent="0.25">
      <c r="A9" s="3" t="s">
        <v>27</v>
      </c>
      <c r="B9" s="3" t="s">
        <v>8</v>
      </c>
      <c r="C9" s="76">
        <v>39713.08</v>
      </c>
      <c r="D9" s="77">
        <f>aruanne!E10</f>
        <v>39713.08</v>
      </c>
      <c r="E9" s="77">
        <f t="shared" si="0"/>
        <v>0</v>
      </c>
      <c r="F9" s="33"/>
      <c r="G9" s="33">
        <v>17956.2</v>
      </c>
      <c r="H9" s="77">
        <f>aruanne!F10</f>
        <v>17956.2</v>
      </c>
      <c r="I9" s="77">
        <f t="shared" si="1"/>
        <v>0</v>
      </c>
      <c r="J9" s="3"/>
      <c r="K9" s="20"/>
      <c r="O9" s="20"/>
    </row>
    <row r="10" spans="1:15" x14ac:dyDescent="0.25">
      <c r="A10" s="3" t="s">
        <v>27</v>
      </c>
      <c r="B10" s="3" t="s">
        <v>60</v>
      </c>
      <c r="C10" s="76">
        <f>-7034367.91-C12-C14</f>
        <v>-6886916.4199999999</v>
      </c>
      <c r="D10" s="77">
        <f>aruanne!E11-D12+aruanne!E20</f>
        <v>-6886916.419999999</v>
      </c>
      <c r="E10" s="77">
        <f t="shared" si="0"/>
        <v>0</v>
      </c>
      <c r="F10" s="33"/>
      <c r="G10" s="33">
        <f>-6911464.85-G12-G14</f>
        <v>-6779994.3899999997</v>
      </c>
      <c r="H10" s="77">
        <f>aruanne!F11-H12+aruanne!F20</f>
        <v>-6779994.3900000006</v>
      </c>
      <c r="I10" s="77">
        <f t="shared" si="1"/>
        <v>0</v>
      </c>
      <c r="J10" s="3"/>
      <c r="K10" s="20"/>
      <c r="O10" s="20"/>
    </row>
    <row r="11" spans="1:15" x14ac:dyDescent="0.25">
      <c r="A11" s="3" t="s">
        <v>27</v>
      </c>
      <c r="B11" s="3" t="s">
        <v>26</v>
      </c>
      <c r="C11" s="76">
        <v>-461922</v>
      </c>
      <c r="D11" s="77">
        <f>aruanne!E19</f>
        <v>-461922</v>
      </c>
      <c r="E11" s="77">
        <f t="shared" si="0"/>
        <v>0</v>
      </c>
      <c r="F11" s="33"/>
      <c r="G11" s="33">
        <v>-367307</v>
      </c>
      <c r="H11" s="77">
        <f>aruanne!F19</f>
        <v>-367307</v>
      </c>
      <c r="I11" s="77">
        <f t="shared" si="1"/>
        <v>0</v>
      </c>
      <c r="J11" s="3"/>
      <c r="K11" s="20"/>
      <c r="O11" s="20"/>
    </row>
    <row r="12" spans="1:15" x14ac:dyDescent="0.25">
      <c r="A12" s="3" t="s">
        <v>27</v>
      </c>
      <c r="B12" s="3" t="s">
        <v>49</v>
      </c>
      <c r="C12" s="76">
        <v>-140911.10999999999</v>
      </c>
      <c r="D12" s="77">
        <f>aruanne!E13</f>
        <v>-140911.10999999999</v>
      </c>
      <c r="E12" s="77">
        <f t="shared" si="0"/>
        <v>0</v>
      </c>
      <c r="F12" s="33"/>
      <c r="G12" s="33">
        <v>-131470.46</v>
      </c>
      <c r="H12" s="77">
        <f>aruanne!F13</f>
        <v>-131470.46</v>
      </c>
      <c r="I12" s="77">
        <f t="shared" si="1"/>
        <v>0</v>
      </c>
      <c r="J12" s="3"/>
      <c r="K12" s="20"/>
      <c r="O12" s="20"/>
    </row>
    <row r="13" spans="1:15" x14ac:dyDescent="0.25">
      <c r="A13" s="3" t="s">
        <v>27</v>
      </c>
      <c r="B13" s="3" t="s">
        <v>20</v>
      </c>
      <c r="C13" s="76">
        <f>-23850-3710.8</f>
        <v>-27560.799999999999</v>
      </c>
      <c r="D13" s="77">
        <f>aruanne!E14-D14</f>
        <v>-27560.799999999999</v>
      </c>
      <c r="E13" s="77">
        <f t="shared" ref="E13" si="2">C13-D13</f>
        <v>0</v>
      </c>
      <c r="F13" s="33"/>
      <c r="G13" s="33">
        <v>0</v>
      </c>
      <c r="H13" s="77">
        <f>aruanne!F14-H14</f>
        <v>0</v>
      </c>
      <c r="I13" s="77">
        <f t="shared" si="1"/>
        <v>0</v>
      </c>
      <c r="J13" s="3"/>
      <c r="K13" s="20"/>
      <c r="O13" s="20"/>
    </row>
    <row r="14" spans="1:15" x14ac:dyDescent="0.25">
      <c r="A14" s="3" t="s">
        <v>27</v>
      </c>
      <c r="B14" s="3" t="s">
        <v>59</v>
      </c>
      <c r="C14" s="76">
        <v>-6540.38</v>
      </c>
      <c r="D14" s="77">
        <f>aruanne!E16</f>
        <v>-6540.38</v>
      </c>
      <c r="E14" s="77">
        <f t="shared" si="0"/>
        <v>0</v>
      </c>
      <c r="F14" s="33"/>
      <c r="G14" s="33">
        <v>0</v>
      </c>
      <c r="H14" s="77">
        <f>aruanne!F16</f>
        <v>0</v>
      </c>
      <c r="I14" s="77">
        <f t="shared" si="1"/>
        <v>0</v>
      </c>
      <c r="J14" s="3"/>
      <c r="K14" s="20"/>
      <c r="O14" s="20"/>
    </row>
  </sheetData>
  <autoFilter ref="A4:J15" xr:uid="{EF1F9403-50E9-43C6-AF9D-B37F0A9328D9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086A9-CF0E-4B82-AA53-D93B7E26FB31}">
  <dimension ref="A1:F32"/>
  <sheetViews>
    <sheetView topLeftCell="A2" workbookViewId="0">
      <pane xSplit="1" ySplit="4" topLeftCell="B9" activePane="bottomRight" state="frozen"/>
      <selection activeCell="A2" sqref="A2"/>
      <selection pane="topRight" activeCell="B2" sqref="B2"/>
      <selection pane="bottomLeft" activeCell="A7" sqref="A7"/>
      <selection pane="bottomRight" activeCell="I19" sqref="I19"/>
    </sheetView>
  </sheetViews>
  <sheetFormatPr defaultRowHeight="15" x14ac:dyDescent="0.25"/>
  <cols>
    <col min="1" max="1" width="58.28515625" customWidth="1"/>
    <col min="3" max="3" width="15" customWidth="1"/>
  </cols>
  <sheetData>
    <row r="1" spans="1:6" x14ac:dyDescent="0.25">
      <c r="A1" s="14" t="s">
        <v>22</v>
      </c>
    </row>
    <row r="2" spans="1:6" x14ac:dyDescent="0.25">
      <c r="A2" s="14" t="s">
        <v>29</v>
      </c>
    </row>
    <row r="3" spans="1:6" x14ac:dyDescent="0.25">
      <c r="A3" s="23" t="s">
        <v>0</v>
      </c>
    </row>
    <row r="4" spans="1:6" x14ac:dyDescent="0.25">
      <c r="A4" s="14"/>
      <c r="B4" s="15">
        <v>5</v>
      </c>
      <c r="C4" s="15">
        <v>5</v>
      </c>
    </row>
    <row r="5" spans="1:6" ht="52.5" customHeight="1" x14ac:dyDescent="0.25">
      <c r="A5" s="24"/>
      <c r="B5" s="25" t="s">
        <v>30</v>
      </c>
      <c r="C5" s="25" t="s">
        <v>62</v>
      </c>
    </row>
    <row r="6" spans="1:6" x14ac:dyDescent="0.25">
      <c r="A6" s="26" t="s">
        <v>31</v>
      </c>
      <c r="B6" s="27">
        <f>aruanne!C5</f>
        <v>341612</v>
      </c>
      <c r="C6" s="78">
        <f>aruanne!C11+aruanne!C14</f>
        <v>-6961589</v>
      </c>
    </row>
    <row r="7" spans="1:6" x14ac:dyDescent="0.25">
      <c r="A7" s="26" t="s">
        <v>32</v>
      </c>
      <c r="B7" s="27"/>
      <c r="C7" s="78">
        <v>-343339.87</v>
      </c>
    </row>
    <row r="8" spans="1:6" x14ac:dyDescent="0.25">
      <c r="A8" s="26" t="s">
        <v>80</v>
      </c>
      <c r="B8" s="27"/>
      <c r="C8" s="27"/>
    </row>
    <row r="9" spans="1:6" x14ac:dyDescent="0.25">
      <c r="A9" s="26" t="s">
        <v>81</v>
      </c>
      <c r="B9" s="27"/>
      <c r="C9" s="27"/>
    </row>
    <row r="10" spans="1:6" x14ac:dyDescent="0.25">
      <c r="A10" s="28" t="s">
        <v>63</v>
      </c>
      <c r="B10" s="27"/>
      <c r="C10" s="27"/>
    </row>
    <row r="11" spans="1:6" x14ac:dyDescent="0.25">
      <c r="A11" s="28" t="s">
        <v>33</v>
      </c>
      <c r="B11" s="27"/>
      <c r="C11" s="27"/>
    </row>
    <row r="12" spans="1:6" x14ac:dyDescent="0.25">
      <c r="A12" s="79" t="s">
        <v>34</v>
      </c>
      <c r="B12" s="60"/>
      <c r="C12" s="78">
        <v>29112</v>
      </c>
      <c r="D12" s="61"/>
      <c r="E12" s="61"/>
      <c r="F12" s="61"/>
    </row>
    <row r="13" spans="1:6" x14ac:dyDescent="0.25">
      <c r="A13" s="79" t="s">
        <v>35</v>
      </c>
      <c r="B13" s="27"/>
      <c r="C13" s="78">
        <v>-211012.72</v>
      </c>
    </row>
    <row r="14" spans="1:6" x14ac:dyDescent="0.25">
      <c r="A14" s="79" t="s">
        <v>55</v>
      </c>
      <c r="B14" s="27"/>
      <c r="C14" s="78">
        <f>38816-29112</f>
        <v>9704</v>
      </c>
      <c r="D14" s="61"/>
    </row>
    <row r="15" spans="1:6" x14ac:dyDescent="0.25">
      <c r="A15" s="79" t="s">
        <v>56</v>
      </c>
      <c r="B15" s="27"/>
      <c r="C15" s="78"/>
    </row>
    <row r="16" spans="1:6" x14ac:dyDescent="0.25">
      <c r="A16" s="79" t="s">
        <v>36</v>
      </c>
      <c r="B16" s="27"/>
      <c r="C16" s="78"/>
    </row>
    <row r="17" spans="1:6" x14ac:dyDescent="0.25">
      <c r="A17" s="79" t="s">
        <v>37</v>
      </c>
      <c r="B17" s="27"/>
      <c r="C17" s="78"/>
    </row>
    <row r="18" spans="1:6" x14ac:dyDescent="0.25">
      <c r="A18" s="79" t="s">
        <v>38</v>
      </c>
      <c r="B18" s="27"/>
      <c r="C18" s="78"/>
    </row>
    <row r="19" spans="1:6" x14ac:dyDescent="0.25">
      <c r="A19" s="79" t="s">
        <v>39</v>
      </c>
      <c r="B19" s="60"/>
      <c r="C19" s="78">
        <v>2500</v>
      </c>
      <c r="D19" s="61"/>
      <c r="E19" s="61"/>
      <c r="F19" s="61"/>
    </row>
    <row r="20" spans="1:6" x14ac:dyDescent="0.25">
      <c r="A20" s="79" t="s">
        <v>40</v>
      </c>
      <c r="B20" s="27"/>
      <c r="C20" s="78">
        <v>-5074.6899999999996</v>
      </c>
    </row>
    <row r="21" spans="1:6" x14ac:dyDescent="0.25">
      <c r="A21" s="79" t="s">
        <v>41</v>
      </c>
      <c r="B21" s="27"/>
      <c r="C21" s="78"/>
    </row>
    <row r="22" spans="1:6" x14ac:dyDescent="0.25">
      <c r="A22" s="79" t="s">
        <v>64</v>
      </c>
      <c r="B22" s="27"/>
      <c r="C22" s="78">
        <v>-17265.150000000001</v>
      </c>
    </row>
    <row r="23" spans="1:6" x14ac:dyDescent="0.25">
      <c r="A23" s="79" t="s">
        <v>42</v>
      </c>
      <c r="B23" s="27"/>
      <c r="C23" s="78"/>
    </row>
    <row r="24" spans="1:6" x14ac:dyDescent="0.25">
      <c r="A24" s="79" t="s">
        <v>43</v>
      </c>
      <c r="B24" s="27"/>
      <c r="C24" s="78"/>
    </row>
    <row r="25" spans="1:6" x14ac:dyDescent="0.25">
      <c r="A25" s="26" t="s">
        <v>44</v>
      </c>
      <c r="B25" s="27"/>
      <c r="C25" s="78"/>
    </row>
    <row r="26" spans="1:6" x14ac:dyDescent="0.25">
      <c r="A26" s="26" t="s">
        <v>45</v>
      </c>
      <c r="B26" s="27"/>
      <c r="C26" s="27"/>
    </row>
    <row r="27" spans="1:6" x14ac:dyDescent="0.25">
      <c r="A27" s="26" t="s">
        <v>46</v>
      </c>
      <c r="B27" s="27"/>
      <c r="C27" s="27"/>
    </row>
    <row r="28" spans="1:6" x14ac:dyDescent="0.25">
      <c r="A28" s="29" t="s">
        <v>47</v>
      </c>
      <c r="B28" s="30">
        <f t="shared" ref="B28:C28" si="0">SUM(B6:B27)</f>
        <v>341612</v>
      </c>
      <c r="C28" s="30">
        <f t="shared" si="0"/>
        <v>-7496965.4300000006</v>
      </c>
    </row>
    <row r="29" spans="1:6" x14ac:dyDescent="0.25">
      <c r="A29" s="31"/>
      <c r="B29" s="31">
        <f>aruanne!D5</f>
        <v>341612</v>
      </c>
      <c r="C29" s="31">
        <f>aruanne!D11+aruanne!D14</f>
        <v>-7496965.4299999997</v>
      </c>
    </row>
    <row r="30" spans="1:6" x14ac:dyDescent="0.25">
      <c r="A30" s="31"/>
      <c r="B30" s="31">
        <f t="shared" ref="B30:C30" si="1">B28-B29</f>
        <v>0</v>
      </c>
      <c r="C30" s="31">
        <f t="shared" si="1"/>
        <v>0</v>
      </c>
    </row>
    <row r="32" spans="1:6" x14ac:dyDescent="0.25">
      <c r="C32" s="2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HAoktoober2025A_x002e_11398940t_x002e_1001515812summas495_x002c_92 xmlns="19db9c30-584d-4ad5-9af0-9aa7f98fdc73" xsi:nil="true"/>
    <lcf76f155ced4ddcb4097134ff3c332f xmlns="19db9c30-584d-4ad5-9af0-9aa7f98fdc73">
      <Terms xmlns="http://schemas.microsoft.com/office/infopath/2007/PartnerControls"/>
    </lcf76f155ced4ddcb4097134ff3c332f>
    <TaxCatchAll xmlns="b8a1d2b4-14fc-4346-bc33-b5e3ce352a9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8ACCEF77512D40B856060F62DF5D0F" ma:contentTypeVersion="20" ma:contentTypeDescription="Create a new document." ma:contentTypeScope="" ma:versionID="9f3e62c7a7f2a6199da2558e8f1aa728">
  <xsd:schema xmlns:xsd="http://www.w3.org/2001/XMLSchema" xmlns:xs="http://www.w3.org/2001/XMLSchema" xmlns:p="http://schemas.microsoft.com/office/2006/metadata/properties" xmlns:ns2="19db9c30-584d-4ad5-9af0-9aa7f98fdc73" xmlns:ns3="b8a1d2b4-14fc-4346-bc33-b5e3ce352a93" targetNamespace="http://schemas.microsoft.com/office/2006/metadata/properties" ma:root="true" ma:fieldsID="efed93a330de55b3c424766a9daef056" ns2:_="" ns3:_="">
    <xsd:import namespace="19db9c30-584d-4ad5-9af0-9aa7f98fdc73"/>
    <xsd:import namespace="b8a1d2b4-14fc-4346-bc33-b5e3ce352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REHAoktoober2025A_x002e_11398940t_x002e_1001515812summas495_x002c_9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b9c30-584d-4ad5-9af0-9aa7f98fdc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EHAoktoober2025A_x002e_11398940t_x002e_1001515812summas495_x002c_92" ma:index="20" nillable="true" ma:displayName="REHA oktoober 2025 A.11398940 t.1001515812 summas 495,92" ma:description="Maarjamaa Riigikool_koondaruanne_10.25_1, 2 isikut, summa 495,92 €" ma:format="Dropdown" ma:internalName="REHAoktoober2025A_x002e_11398940t_x002e_1001515812summas495_x002c_92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1d2b4-14fc-4346-bc33-b5e3ce352a9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5e503bb-8001-4011-ab10-845891afb5e6}" ma:internalName="TaxCatchAll" ma:showField="CatchAllData" ma:web="b8a1d2b4-14fc-4346-bc33-b5e3ce352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1A47BC-F1B1-4A74-9626-407DE5A25E63}">
  <ds:schemaRefs>
    <ds:schemaRef ds:uri="b8a1d2b4-14fc-4346-bc33-b5e3ce352a93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19db9c30-584d-4ad5-9af0-9aa7f98fdc7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7412146-C64D-4B3C-AEDE-6AA1EDCC44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4402D5-492A-4000-813A-97D0E4046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db9c30-584d-4ad5-9af0-9aa7f98fdc73"/>
    <ds:schemaRef ds:uri="b8a1d2b4-14fc-4346-bc33-b5e3ce352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aruanne</vt:lpstr>
      <vt:lpstr>LISA</vt:lpstr>
      <vt:lpstr>vordlus</vt:lpstr>
      <vt:lpstr>lisa1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Juta Maar</dc:creator>
  <cp:lastModifiedBy>Monika Kask</cp:lastModifiedBy>
  <dcterms:created xsi:type="dcterms:W3CDTF">2022-02-14T16:37:54Z</dcterms:created>
  <dcterms:modified xsi:type="dcterms:W3CDTF">2026-03-24T14:06:36Z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2025-05-15T14:01:08Z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4b5872ad-0275-42f8-b861-6180ced29fc8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0x010100A98ACCEF77512D40B856060F62DF5D0F</vt:lpwstr>
  </property>
  <property fmtid="{D5CDD505-2E9C-101B-9397-08002B2CF9AE}" pid="11" name="MediaServiceImageTags">
    <vt:lpwstr/>
  </property>
</Properties>
</file>