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lta.kul.sise/dhs/webdav/87954d742e7e586889a4b9947ea6414c76f9b02e/48612085223/4d129d3d-1260-425b-a805-e76eb84f26d8/"/>
    </mc:Choice>
  </mc:AlternateContent>
  <xr:revisionPtr revIDLastSave="0" documentId="13_ncr:1_{96B0EA13-755E-4CAE-9B16-FBF65DE17D7F}" xr6:coauthVersionLast="47" xr6:coauthVersionMax="47" xr10:uidLastSave="{00000000-0000-0000-0000-000000000000}"/>
  <bookViews>
    <workbookView xWindow="2595" yWindow="2595" windowWidth="38700" windowHeight="15225" tabRatio="500" xr2:uid="{F8E7A09E-07BB-49CD-B659-8F5C4D26A8D9}"/>
  </bookViews>
  <sheets>
    <sheet name="Rakvere Teatrima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/>
  <c r="M17" i="1"/>
  <c r="N17" i="1"/>
  <c r="E21" i="1"/>
  <c r="F21" i="1"/>
  <c r="F50" i="1" s="1"/>
  <c r="G21" i="1"/>
  <c r="H21" i="1"/>
  <c r="K21" i="1"/>
  <c r="L21" i="1"/>
  <c r="M21" i="1"/>
  <c r="N21" i="1"/>
  <c r="E32" i="1"/>
  <c r="F32" i="1"/>
  <c r="G32" i="1"/>
  <c r="H32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K47" i="1"/>
  <c r="L47" i="1"/>
  <c r="M47" i="1"/>
  <c r="N47" i="1"/>
  <c r="I50" i="1"/>
  <c r="J50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F51" i="1" l="1"/>
  <c r="E50" i="1"/>
  <c r="E51" i="1"/>
  <c r="H50" i="1"/>
  <c r="H51" i="1"/>
  <c r="G51" i="1"/>
  <c r="G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tc={9B35DEAC-739B-47B8-A9D1-9F634F7CDA91}</author>
  </authors>
  <commentList>
    <comment ref="D41" authorId="0" shapeId="0" xr:uid="{9B35DEAC-739B-47B8-A9D1-9F634F7CDA91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https://kliimaministeerium.ee/rohereform-kliima/rohereform/keskkonnahoidlike-urituste-korraldamise-riiklik-juhis</t>
      </text>
    </comment>
  </commentList>
</comments>
</file>

<file path=xl/sharedStrings.xml><?xml version="1.0" encoding="utf-8"?>
<sst xmlns="http://schemas.openxmlformats.org/spreadsheetml/2006/main" count="302" uniqueCount="127">
  <si>
    <t>Jrk nr</t>
  </si>
  <si>
    <t>Eesmärgid</t>
  </si>
  <si>
    <t>Tulemusindikaatorid</t>
  </si>
  <si>
    <t>Allikas / metoodika</t>
  </si>
  <si>
    <t>Sihttase 2025</t>
  </si>
  <si>
    <t>Sihttase 2026</t>
  </si>
  <si>
    <t>Sihttase 2027</t>
  </si>
  <si>
    <t>Sihttase 2028</t>
  </si>
  <si>
    <t>STRATEEGILISED VALDKONDLIKUD EESMÄRGID</t>
  </si>
  <si>
    <t>VÕTMEINDIKAATORID</t>
  </si>
  <si>
    <t>Külastajate rahulolu</t>
  </si>
  <si>
    <t>ei mõõdetud</t>
  </si>
  <si>
    <t>vaheaasta</t>
  </si>
  <si>
    <t>Saalide keskmine täituvus lavastuste lõikes</t>
  </si>
  <si>
    <t>Teatri andmed</t>
  </si>
  <si>
    <t>Töötajate rahulolu</t>
  </si>
  <si>
    <t xml:space="preserve">Organisatsiooni rahulolu uuring kord kolme aasta jooksul. Taandatuna 100%-le. Kasutatakse 5-pallilist skaalat. </t>
  </si>
  <si>
    <t>4-4,5</t>
  </si>
  <si>
    <t>Etenduste arv aastas</t>
  </si>
  <si>
    <t>Eesti Teatri Agentuuri statistika</t>
  </si>
  <si>
    <t>Uuslavastuste arv aastas</t>
  </si>
  <si>
    <t>TÄPSEMAD VALDKONNAPÕHISED OOTUSED</t>
  </si>
  <si>
    <t xml:space="preserve">Tutvustada läbi mitmekesise etendustegevuse Eesti ja välismaist dramaturgiat, sh kogukonnale ja piirkonnale omast. </t>
  </si>
  <si>
    <t>Eesti algupäranditel põhinevate lavastuste arv uuslavastustest</t>
  </si>
  <si>
    <t>Eri riikidest pärit algupärandite arv</t>
  </si>
  <si>
    <t>Eraetendusasutuste ja muude kohalike kultuuriorganisatsioonidega koostöös loodud uuslavastuste arv</t>
  </si>
  <si>
    <t>Pakkuda mitmekesist  ligipääsetavat ja kättesaadavat etendusprogrammi piirkonna ja üle Eesti elanikkonnale</t>
  </si>
  <si>
    <t>Erinevatele vanuserühmadele antud etenduste arv</t>
  </si>
  <si>
    <t>Täiskasvanud 21-a</t>
  </si>
  <si>
    <t>Erinevatele vanuserühmadele antud etenduste külastajate arv:</t>
  </si>
  <si>
    <t>Kokku</t>
  </si>
  <si>
    <t>Haridustegevustes osalejate rahulolu pakutud tegevustega</t>
  </si>
  <si>
    <t>Publiku-uuring, soovitusindeks skaalal 
-100 kuni +100</t>
  </si>
  <si>
    <t>Aasta jooksul haridustegevustest osa saanud külastajate arv</t>
  </si>
  <si>
    <t>Võõrustatud külalisetenduste arv</t>
  </si>
  <si>
    <t>Teatrite andmed</t>
  </si>
  <si>
    <t>Tagada rahvusvahelise etenduskunstide festivali Baltoscandal sisukas ja jätkusuutlik toimimine</t>
  </si>
  <si>
    <t>Festivalil osalenud lavastuste arv</t>
  </si>
  <si>
    <t>Festivalil osalenud külastajate rahulolu (programmi, korraldusega)</t>
  </si>
  <si>
    <t>Soovitusindeks skaalal -100 kuni +100 (metoodikat täpsustatakse), teatri andmed</t>
  </si>
  <si>
    <t>Festivalil osalenud välispartnerite rahulolu</t>
  </si>
  <si>
    <t>Tagada etendustegevuse piirkondlik kättesaadavus  – korraldada etendusi Virumaal</t>
  </si>
  <si>
    <t>Etenduste arv maakondade lõikes, väljaspool statsionaarset saali</t>
  </si>
  <si>
    <t>Lääne- ja Ida-Virumaal</t>
  </si>
  <si>
    <t xml:space="preserve">mujal Eestis </t>
  </si>
  <si>
    <t>Säilitada ja arendada sihtasutusele kuuluvat kinnisvara ja vallasvara</t>
  </si>
  <si>
    <t>Korrasoleva kinnisvara osakaal kogukinnisvarast</t>
  </si>
  <si>
    <t>Teatri andmed / protsentides</t>
  </si>
  <si>
    <t>Vähendada etendusasutuse keskkonnajalajälge</t>
  </si>
  <si>
    <t>Elektri- ja soojusenergia kasutus aastas</t>
  </si>
  <si>
    <t>Teatri andmed / MWh aastas:</t>
  </si>
  <si>
    <t>Vee kasutus aastas</t>
  </si>
  <si>
    <t>Teatri andmed/ m3 aastas:</t>
  </si>
  <si>
    <t xml:space="preserve"> Jäätmete liigiti kogumine</t>
  </si>
  <si>
    <t>Teatri andmed / sorteerimine 
jah/ ei</t>
  </si>
  <si>
    <t>jah</t>
  </si>
  <si>
    <t>Keskkonnahoidlikud hanked</t>
  </si>
  <si>
    <t>Sõltuvalt hangete toimumisest
jah / ei</t>
  </si>
  <si>
    <t>Asutuse autode aastane läbisõit</t>
  </si>
  <si>
    <t>Teatri andmed / km</t>
  </si>
  <si>
    <t>Keskkonna hoidlike sündmuste korraldamise minimaalsete nõuete täitmine</t>
  </si>
  <si>
    <t>Teatri andmed
jah / ei</t>
  </si>
  <si>
    <t>Arvestada kõigi teenuste pakkumisel kasutajate vajadustega kogu nende elukaare ulatuses</t>
  </si>
  <si>
    <t>Enesehindamine kõigi teenuste lõikes, tegevuskava koostamine puuduste likvideerimiseks ja selle täitmine  </t>
  </si>
  <si>
    <t xml:space="preserve">lapsed, eakad, erivajadustega inimesed, lapsevanemad, ajutise tegevuspiiranguga inimesed, erineva keele- ja kultuuritaustaga inimesed ja kõik teised. Analüüsida teenuseid nn suutlikkussurvest ja kogemuse terviklikkusest lähtudes: st millist võimekust või suutlikkust iga konkreetne teenus kasutajalt igas üksikus kasutusetapis nõuab ning kuidas on võimalik suutlikkuste barjääre alandada või alternatiive pakkuda. Suuremaid investeeringuid nõudvate muudatuste puhul koostada tegevuskava.  </t>
  </si>
  <si>
    <t>jah, tegevuskava on koostatud</t>
  </si>
  <si>
    <t>jah, tegevuskavast on vähemalt 2 tegevust tehtud</t>
  </si>
  <si>
    <t>FINANTSEESMÄRGID</t>
  </si>
  <si>
    <t>Võtmeindikaatorid</t>
  </si>
  <si>
    <t>majandustegevusest laekuva tulu osakaal kogutulust (v.a investeeringutoetused)</t>
  </si>
  <si>
    <t>majandusaasta aruanne</t>
  </si>
  <si>
    <t>avaliku sektori toetus vs majandustegevusest laekunud tulude osakaal</t>
  </si>
  <si>
    <t>kohaliku omavalitsuselt laekunud toetuste osakaal kogutulust</t>
  </si>
  <si>
    <t>lühiajaliste võlgnevuste kattekordaja</t>
  </si>
  <si>
    <t>1,5-2,0</t>
  </si>
  <si>
    <t>1,5-2,1</t>
  </si>
  <si>
    <t>Seireindikaatorid</t>
  </si>
  <si>
    <t>erarahastajatelt laekunud toetuste osakaal kogutulust</t>
  </si>
  <si>
    <t>tegevuskulu (v.a investeeringud ja amortisatsioonikulu) külastaja kohta aastas;</t>
  </si>
  <si>
    <t>avaliku sektori toetus (v.a investeeringutoetused) külastaja kohta aastas;</t>
  </si>
  <si>
    <t>SA majandustegevusest laekunud tulu töötaja kohta (taandatud täistööajale, lisandväärtus 1 töötaja kohta).</t>
  </si>
  <si>
    <t>Põhitegevuse tulem</t>
  </si>
  <si>
    <t xml:space="preserve">majandusaasta aruanne </t>
  </si>
  <si>
    <t>JUHTIMISKVALITEEDI EESMÄRGID</t>
  </si>
  <si>
    <t>Sihtasutus rakendab sobivat juhtimissüsteemi ja hindab regulaarselt selle toimimist.</t>
  </si>
  <si>
    <t>Miinimumina vähemalt üks siseaudit ja võimalusel kvaliteedialane sisemine hindamine kolme aasta jooksul.</t>
  </si>
  <si>
    <t>jah/ei</t>
  </si>
  <si>
    <t>Kord aastas toimub nõukogu esimehe koostöövestlus juhatuse liikmega</t>
  </si>
  <si>
    <t>ei</t>
  </si>
  <si>
    <t>Kord aastas toimub nõukogude liikmete enesehindamine ning juhatuse liige annab tagasisidet nõukogu liikmete tööle</t>
  </si>
  <si>
    <t>Korraldab KuM</t>
  </si>
  <si>
    <t xml:space="preserve">Küberhügieeni koolituse (digitesti) läbinud töötajate osakaal aastas kõikidest asutuse töötajatest, kellele test saadeti.  </t>
  </si>
  <si>
    <t>KUM</t>
  </si>
  <si>
    <t xml:space="preserve">Juhatuse liikmele tulemustasu maksmine on seotud asutaja ootuste täitmisega (on sõlmitud tulemusleping või kokkulepe fikseeritud muul moel).  </t>
  </si>
  <si>
    <t>Tulemuslepingu või kokkuleppe sõlmimine</t>
  </si>
  <si>
    <t xml:space="preserve">Lapsed ja noored </t>
  </si>
  <si>
    <t xml:space="preserve">Publiku-uuring, soovitusindeks skaalal -100 kuni 100 </t>
  </si>
  <si>
    <t>Sihtasutus lähtub andmete töötlemisel ning infosüsteemide pidamisel, kasutamisel ja arendamisel avaliku sektori infoturbe nõuetest ning Kultuuriministeeriumi haldusala IKT teenuste korraldamise põhimõtetest.</t>
  </si>
  <si>
    <t>3.1.</t>
  </si>
  <si>
    <t>3.2.</t>
  </si>
  <si>
    <t>3.3.</t>
  </si>
  <si>
    <t>1.</t>
  </si>
  <si>
    <t>1.1.</t>
  </si>
  <si>
    <t>1.2.</t>
  </si>
  <si>
    <t>1.4.</t>
  </si>
  <si>
    <t>2.</t>
  </si>
  <si>
    <t>2.1.</t>
  </si>
  <si>
    <t>2.2.</t>
  </si>
  <si>
    <t>2.3.</t>
  </si>
  <si>
    <t>2.4.</t>
  </si>
  <si>
    <t>2.5.</t>
  </si>
  <si>
    <t>3.</t>
  </si>
  <si>
    <t>4.</t>
  </si>
  <si>
    <t>4.1.</t>
  </si>
  <si>
    <t>5</t>
  </si>
  <si>
    <t>5.1.</t>
  </si>
  <si>
    <t>6.</t>
  </si>
  <si>
    <t>6.1.</t>
  </si>
  <si>
    <t>6.2.</t>
  </si>
  <si>
    <t>6.3.</t>
  </si>
  <si>
    <t>6.4.</t>
  </si>
  <si>
    <t>6.5.</t>
  </si>
  <si>
    <t>6.7.</t>
  </si>
  <si>
    <t>7.</t>
  </si>
  <si>
    <t>7.1.</t>
  </si>
  <si>
    <t>Selleks toimub muu hulgas:</t>
  </si>
  <si>
    <t>Piirkondlikel lugudel põhinevate lavastuste arv uuslavastuste hulgas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</si>
</sst>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indexed="63"/>
      <name val="Calibri"/>
      <family val="2"/>
      <charset val="186"/>
    </font>
    <font>
      <b/>
      <sz val="11"/>
      <color indexed="63"/>
      <name val="Calibri"/>
      <family val="2"/>
      <charset val="186"/>
    </font>
    <font>
      <i/>
      <sz val="11"/>
      <color indexed="63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11"/>
      <name val="Calibri"/>
      <family val="2"/>
      <charset val="186"/>
    </font>
    <font>
      <b/>
      <sz val="10.5"/>
      <color indexed="63"/>
      <name val="Calibri"/>
      <family val="2"/>
      <charset val="186"/>
    </font>
    <font>
      <sz val="11"/>
      <color indexed="63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13"/>
        <bgColor indexed="34"/>
      </patternFill>
    </fill>
    <fill>
      <patternFill patternType="lightUp"/>
    </fill>
    <fill>
      <patternFill patternType="lightUp">
        <bgColor theme="0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Border="0" applyProtection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 applyProtection="1">
      <alignment horizontal="center" vertical="center"/>
    </xf>
    <xf numFmtId="164" fontId="0" fillId="0" borderId="1" xfId="1" applyNumberFormat="1" applyFont="1" applyBorder="1" applyAlignment="1" applyProtection="1">
      <alignment horizontal="center" vertical="center"/>
    </xf>
    <xf numFmtId="9" fontId="0" fillId="0" borderId="1" xfId="1" applyFont="1" applyBorder="1" applyAlignment="1" applyProtection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" fillId="0" borderId="1" xfId="1" applyNumberFormat="1" applyFont="1" applyBorder="1" applyAlignment="1" applyProtection="1">
      <alignment horizontal="center" vertical="center"/>
    </xf>
    <xf numFmtId="164" fontId="0" fillId="0" borderId="1" xfId="1" applyNumberFormat="1" applyFont="1" applyBorder="1" applyAlignment="1" applyProtection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1" applyNumberFormat="1" applyFont="1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9" fontId="3" fillId="0" borderId="4" xfId="1" applyFont="1" applyBorder="1" applyAlignment="1" applyProtection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 applyAlignment="1">
      <alignment horizontal="center"/>
    </xf>
    <xf numFmtId="49" fontId="0" fillId="3" borderId="2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E8E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e Anett Heinsalu" id="{F80668EF-2255-4B07-8EF3-7B80904DBA82}" userId="S::marie.anett.heinsalu@kul.ee::05f4eec1-6cc1-49b3-8d6e-1061b66085c9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1" dT="2025-09-30T09:53:37.60" personId="{F80668EF-2255-4B07-8EF3-7B80904DBA82}" id="{9B35DEAC-739B-47B8-A9D1-9F634F7CDA91}">
    <text>https://kliimaministeerium.ee/rohereform-kliima/rohereform/keskkonnahoidlike-urituste-korraldamise-riiklik-juhis</text>
    <extLst>
      <x:ext xmlns:xltc2="http://schemas.microsoft.com/office/spreadsheetml/2020/threadedcomments2" uri="{F7C98A9C-CBB3-438F-8F68-D28B6AF4A901}">
        <xltc2:checksum>3979949719</xltc2:checksum>
        <xltc2:hyperlink startIndex="0" length="112" url="https://kliimaministeerium.ee/rohereform-kliima/rohereform/keskkonnahoidlike-urituste-korraldamise-riiklik-juhis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5CE8-6985-40B9-9DA9-DDA227DEC6EF}">
  <sheetPr>
    <pageSetUpPr fitToPage="1"/>
  </sheetPr>
  <dimension ref="A1:O60"/>
  <sheetViews>
    <sheetView tabSelected="1" zoomScaleNormal="100" workbookViewId="0">
      <pane ySplit="1" topLeftCell="A58" activePane="bottomLeft" state="frozen"/>
      <selection pane="bottomLeft" activeCell="F68" sqref="F68"/>
    </sheetView>
  </sheetViews>
  <sheetFormatPr defaultColWidth="8.7109375" defaultRowHeight="15" customHeight="1" x14ac:dyDescent="0.25"/>
  <cols>
    <col min="1" max="1" width="7.140625" style="22" customWidth="1"/>
    <col min="2" max="2" width="30.7109375" customWidth="1"/>
    <col min="3" max="3" width="37.42578125" customWidth="1"/>
    <col min="4" max="4" width="33.140625" customWidth="1"/>
    <col min="5" max="5" width="15.140625" customWidth="1"/>
    <col min="6" max="14" width="14.7109375" customWidth="1"/>
    <col min="15" max="15" width="41" customWidth="1"/>
  </cols>
  <sheetData>
    <row r="1" spans="1:15" s="3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>
        <v>2019</v>
      </c>
      <c r="F1" s="2">
        <v>2020</v>
      </c>
      <c r="G1" s="2">
        <v>2021</v>
      </c>
      <c r="H1" s="2">
        <v>2022</v>
      </c>
      <c r="I1" s="2">
        <v>2023</v>
      </c>
      <c r="J1" s="2">
        <v>2024</v>
      </c>
      <c r="K1" s="2" t="s">
        <v>4</v>
      </c>
      <c r="L1" s="2" t="s">
        <v>5</v>
      </c>
      <c r="M1" s="2" t="s">
        <v>6</v>
      </c>
      <c r="N1" s="2" t="s">
        <v>7</v>
      </c>
    </row>
    <row r="2" spans="1:15" s="3" customFormat="1" ht="15" customHeight="1" x14ac:dyDescent="0.2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s="3" customFormat="1" ht="30" customHeight="1" x14ac:dyDescent="0.25">
      <c r="A3" s="10">
        <v>1</v>
      </c>
      <c r="B3" s="58" t="s">
        <v>9</v>
      </c>
      <c r="C3" s="4" t="s">
        <v>10</v>
      </c>
      <c r="D3" s="5" t="s">
        <v>96</v>
      </c>
      <c r="E3" s="5" t="s">
        <v>11</v>
      </c>
      <c r="F3" s="5" t="s">
        <v>11</v>
      </c>
      <c r="G3" s="5" t="s">
        <v>11</v>
      </c>
      <c r="H3" s="5" t="s">
        <v>11</v>
      </c>
      <c r="I3" s="5" t="s">
        <v>11</v>
      </c>
      <c r="J3" s="5" t="s">
        <v>11</v>
      </c>
      <c r="K3" s="24" t="s">
        <v>12</v>
      </c>
      <c r="L3" s="5">
        <v>80</v>
      </c>
      <c r="M3" s="24" t="s">
        <v>12</v>
      </c>
      <c r="N3" s="24" t="s">
        <v>12</v>
      </c>
    </row>
    <row r="4" spans="1:15" s="3" customFormat="1" ht="30" customHeight="1" x14ac:dyDescent="0.25">
      <c r="A4" s="10">
        <v>2</v>
      </c>
      <c r="B4" s="58"/>
      <c r="C4" s="7" t="s">
        <v>13</v>
      </c>
      <c r="D4" s="23" t="s">
        <v>14</v>
      </c>
      <c r="E4" s="23" t="s">
        <v>11</v>
      </c>
      <c r="F4" s="23" t="s">
        <v>11</v>
      </c>
      <c r="G4" s="23" t="s">
        <v>11</v>
      </c>
      <c r="H4" s="23" t="s">
        <v>11</v>
      </c>
      <c r="I4" s="23" t="s">
        <v>11</v>
      </c>
      <c r="J4" s="25">
        <v>0.74</v>
      </c>
      <c r="K4" s="9">
        <v>0.8</v>
      </c>
      <c r="L4" s="9">
        <v>0.8</v>
      </c>
      <c r="M4" s="9">
        <v>0.8</v>
      </c>
      <c r="N4" s="9">
        <v>0.8</v>
      </c>
      <c r="O4" s="6"/>
    </row>
    <row r="5" spans="1:15" s="3" customFormat="1" ht="60" customHeight="1" x14ac:dyDescent="0.25">
      <c r="A5" s="10">
        <v>3</v>
      </c>
      <c r="B5" s="58"/>
      <c r="C5" s="7" t="s">
        <v>15</v>
      </c>
      <c r="D5" s="5" t="s">
        <v>16</v>
      </c>
      <c r="E5" s="5" t="s">
        <v>11</v>
      </c>
      <c r="F5" s="5" t="s">
        <v>11</v>
      </c>
      <c r="G5" s="8" t="s">
        <v>11</v>
      </c>
      <c r="H5" s="5" t="s">
        <v>11</v>
      </c>
      <c r="I5" s="9" t="s">
        <v>11</v>
      </c>
      <c r="J5" s="10" t="s">
        <v>11</v>
      </c>
      <c r="K5" s="24" t="s">
        <v>12</v>
      </c>
      <c r="L5" s="10" t="s">
        <v>17</v>
      </c>
      <c r="M5" s="24" t="s">
        <v>12</v>
      </c>
      <c r="N5" s="24" t="s">
        <v>12</v>
      </c>
    </row>
    <row r="6" spans="1:15" s="3" customFormat="1" ht="15" customHeight="1" x14ac:dyDescent="0.25">
      <c r="A6" s="10">
        <v>4</v>
      </c>
      <c r="B6" s="58"/>
      <c r="C6" s="7" t="s">
        <v>18</v>
      </c>
      <c r="D6" s="5" t="s">
        <v>19</v>
      </c>
      <c r="E6" s="5">
        <v>352</v>
      </c>
      <c r="F6" s="5">
        <v>261</v>
      </c>
      <c r="G6" s="26">
        <v>235</v>
      </c>
      <c r="H6" s="10">
        <v>283</v>
      </c>
      <c r="I6" s="10">
        <v>331</v>
      </c>
      <c r="J6" s="10">
        <v>327</v>
      </c>
      <c r="K6" s="10">
        <v>290</v>
      </c>
      <c r="L6" s="10">
        <v>290</v>
      </c>
      <c r="M6" s="10">
        <v>290</v>
      </c>
      <c r="N6" s="10">
        <v>290</v>
      </c>
    </row>
    <row r="7" spans="1:15" s="3" customFormat="1" ht="15" customHeight="1" x14ac:dyDescent="0.25">
      <c r="A7" s="10">
        <v>5</v>
      </c>
      <c r="B7" s="58"/>
      <c r="C7" s="7" t="s">
        <v>20</v>
      </c>
      <c r="D7" s="23" t="s">
        <v>19</v>
      </c>
      <c r="E7" s="23">
        <v>9</v>
      </c>
      <c r="F7" s="5">
        <v>7</v>
      </c>
      <c r="G7" s="10">
        <v>8</v>
      </c>
      <c r="H7" s="10">
        <v>8</v>
      </c>
      <c r="I7" s="10">
        <v>7</v>
      </c>
      <c r="J7" s="10">
        <v>9</v>
      </c>
      <c r="K7" s="10">
        <v>7</v>
      </c>
      <c r="L7" s="10">
        <v>7</v>
      </c>
      <c r="M7" s="10">
        <v>7</v>
      </c>
      <c r="N7" s="10">
        <v>7</v>
      </c>
    </row>
    <row r="8" spans="1:15" s="3" customFormat="1" ht="15" customHeight="1" x14ac:dyDescent="0.25">
      <c r="A8" s="57" t="s">
        <v>21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5" s="3" customFormat="1" ht="15" customHeight="1" x14ac:dyDescent="0.25">
      <c r="A9" s="47" t="s">
        <v>101</v>
      </c>
      <c r="B9" s="59" t="s">
        <v>22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5" s="3" customFormat="1" ht="30" customHeight="1" x14ac:dyDescent="0.25">
      <c r="A10" s="48" t="s">
        <v>102</v>
      </c>
      <c r="B10" s="60"/>
      <c r="C10" s="35" t="s">
        <v>23</v>
      </c>
      <c r="D10" s="33" t="s">
        <v>19</v>
      </c>
      <c r="E10" s="33">
        <v>3</v>
      </c>
      <c r="F10" s="39">
        <v>3</v>
      </c>
      <c r="G10" s="39">
        <v>4</v>
      </c>
      <c r="H10" s="41">
        <v>3</v>
      </c>
      <c r="I10" s="41">
        <v>1</v>
      </c>
      <c r="J10" s="41">
        <v>2</v>
      </c>
      <c r="K10" s="39">
        <v>3</v>
      </c>
      <c r="L10" s="32">
        <v>3</v>
      </c>
      <c r="M10" s="33">
        <v>3</v>
      </c>
      <c r="N10" s="33">
        <v>3</v>
      </c>
    </row>
    <row r="11" spans="1:15" s="3" customFormat="1" ht="30" customHeight="1" x14ac:dyDescent="0.25">
      <c r="A11" s="48" t="s">
        <v>103</v>
      </c>
      <c r="B11" s="60"/>
      <c r="C11" s="35" t="s">
        <v>24</v>
      </c>
      <c r="D11" s="33" t="s">
        <v>19</v>
      </c>
      <c r="E11" s="33">
        <v>6</v>
      </c>
      <c r="F11" s="39">
        <v>4</v>
      </c>
      <c r="G11" s="39">
        <v>4</v>
      </c>
      <c r="H11" s="39">
        <v>5</v>
      </c>
      <c r="I11" s="39">
        <v>6</v>
      </c>
      <c r="J11" s="39">
        <v>4</v>
      </c>
      <c r="K11" s="41">
        <v>3</v>
      </c>
      <c r="L11" s="41">
        <v>3</v>
      </c>
      <c r="M11" s="41">
        <v>3</v>
      </c>
      <c r="N11" s="41">
        <v>3</v>
      </c>
    </row>
    <row r="12" spans="1:15" s="3" customFormat="1" ht="30" customHeight="1" x14ac:dyDescent="0.25">
      <c r="A12" s="48" t="s">
        <v>103</v>
      </c>
      <c r="B12" s="60"/>
      <c r="C12" s="35" t="s">
        <v>126</v>
      </c>
      <c r="D12" s="33" t="s">
        <v>14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2">
        <v>1</v>
      </c>
      <c r="L12" s="32">
        <v>1</v>
      </c>
      <c r="M12" s="32">
        <v>1</v>
      </c>
      <c r="N12" s="32">
        <v>1</v>
      </c>
      <c r="O12" s="6"/>
    </row>
    <row r="13" spans="1:15" s="3" customFormat="1" ht="45" customHeight="1" x14ac:dyDescent="0.25">
      <c r="A13" s="48" t="s">
        <v>104</v>
      </c>
      <c r="B13" s="60"/>
      <c r="C13" s="37" t="s">
        <v>25</v>
      </c>
      <c r="D13" s="33" t="s">
        <v>19</v>
      </c>
      <c r="E13" s="33">
        <v>1</v>
      </c>
      <c r="F13" s="32">
        <v>0</v>
      </c>
      <c r="G13" s="32">
        <v>2</v>
      </c>
      <c r="H13" s="33">
        <v>1</v>
      </c>
      <c r="I13" s="33">
        <v>0</v>
      </c>
      <c r="J13" s="32">
        <v>1</v>
      </c>
      <c r="K13" s="39">
        <v>1</v>
      </c>
      <c r="L13" s="39">
        <v>1</v>
      </c>
      <c r="M13" s="39">
        <v>1</v>
      </c>
      <c r="N13" s="39">
        <v>1</v>
      </c>
    </row>
    <row r="14" spans="1:15" s="3" customFormat="1" ht="15" customHeight="1" x14ac:dyDescent="0.25">
      <c r="A14" s="49" t="s">
        <v>105</v>
      </c>
      <c r="B14" s="61" t="s">
        <v>26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5" s="3" customFormat="1" ht="15" customHeight="1" x14ac:dyDescent="0.25">
      <c r="A15" s="48" t="s">
        <v>106</v>
      </c>
      <c r="B15" s="64" t="s">
        <v>27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5" s="3" customFormat="1" ht="15" customHeight="1" x14ac:dyDescent="0.25">
      <c r="A16" s="62"/>
      <c r="B16" s="62"/>
      <c r="C16" s="32" t="s">
        <v>95</v>
      </c>
      <c r="D16" s="33" t="s">
        <v>19</v>
      </c>
      <c r="E16" s="46">
        <v>82</v>
      </c>
      <c r="F16" s="46">
        <v>39</v>
      </c>
      <c r="G16" s="46">
        <v>41</v>
      </c>
      <c r="H16" s="46">
        <v>49</v>
      </c>
      <c r="I16" s="46">
        <v>42</v>
      </c>
      <c r="J16" s="46">
        <v>58</v>
      </c>
      <c r="K16" s="46">
        <v>70</v>
      </c>
      <c r="L16" s="46">
        <v>70</v>
      </c>
      <c r="M16" s="46">
        <v>70</v>
      </c>
      <c r="N16" s="46">
        <v>70</v>
      </c>
    </row>
    <row r="17" spans="1:15" s="3" customFormat="1" ht="15" customHeight="1" x14ac:dyDescent="0.25">
      <c r="A17" s="62"/>
      <c r="B17" s="62"/>
      <c r="C17" s="32" t="s">
        <v>28</v>
      </c>
      <c r="D17" s="33" t="s">
        <v>19</v>
      </c>
      <c r="E17" s="33">
        <v>270</v>
      </c>
      <c r="F17" s="32">
        <v>222</v>
      </c>
      <c r="G17" s="32">
        <v>194</v>
      </c>
      <c r="H17" s="32">
        <v>234</v>
      </c>
      <c r="I17" s="32">
        <v>289</v>
      </c>
      <c r="J17" s="32">
        <v>268</v>
      </c>
      <c r="K17" s="32">
        <f>K6-K16</f>
        <v>220</v>
      </c>
      <c r="L17" s="32">
        <f>L6-L16</f>
        <v>220</v>
      </c>
      <c r="M17" s="32">
        <f>M6-M16</f>
        <v>220</v>
      </c>
      <c r="N17" s="32">
        <f>N6-N16</f>
        <v>220</v>
      </c>
    </row>
    <row r="18" spans="1:15" s="3" customFormat="1" ht="15" customHeight="1" x14ac:dyDescent="0.25">
      <c r="A18" s="48" t="s">
        <v>107</v>
      </c>
      <c r="B18" s="65" t="s">
        <v>29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5" s="3" customFormat="1" ht="15" customHeight="1" x14ac:dyDescent="0.25">
      <c r="A19" s="62"/>
      <c r="B19" s="62"/>
      <c r="C19" s="32" t="s">
        <v>95</v>
      </c>
      <c r="D19" s="33" t="s">
        <v>19</v>
      </c>
      <c r="E19" s="46">
        <v>15829</v>
      </c>
      <c r="F19" s="46">
        <v>6938</v>
      </c>
      <c r="G19" s="46">
        <v>8607</v>
      </c>
      <c r="H19" s="46">
        <v>10120</v>
      </c>
      <c r="I19" s="46">
        <v>10255</v>
      </c>
      <c r="J19" s="46">
        <v>13750</v>
      </c>
      <c r="K19" s="46">
        <v>12000</v>
      </c>
      <c r="L19" s="46">
        <v>12000</v>
      </c>
      <c r="M19" s="46">
        <v>12000</v>
      </c>
      <c r="N19" s="46">
        <v>12000</v>
      </c>
    </row>
    <row r="20" spans="1:15" s="3" customFormat="1" ht="15" customHeight="1" x14ac:dyDescent="0.25">
      <c r="A20" s="62"/>
      <c r="B20" s="62"/>
      <c r="C20" s="32" t="s">
        <v>28</v>
      </c>
      <c r="D20" s="33" t="s">
        <v>19</v>
      </c>
      <c r="E20" s="34">
        <v>44073</v>
      </c>
      <c r="F20" s="34">
        <v>31208</v>
      </c>
      <c r="G20" s="34">
        <v>23280</v>
      </c>
      <c r="H20" s="34">
        <v>38750</v>
      </c>
      <c r="I20" s="34">
        <v>54185</v>
      </c>
      <c r="J20" s="34">
        <v>47833</v>
      </c>
      <c r="K20" s="34">
        <v>45000</v>
      </c>
      <c r="L20" s="34">
        <v>45000</v>
      </c>
      <c r="M20" s="34">
        <v>45000</v>
      </c>
      <c r="N20" s="34">
        <v>45000</v>
      </c>
    </row>
    <row r="21" spans="1:15" s="3" customFormat="1" ht="15" customHeight="1" x14ac:dyDescent="0.25">
      <c r="A21" s="62"/>
      <c r="B21" s="62"/>
      <c r="C21" s="32" t="s">
        <v>30</v>
      </c>
      <c r="D21" s="33" t="s">
        <v>19</v>
      </c>
      <c r="E21" s="34">
        <f>SUM(E19:E20)</f>
        <v>59902</v>
      </c>
      <c r="F21" s="34">
        <f>SUM(F19:F20)</f>
        <v>38146</v>
      </c>
      <c r="G21" s="34">
        <f>SUM(G19:G20)</f>
        <v>31887</v>
      </c>
      <c r="H21" s="34">
        <f>SUM(H19:H20)</f>
        <v>48870</v>
      </c>
      <c r="I21" s="34">
        <v>64432</v>
      </c>
      <c r="J21" s="34">
        <v>61583</v>
      </c>
      <c r="K21" s="34">
        <f>SUM(K19:K20)</f>
        <v>57000</v>
      </c>
      <c r="L21" s="34">
        <f>SUM(L19:L20)</f>
        <v>57000</v>
      </c>
      <c r="M21" s="34">
        <f>SUM(M19:M20)</f>
        <v>57000</v>
      </c>
      <c r="N21" s="34">
        <f>SUM(N19:N20)</f>
        <v>57000</v>
      </c>
    </row>
    <row r="22" spans="1:15" s="3" customFormat="1" ht="30" customHeight="1" x14ac:dyDescent="0.25">
      <c r="A22" s="48" t="s">
        <v>108</v>
      </c>
      <c r="B22" s="35"/>
      <c r="C22" s="35" t="s">
        <v>31</v>
      </c>
      <c r="D22" s="33" t="s">
        <v>32</v>
      </c>
      <c r="E22" s="33" t="s">
        <v>11</v>
      </c>
      <c r="F22" s="32" t="s">
        <v>11</v>
      </c>
      <c r="G22" s="32" t="s">
        <v>11</v>
      </c>
      <c r="H22" s="32" t="s">
        <v>11</v>
      </c>
      <c r="I22" s="32" t="s">
        <v>11</v>
      </c>
      <c r="J22" s="32" t="s">
        <v>11</v>
      </c>
      <c r="K22" s="32">
        <v>80</v>
      </c>
      <c r="L22" s="32">
        <v>80</v>
      </c>
      <c r="M22" s="32">
        <v>80</v>
      </c>
      <c r="N22" s="32">
        <v>80</v>
      </c>
    </row>
    <row r="23" spans="1:15" s="3" customFormat="1" ht="30" customHeight="1" x14ac:dyDescent="0.25">
      <c r="A23" s="48" t="s">
        <v>109</v>
      </c>
      <c r="B23" s="35"/>
      <c r="C23" s="35" t="s">
        <v>33</v>
      </c>
      <c r="D23" s="33" t="s">
        <v>14</v>
      </c>
      <c r="E23" s="33">
        <v>493</v>
      </c>
      <c r="F23" s="33">
        <v>52</v>
      </c>
      <c r="G23" s="33">
        <v>0</v>
      </c>
      <c r="H23" s="33">
        <v>300</v>
      </c>
      <c r="I23" s="32">
        <v>893</v>
      </c>
      <c r="J23" s="32">
        <v>1366</v>
      </c>
      <c r="K23" s="32">
        <v>500</v>
      </c>
      <c r="L23" s="32">
        <v>500</v>
      </c>
      <c r="M23" s="32">
        <v>500</v>
      </c>
      <c r="N23" s="32">
        <v>500</v>
      </c>
    </row>
    <row r="24" spans="1:15" ht="15" customHeight="1" x14ac:dyDescent="0.25">
      <c r="A24" s="48" t="s">
        <v>110</v>
      </c>
      <c r="B24" s="45"/>
      <c r="C24" s="36" t="s">
        <v>34</v>
      </c>
      <c r="D24" s="33" t="s">
        <v>35</v>
      </c>
      <c r="E24" s="32">
        <v>30</v>
      </c>
      <c r="F24" s="32">
        <v>25</v>
      </c>
      <c r="G24" s="32">
        <v>14</v>
      </c>
      <c r="H24" s="32">
        <v>17</v>
      </c>
      <c r="I24" s="32">
        <v>35</v>
      </c>
      <c r="J24" s="32">
        <v>33</v>
      </c>
      <c r="K24" s="44"/>
      <c r="L24" s="44"/>
      <c r="M24" s="44"/>
      <c r="N24" s="44"/>
      <c r="O24" s="3"/>
    </row>
    <row r="25" spans="1:15" ht="15" customHeight="1" x14ac:dyDescent="0.25">
      <c r="A25" s="50" t="s">
        <v>111</v>
      </c>
      <c r="B25" s="61" t="s">
        <v>36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15" ht="15" customHeight="1" x14ac:dyDescent="0.25">
      <c r="A26" s="48" t="s">
        <v>98</v>
      </c>
      <c r="B26" s="63"/>
      <c r="C26" s="37" t="s">
        <v>37</v>
      </c>
      <c r="D26" s="33" t="s">
        <v>19</v>
      </c>
      <c r="E26" s="38" t="s">
        <v>12</v>
      </c>
      <c r="F26" s="39">
        <v>11</v>
      </c>
      <c r="G26" s="38" t="s">
        <v>12</v>
      </c>
      <c r="H26" s="39">
        <v>13</v>
      </c>
      <c r="I26" s="38" t="s">
        <v>12</v>
      </c>
      <c r="J26" s="39">
        <v>13</v>
      </c>
      <c r="K26" s="38" t="s">
        <v>12</v>
      </c>
      <c r="L26" s="32">
        <v>11</v>
      </c>
      <c r="M26" s="40" t="s">
        <v>12</v>
      </c>
      <c r="N26" s="32">
        <v>11</v>
      </c>
    </row>
    <row r="27" spans="1:15" ht="30" customHeight="1" x14ac:dyDescent="0.25">
      <c r="A27" s="48" t="s">
        <v>99</v>
      </c>
      <c r="B27" s="63"/>
      <c r="C27" s="35" t="s">
        <v>38</v>
      </c>
      <c r="D27" s="33" t="s">
        <v>39</v>
      </c>
      <c r="E27" s="38" t="s">
        <v>12</v>
      </c>
      <c r="F27" s="39" t="s">
        <v>11</v>
      </c>
      <c r="G27" s="38" t="s">
        <v>12</v>
      </c>
      <c r="H27" s="39" t="s">
        <v>11</v>
      </c>
      <c r="I27" s="38" t="s">
        <v>12</v>
      </c>
      <c r="J27" s="39" t="s">
        <v>11</v>
      </c>
      <c r="K27" s="38" t="s">
        <v>12</v>
      </c>
      <c r="L27" s="39">
        <v>80</v>
      </c>
      <c r="M27" s="38" t="s">
        <v>12</v>
      </c>
      <c r="N27" s="39">
        <v>80</v>
      </c>
    </row>
    <row r="28" spans="1:15" ht="30" customHeight="1" x14ac:dyDescent="0.25">
      <c r="A28" s="48" t="s">
        <v>100</v>
      </c>
      <c r="B28" s="63"/>
      <c r="C28" s="35" t="s">
        <v>40</v>
      </c>
      <c r="D28" s="33" t="s">
        <v>39</v>
      </c>
      <c r="E28" s="38" t="s">
        <v>12</v>
      </c>
      <c r="F28" s="39" t="s">
        <v>11</v>
      </c>
      <c r="G28" s="38" t="s">
        <v>12</v>
      </c>
      <c r="H28" s="39" t="s">
        <v>11</v>
      </c>
      <c r="I28" s="38" t="s">
        <v>12</v>
      </c>
      <c r="J28" s="39" t="s">
        <v>11</v>
      </c>
      <c r="K28" s="38" t="s">
        <v>12</v>
      </c>
      <c r="L28" s="39">
        <v>80</v>
      </c>
      <c r="M28" s="38" t="s">
        <v>12</v>
      </c>
      <c r="N28" s="39">
        <v>80</v>
      </c>
    </row>
    <row r="29" spans="1:15" s="3" customFormat="1" ht="15" customHeight="1" x14ac:dyDescent="0.25">
      <c r="A29" s="51" t="s">
        <v>112</v>
      </c>
      <c r="B29" s="61" t="s">
        <v>41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1:15" s="3" customFormat="1" ht="15" customHeight="1" x14ac:dyDescent="0.25">
      <c r="A30" s="48" t="s">
        <v>113</v>
      </c>
      <c r="B30" s="66" t="s">
        <v>42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</row>
    <row r="31" spans="1:15" s="3" customFormat="1" ht="15" customHeight="1" x14ac:dyDescent="0.25">
      <c r="A31" s="69"/>
      <c r="B31" s="70"/>
      <c r="C31" s="41" t="s">
        <v>43</v>
      </c>
      <c r="D31" s="41" t="s">
        <v>19</v>
      </c>
      <c r="E31" s="41">
        <v>16</v>
      </c>
      <c r="F31" s="39">
        <v>5</v>
      </c>
      <c r="G31" s="39">
        <v>3</v>
      </c>
      <c r="H31" s="39">
        <v>25</v>
      </c>
      <c r="I31" s="39">
        <v>22</v>
      </c>
      <c r="J31" s="32">
        <v>27</v>
      </c>
      <c r="K31" s="39">
        <v>25</v>
      </c>
      <c r="L31" s="39">
        <v>25</v>
      </c>
      <c r="M31" s="39">
        <v>25</v>
      </c>
      <c r="N31" s="39">
        <v>25</v>
      </c>
    </row>
    <row r="32" spans="1:15" s="3" customFormat="1" ht="15" customHeight="1" x14ac:dyDescent="0.25">
      <c r="A32" s="71"/>
      <c r="B32" s="72"/>
      <c r="C32" s="41" t="s">
        <v>44</v>
      </c>
      <c r="D32" s="41" t="s">
        <v>19</v>
      </c>
      <c r="E32" s="41">
        <f>163-E31</f>
        <v>147</v>
      </c>
      <c r="F32" s="39">
        <f>114-F31</f>
        <v>109</v>
      </c>
      <c r="G32" s="39">
        <f>86-G31</f>
        <v>83</v>
      </c>
      <c r="H32" s="39">
        <f>139-H31</f>
        <v>114</v>
      </c>
      <c r="I32" s="39">
        <v>130</v>
      </c>
      <c r="J32" s="32">
        <v>133</v>
      </c>
      <c r="K32" s="39">
        <v>100</v>
      </c>
      <c r="L32" s="39">
        <v>100</v>
      </c>
      <c r="M32" s="39">
        <v>100</v>
      </c>
      <c r="N32" s="39">
        <v>100</v>
      </c>
    </row>
    <row r="33" spans="1:15" s="3" customFormat="1" ht="15" customHeight="1" x14ac:dyDescent="0.25">
      <c r="A33" s="49" t="s">
        <v>114</v>
      </c>
      <c r="B33" s="61" t="s">
        <v>45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5" s="3" customFormat="1" ht="15" customHeight="1" x14ac:dyDescent="0.25">
      <c r="A34" s="48" t="s">
        <v>115</v>
      </c>
      <c r="B34" s="42"/>
      <c r="C34" s="41" t="s">
        <v>46</v>
      </c>
      <c r="D34" s="41" t="s">
        <v>47</v>
      </c>
      <c r="E34" s="41" t="s">
        <v>11</v>
      </c>
      <c r="F34" s="41" t="s">
        <v>11</v>
      </c>
      <c r="G34" s="41" t="s">
        <v>11</v>
      </c>
      <c r="H34" s="41" t="s">
        <v>11</v>
      </c>
      <c r="I34" s="41" t="s">
        <v>11</v>
      </c>
      <c r="J34" s="41" t="s">
        <v>11</v>
      </c>
      <c r="K34" s="43">
        <v>0.8</v>
      </c>
      <c r="L34" s="43">
        <v>0.8</v>
      </c>
      <c r="M34" s="43">
        <v>0.8</v>
      </c>
      <c r="N34" s="43">
        <v>0.8</v>
      </c>
    </row>
    <row r="35" spans="1:15" s="3" customFormat="1" ht="15" customHeight="1" x14ac:dyDescent="0.25">
      <c r="A35" s="51" t="s">
        <v>116</v>
      </c>
      <c r="B35" s="61" t="s">
        <v>48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9"/>
    </row>
    <row r="36" spans="1:15" s="3" customFormat="1" ht="15" customHeight="1" x14ac:dyDescent="0.25">
      <c r="A36" s="48" t="s">
        <v>117</v>
      </c>
      <c r="B36" s="60"/>
      <c r="C36" s="41" t="s">
        <v>49</v>
      </c>
      <c r="D36" s="41" t="s">
        <v>50</v>
      </c>
      <c r="E36" s="41">
        <v>1557</v>
      </c>
      <c r="F36" s="39">
        <v>1338</v>
      </c>
      <c r="G36" s="39">
        <v>1596</v>
      </c>
      <c r="H36" s="39">
        <v>1502</v>
      </c>
      <c r="I36" s="39">
        <v>1646</v>
      </c>
      <c r="J36" s="39">
        <v>1640</v>
      </c>
      <c r="K36" s="39">
        <v>1640</v>
      </c>
      <c r="L36" s="39">
        <v>1640</v>
      </c>
      <c r="M36" s="39">
        <v>1640</v>
      </c>
      <c r="N36" s="39">
        <v>1640</v>
      </c>
    </row>
    <row r="37" spans="1:15" s="3" customFormat="1" ht="15" customHeight="1" x14ac:dyDescent="0.25">
      <c r="A37" s="48" t="s">
        <v>118</v>
      </c>
      <c r="B37" s="60"/>
      <c r="C37" s="41" t="s">
        <v>51</v>
      </c>
      <c r="D37" s="41" t="s">
        <v>52</v>
      </c>
      <c r="E37" s="41">
        <v>1786</v>
      </c>
      <c r="F37" s="39">
        <v>1781</v>
      </c>
      <c r="G37" s="39">
        <v>1411</v>
      </c>
      <c r="H37" s="39">
        <v>1602</v>
      </c>
      <c r="I37" s="39">
        <v>1671</v>
      </c>
      <c r="J37" s="39">
        <v>1650</v>
      </c>
      <c r="K37" s="39">
        <v>1650</v>
      </c>
      <c r="L37" s="39">
        <v>1650</v>
      </c>
      <c r="M37" s="39">
        <v>1650</v>
      </c>
      <c r="N37" s="39">
        <v>1650</v>
      </c>
    </row>
    <row r="38" spans="1:15" s="3" customFormat="1" ht="15" customHeight="1" x14ac:dyDescent="0.25">
      <c r="A38" s="48" t="s">
        <v>119</v>
      </c>
      <c r="B38" s="60"/>
      <c r="C38" s="41" t="s">
        <v>53</v>
      </c>
      <c r="D38" s="41" t="s">
        <v>54</v>
      </c>
      <c r="E38" s="41" t="s">
        <v>11</v>
      </c>
      <c r="F38" s="39" t="s">
        <v>11</v>
      </c>
      <c r="G38" s="39" t="s">
        <v>11</v>
      </c>
      <c r="H38" s="39" t="s">
        <v>11</v>
      </c>
      <c r="I38" s="39" t="s">
        <v>11</v>
      </c>
      <c r="J38" s="39" t="s">
        <v>55</v>
      </c>
      <c r="K38" s="39" t="s">
        <v>55</v>
      </c>
      <c r="L38" s="39" t="s">
        <v>55</v>
      </c>
      <c r="M38" s="39" t="s">
        <v>55</v>
      </c>
      <c r="N38" s="39" t="s">
        <v>55</v>
      </c>
    </row>
    <row r="39" spans="1:15" s="3" customFormat="1" ht="15" customHeight="1" x14ac:dyDescent="0.25">
      <c r="A39" s="48" t="s">
        <v>120</v>
      </c>
      <c r="B39" s="60"/>
      <c r="C39" s="41" t="s">
        <v>56</v>
      </c>
      <c r="D39" s="41" t="s">
        <v>57</v>
      </c>
      <c r="E39" s="41" t="s">
        <v>11</v>
      </c>
      <c r="F39" s="39" t="s">
        <v>11</v>
      </c>
      <c r="G39" s="39" t="s">
        <v>11</v>
      </c>
      <c r="H39" s="39" t="s">
        <v>11</v>
      </c>
      <c r="I39" s="39" t="s">
        <v>11</v>
      </c>
      <c r="J39" s="39" t="s">
        <v>11</v>
      </c>
      <c r="K39" s="32" t="s">
        <v>55</v>
      </c>
      <c r="L39" s="32" t="s">
        <v>55</v>
      </c>
      <c r="M39" s="32" t="s">
        <v>55</v>
      </c>
      <c r="N39" s="32" t="s">
        <v>55</v>
      </c>
    </row>
    <row r="40" spans="1:15" s="3" customFormat="1" ht="15" customHeight="1" x14ac:dyDescent="0.25">
      <c r="A40" s="48" t="s">
        <v>121</v>
      </c>
      <c r="B40" s="60"/>
      <c r="C40" s="41" t="s">
        <v>58</v>
      </c>
      <c r="D40" s="33" t="s">
        <v>59</v>
      </c>
      <c r="E40" s="41">
        <v>111561</v>
      </c>
      <c r="F40" s="39">
        <v>82963</v>
      </c>
      <c r="G40" s="39">
        <v>65241</v>
      </c>
      <c r="H40" s="39">
        <v>94871</v>
      </c>
      <c r="I40" s="39">
        <v>74837</v>
      </c>
      <c r="J40" s="39">
        <v>85000</v>
      </c>
      <c r="K40" s="44"/>
      <c r="L40" s="44"/>
      <c r="M40" s="44"/>
      <c r="N40" s="44"/>
    </row>
    <row r="41" spans="1:15" s="3" customFormat="1" ht="15" customHeight="1" x14ac:dyDescent="0.25">
      <c r="A41" s="48" t="s">
        <v>122</v>
      </c>
      <c r="B41" s="60"/>
      <c r="C41" s="41" t="s">
        <v>60</v>
      </c>
      <c r="D41" s="33" t="s">
        <v>61</v>
      </c>
      <c r="E41" s="33" t="s">
        <v>11</v>
      </c>
      <c r="F41" s="33" t="s">
        <v>11</v>
      </c>
      <c r="G41" s="33" t="s">
        <v>11</v>
      </c>
      <c r="H41" s="33" t="s">
        <v>11</v>
      </c>
      <c r="I41" s="33" t="s">
        <v>11</v>
      </c>
      <c r="J41" s="33" t="s">
        <v>11</v>
      </c>
      <c r="K41" s="39" t="s">
        <v>55</v>
      </c>
      <c r="L41" s="39" t="s">
        <v>55</v>
      </c>
      <c r="M41" s="39" t="s">
        <v>55</v>
      </c>
      <c r="N41" s="39" t="s">
        <v>55</v>
      </c>
    </row>
    <row r="42" spans="1:15" s="3" customFormat="1" ht="15" customHeight="1" x14ac:dyDescent="0.25">
      <c r="A42" s="49" t="s">
        <v>123</v>
      </c>
      <c r="B42" s="61" t="s">
        <v>62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</row>
    <row r="43" spans="1:15" s="3" customFormat="1" ht="230.1" customHeight="1" x14ac:dyDescent="0.25">
      <c r="A43" s="52" t="s">
        <v>124</v>
      </c>
      <c r="B43" s="30"/>
      <c r="C43" s="31" t="s">
        <v>63</v>
      </c>
      <c r="D43" s="28" t="s">
        <v>64</v>
      </c>
      <c r="E43" s="28" t="s">
        <v>11</v>
      </c>
      <c r="F43" s="28" t="s">
        <v>11</v>
      </c>
      <c r="G43" s="28" t="s">
        <v>11</v>
      </c>
      <c r="H43" s="28" t="s">
        <v>11</v>
      </c>
      <c r="I43" s="28" t="s">
        <v>11</v>
      </c>
      <c r="J43" s="28" t="s">
        <v>65</v>
      </c>
      <c r="K43" s="28" t="s">
        <v>66</v>
      </c>
      <c r="L43" s="28" t="s">
        <v>66</v>
      </c>
      <c r="M43" s="28" t="s">
        <v>66</v>
      </c>
      <c r="N43" s="28" t="s">
        <v>66</v>
      </c>
    </row>
    <row r="44" spans="1:15" s="3" customFormat="1" ht="15" customHeight="1" x14ac:dyDescent="0.25">
      <c r="A44" s="57" t="s">
        <v>67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5" s="3" customFormat="1" ht="30" customHeight="1" x14ac:dyDescent="0.25">
      <c r="A45" s="74"/>
      <c r="B45" s="75" t="s">
        <v>68</v>
      </c>
      <c r="C45" s="7" t="s">
        <v>69</v>
      </c>
      <c r="D45" s="5" t="s">
        <v>70</v>
      </c>
      <c r="E45" s="13">
        <f>1454793/3122764</f>
        <v>0.4658670972254067</v>
      </c>
      <c r="F45" s="13">
        <f>979361/(3304726-37268)</f>
        <v>0.2997317792608199</v>
      </c>
      <c r="G45" s="13">
        <f>795366/(3311107-253782)</f>
        <v>0.26015094895047142</v>
      </c>
      <c r="H45" s="13">
        <f>1310461/(3288913-25125)</f>
        <v>0.40151535577678454</v>
      </c>
      <c r="I45" s="9">
        <f>1837216/4061279</f>
        <v>0.45237374728503016</v>
      </c>
      <c r="J45" s="12">
        <f>(1835916+2869)/(4048528-10480)</f>
        <v>0.45536481983374144</v>
      </c>
      <c r="K45" s="9">
        <v>0.4</v>
      </c>
      <c r="L45" s="9">
        <v>0.4</v>
      </c>
      <c r="M45" s="9">
        <v>0.4</v>
      </c>
      <c r="N45" s="9">
        <v>0.4</v>
      </c>
    </row>
    <row r="46" spans="1:15" s="3" customFormat="1" ht="45" customHeight="1" x14ac:dyDescent="0.25">
      <c r="A46" s="74"/>
      <c r="B46" s="75"/>
      <c r="C46" s="7" t="s">
        <v>71</v>
      </c>
      <c r="D46" s="5" t="s">
        <v>70</v>
      </c>
      <c r="E46" s="14">
        <f>(1667971-2916)/1454793</f>
        <v>1.1445305277108153</v>
      </c>
      <c r="F46" s="14">
        <f>(2325365-290)/979361</f>
        <v>2.3740735030290159</v>
      </c>
      <c r="G46" s="14">
        <f>(2515741-7790)/795366</f>
        <v>3.1532036823298961</v>
      </c>
      <c r="H46" s="14">
        <f>(1978452-14139-5310)/1310461</f>
        <v>1.4948960709246593</v>
      </c>
      <c r="I46" s="9">
        <f>(2258673-11353)/(1835916+1300)</f>
        <v>1.2232203507916326</v>
      </c>
      <c r="J46" s="12">
        <f>(2230846-68800)/(1835916+2869)</f>
        <v>1.1758014123456522</v>
      </c>
      <c r="K46" s="9">
        <v>1.2</v>
      </c>
      <c r="L46" s="9">
        <v>1.2</v>
      </c>
      <c r="M46" s="9">
        <v>1.2</v>
      </c>
      <c r="N46" s="9">
        <v>1.2</v>
      </c>
    </row>
    <row r="47" spans="1:15" s="3" customFormat="1" ht="30" customHeight="1" x14ac:dyDescent="0.25">
      <c r="A47" s="74"/>
      <c r="B47" s="75"/>
      <c r="C47" s="7" t="s">
        <v>72</v>
      </c>
      <c r="D47" s="5" t="s">
        <v>70</v>
      </c>
      <c r="E47" s="13">
        <f>13400/3122764</f>
        <v>4.2910703466544379E-3</v>
      </c>
      <c r="F47" s="13">
        <f>10863/3304726</f>
        <v>3.2871106409426984E-3</v>
      </c>
      <c r="G47" s="13">
        <f>12951/3311107</f>
        <v>3.9113806953384473E-3</v>
      </c>
      <c r="H47" s="13">
        <f>13262/3288913</f>
        <v>4.0323353034878093E-3</v>
      </c>
      <c r="I47" s="15">
        <f>13359/(2258673+1835916+3353)</f>
        <v>3.2599290082680524E-3</v>
      </c>
      <c r="J47" s="16">
        <f>14000/4048528</f>
        <v>3.4580469741100962E-3</v>
      </c>
      <c r="K47" s="15">
        <f>13359/(2258673+1835916+3353)</f>
        <v>3.2599290082680524E-3</v>
      </c>
      <c r="L47" s="15">
        <f>13359/(2258673+1835916+3353)</f>
        <v>3.2599290082680524E-3</v>
      </c>
      <c r="M47" s="15">
        <f>13359/(2258673+1835916+3353)</f>
        <v>3.2599290082680524E-3</v>
      </c>
      <c r="N47" s="15">
        <f>13359/(2258673+1835916+3353)</f>
        <v>3.2599290082680524E-3</v>
      </c>
    </row>
    <row r="48" spans="1:15" s="3" customFormat="1" ht="15" customHeight="1" x14ac:dyDescent="0.25">
      <c r="A48" s="74"/>
      <c r="B48" s="75"/>
      <c r="C48" s="7" t="s">
        <v>73</v>
      </c>
      <c r="D48" s="5" t="s">
        <v>70</v>
      </c>
      <c r="E48" s="5">
        <v>4.0599999999999996</v>
      </c>
      <c r="F48" s="10">
        <v>5.27</v>
      </c>
      <c r="G48" s="5">
        <v>5.48</v>
      </c>
      <c r="H48" s="5">
        <v>4.5999999999999996</v>
      </c>
      <c r="I48" s="5">
        <v>3.6</v>
      </c>
      <c r="J48" s="8">
        <v>1.7</v>
      </c>
      <c r="K48" s="5" t="s">
        <v>74</v>
      </c>
      <c r="L48" s="5" t="s">
        <v>74</v>
      </c>
      <c r="M48" s="5" t="s">
        <v>74</v>
      </c>
      <c r="N48" s="5" t="s">
        <v>75</v>
      </c>
    </row>
    <row r="49" spans="1:15" s="3" customFormat="1" ht="30" customHeight="1" x14ac:dyDescent="0.25">
      <c r="A49" s="74"/>
      <c r="B49" s="75" t="s">
        <v>76</v>
      </c>
      <c r="C49" s="7" t="s">
        <v>77</v>
      </c>
      <c r="D49" s="5" t="s">
        <v>14</v>
      </c>
      <c r="E49" s="17" t="s">
        <v>11</v>
      </c>
      <c r="F49" s="17" t="s">
        <v>11</v>
      </c>
      <c r="G49" s="17" t="s">
        <v>11</v>
      </c>
      <c r="H49" s="17" t="s">
        <v>11</v>
      </c>
      <c r="I49" s="5" t="s">
        <v>11</v>
      </c>
      <c r="J49" s="5">
        <v>0</v>
      </c>
      <c r="K49" s="27"/>
      <c r="L49" s="27"/>
      <c r="M49" s="27"/>
      <c r="N49" s="27"/>
      <c r="O49" s="6"/>
    </row>
    <row r="50" spans="1:15" s="3" customFormat="1" ht="45" customHeight="1" x14ac:dyDescent="0.25">
      <c r="A50" s="74"/>
      <c r="B50" s="75"/>
      <c r="C50" s="7" t="s">
        <v>78</v>
      </c>
      <c r="D50" s="5" t="s">
        <v>70</v>
      </c>
      <c r="E50" s="18">
        <f>(1152868-87500)/E21</f>
        <v>17.78518246469233</v>
      </c>
      <c r="F50" s="18">
        <f>(940442-51091)/F21</f>
        <v>23.314397315576993</v>
      </c>
      <c r="G50" s="18">
        <f>(961760-542094)/G21</f>
        <v>13.161037413365948</v>
      </c>
      <c r="H50" s="18">
        <f>(1524817-56509-200000)/H21</f>
        <v>25.952690812359322</v>
      </c>
      <c r="I50" s="18">
        <f>(1485945-205000-559395)/I21</f>
        <v>11.198628010926248</v>
      </c>
      <c r="J50" s="19">
        <f>(1721468-215000-581438)/J21</f>
        <v>15.020866148125295</v>
      </c>
      <c r="K50" s="27"/>
      <c r="L50" s="27"/>
      <c r="M50" s="27"/>
      <c r="N50" s="27"/>
    </row>
    <row r="51" spans="1:15" s="3" customFormat="1" ht="45" customHeight="1" x14ac:dyDescent="0.25">
      <c r="A51" s="74"/>
      <c r="B51" s="75"/>
      <c r="C51" s="7" t="s">
        <v>79</v>
      </c>
      <c r="D51" s="5" t="s">
        <v>70</v>
      </c>
      <c r="E51" s="18">
        <f>1667971/E21</f>
        <v>27.844996828152649</v>
      </c>
      <c r="F51" s="18">
        <f>(2325365-60000)/F21</f>
        <v>59.386698474283016</v>
      </c>
      <c r="G51" s="18">
        <f>(2507951-229550)/G21</f>
        <v>71.452347351585288</v>
      </c>
      <c r="H51" s="18">
        <f>(1978452-1500)/H21</f>
        <v>40.45328422344997</v>
      </c>
      <c r="I51" s="18">
        <f>(2258673-11353-230550)/I21</f>
        <v>31.300751179538118</v>
      </c>
      <c r="J51" s="19">
        <f>(2230846-68800-10480)/J21</f>
        <v>34.937661367585207</v>
      </c>
      <c r="K51" s="27"/>
      <c r="L51" s="27"/>
      <c r="M51" s="27"/>
      <c r="N51" s="27"/>
    </row>
    <row r="52" spans="1:15" s="3" customFormat="1" ht="45" customHeight="1" x14ac:dyDescent="0.25">
      <c r="A52" s="74"/>
      <c r="B52" s="75"/>
      <c r="C52" s="7" t="s">
        <v>80</v>
      </c>
      <c r="D52" s="5" t="s">
        <v>70</v>
      </c>
      <c r="E52" s="20">
        <f>1454793/83.3</f>
        <v>17464.501800720289</v>
      </c>
      <c r="F52" s="20">
        <f>979361/83.3</f>
        <v>11757.034813925571</v>
      </c>
      <c r="G52" s="20">
        <f>795366/82.7</f>
        <v>9617.4848851269653</v>
      </c>
      <c r="H52" s="20">
        <f>1310461/84.3</f>
        <v>15545.207591933571</v>
      </c>
      <c r="I52" s="20">
        <f>1837216/84.2</f>
        <v>21819.667458432305</v>
      </c>
      <c r="J52" s="11">
        <f>(1835916+2869)/84.7</f>
        <v>21709.386068476975</v>
      </c>
      <c r="K52" s="27"/>
      <c r="L52" s="27"/>
      <c r="M52" s="27"/>
      <c r="N52" s="27"/>
    </row>
    <row r="53" spans="1:15" s="3" customFormat="1" ht="15" customHeight="1" x14ac:dyDescent="0.25">
      <c r="A53" s="74"/>
      <c r="B53" s="75"/>
      <c r="C53" s="4" t="s">
        <v>81</v>
      </c>
      <c r="D53" s="10" t="s">
        <v>82</v>
      </c>
      <c r="E53" s="20">
        <f>-182219+212376</f>
        <v>30157</v>
      </c>
      <c r="F53" s="20">
        <f>269407+204243</f>
        <v>473650</v>
      </c>
      <c r="G53" s="20">
        <f>233905+201666</f>
        <v>435571</v>
      </c>
      <c r="H53" s="20">
        <f>-354530+213364</f>
        <v>-141166</v>
      </c>
      <c r="I53" s="20">
        <f>127671+197366</f>
        <v>325037</v>
      </c>
      <c r="J53" s="11">
        <f>-217066+203005</f>
        <v>-14061</v>
      </c>
      <c r="K53" s="27"/>
      <c r="L53" s="27"/>
      <c r="M53" s="27"/>
      <c r="N53" s="27"/>
    </row>
    <row r="54" spans="1:15" s="3" customFormat="1" ht="15" customHeight="1" x14ac:dyDescent="0.25">
      <c r="A54" s="73" t="s">
        <v>83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5" s="3" customFormat="1" ht="45" customHeight="1" x14ac:dyDescent="0.25">
      <c r="A55" s="10" t="s">
        <v>101</v>
      </c>
      <c r="B55" s="7" t="s">
        <v>84</v>
      </c>
      <c r="C55" s="5" t="s">
        <v>85</v>
      </c>
      <c r="D55" s="10" t="s">
        <v>86</v>
      </c>
      <c r="E55" s="10" t="s">
        <v>11</v>
      </c>
      <c r="F55" s="10" t="s">
        <v>11</v>
      </c>
      <c r="G55" s="10" t="s">
        <v>11</v>
      </c>
      <c r="H55" s="10" t="s">
        <v>11</v>
      </c>
      <c r="I55" s="10" t="s">
        <v>11</v>
      </c>
      <c r="J55" s="10" t="s">
        <v>11</v>
      </c>
      <c r="K55" s="10" t="s">
        <v>55</v>
      </c>
      <c r="L55" s="10" t="s">
        <v>55</v>
      </c>
      <c r="M55" s="10" t="s">
        <v>55</v>
      </c>
      <c r="N55" s="10" t="s">
        <v>55</v>
      </c>
    </row>
    <row r="56" spans="1:15" s="3" customFormat="1" ht="15" customHeight="1" x14ac:dyDescent="0.25">
      <c r="A56" s="41" t="s">
        <v>105</v>
      </c>
      <c r="B56" s="54" t="s">
        <v>125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</row>
    <row r="57" spans="1:15" s="3" customFormat="1" ht="30" customHeight="1" x14ac:dyDescent="0.25">
      <c r="A57" s="53" t="s">
        <v>106</v>
      </c>
      <c r="B57" s="7"/>
      <c r="C57" s="5" t="s">
        <v>87</v>
      </c>
      <c r="D57" s="5" t="s">
        <v>86</v>
      </c>
      <c r="E57" s="5" t="s">
        <v>88</v>
      </c>
      <c r="F57" s="5" t="s">
        <v>88</v>
      </c>
      <c r="G57" s="5" t="s">
        <v>88</v>
      </c>
      <c r="H57" s="5" t="s">
        <v>88</v>
      </c>
      <c r="I57" s="10" t="s">
        <v>55</v>
      </c>
      <c r="J57" s="10" t="s">
        <v>55</v>
      </c>
      <c r="K57" s="10" t="s">
        <v>55</v>
      </c>
      <c r="L57" s="10" t="s">
        <v>55</v>
      </c>
      <c r="M57" s="10" t="s">
        <v>55</v>
      </c>
      <c r="N57" s="10" t="s">
        <v>55</v>
      </c>
    </row>
    <row r="58" spans="1:15" s="3" customFormat="1" ht="45" customHeight="1" x14ac:dyDescent="0.25">
      <c r="A58" s="53" t="s">
        <v>107</v>
      </c>
      <c r="B58" s="7"/>
      <c r="C58" s="5" t="s">
        <v>89</v>
      </c>
      <c r="D58" s="5" t="s">
        <v>90</v>
      </c>
      <c r="E58" s="5" t="s">
        <v>88</v>
      </c>
      <c r="F58" s="5" t="s">
        <v>88</v>
      </c>
      <c r="G58" s="5" t="s">
        <v>88</v>
      </c>
      <c r="H58" s="5" t="s">
        <v>88</v>
      </c>
      <c r="I58" s="10" t="s">
        <v>88</v>
      </c>
      <c r="J58" s="10" t="s">
        <v>55</v>
      </c>
      <c r="K58" s="10" t="s">
        <v>55</v>
      </c>
      <c r="L58" s="10" t="s">
        <v>55</v>
      </c>
      <c r="M58" s="10" t="s">
        <v>55</v>
      </c>
      <c r="N58" s="10" t="s">
        <v>55</v>
      </c>
    </row>
    <row r="59" spans="1:15" s="3" customFormat="1" ht="120" customHeight="1" x14ac:dyDescent="0.25">
      <c r="A59" s="10" t="s">
        <v>111</v>
      </c>
      <c r="B59" s="7" t="s">
        <v>97</v>
      </c>
      <c r="C59" s="5" t="s">
        <v>91</v>
      </c>
      <c r="D59" s="10" t="s">
        <v>92</v>
      </c>
      <c r="E59" s="5" t="s">
        <v>11</v>
      </c>
      <c r="F59" s="5" t="s">
        <v>11</v>
      </c>
      <c r="G59" s="5" t="s">
        <v>11</v>
      </c>
      <c r="H59" s="5" t="s">
        <v>11</v>
      </c>
      <c r="I59" s="5" t="s">
        <v>11</v>
      </c>
      <c r="J59" s="21">
        <v>0.96499999999999997</v>
      </c>
      <c r="K59" s="9">
        <v>0.96</v>
      </c>
      <c r="L59" s="9">
        <v>0.96</v>
      </c>
      <c r="M59" s="9">
        <v>0.96</v>
      </c>
      <c r="N59" s="9">
        <v>0.96</v>
      </c>
    </row>
    <row r="60" spans="1:15" s="3" customFormat="1" ht="75" customHeight="1" x14ac:dyDescent="0.25">
      <c r="A60" s="10" t="s">
        <v>112</v>
      </c>
      <c r="B60" s="7" t="s">
        <v>93</v>
      </c>
      <c r="C60" s="10" t="s">
        <v>94</v>
      </c>
      <c r="D60" s="5" t="s">
        <v>86</v>
      </c>
      <c r="E60" s="5" t="s">
        <v>88</v>
      </c>
      <c r="F60" s="5" t="s">
        <v>88</v>
      </c>
      <c r="G60" s="5" t="s">
        <v>88</v>
      </c>
      <c r="H60" s="5" t="s">
        <v>88</v>
      </c>
      <c r="I60" s="5" t="s">
        <v>88</v>
      </c>
      <c r="J60" s="10" t="s">
        <v>55</v>
      </c>
      <c r="K60" s="10" t="s">
        <v>55</v>
      </c>
      <c r="L60" s="10" t="s">
        <v>55</v>
      </c>
      <c r="M60" s="10" t="s">
        <v>55</v>
      </c>
      <c r="N60" s="10" t="s">
        <v>55</v>
      </c>
      <c r="O60" s="22"/>
    </row>
  </sheetData>
  <sheetProtection selectLockedCells="1" selectUnlockedCells="1"/>
  <mergeCells count="26">
    <mergeCell ref="B33:N33"/>
    <mergeCell ref="B35:N35"/>
    <mergeCell ref="A54:N54"/>
    <mergeCell ref="B36:B41"/>
    <mergeCell ref="B42:N42"/>
    <mergeCell ref="A44:N44"/>
    <mergeCell ref="A45:A48"/>
    <mergeCell ref="B45:B48"/>
    <mergeCell ref="A49:A53"/>
    <mergeCell ref="B49:B53"/>
    <mergeCell ref="B56:N56"/>
    <mergeCell ref="A2:N2"/>
    <mergeCell ref="B3:B7"/>
    <mergeCell ref="A8:N8"/>
    <mergeCell ref="B9:N9"/>
    <mergeCell ref="B10:B13"/>
    <mergeCell ref="B14:N14"/>
    <mergeCell ref="A16:B17"/>
    <mergeCell ref="A19:B21"/>
    <mergeCell ref="B25:N25"/>
    <mergeCell ref="B26:B28"/>
    <mergeCell ref="B15:N15"/>
    <mergeCell ref="B18:N18"/>
    <mergeCell ref="B29:N29"/>
    <mergeCell ref="B30:N30"/>
    <mergeCell ref="A31:B32"/>
  </mergeCells>
  <pageMargins left="0.25" right="0.25" top="0.75" bottom="0.75" header="0.3" footer="0.3"/>
  <pageSetup paperSize="9" scale="56" firstPageNumber="0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Rakvere Teatrimaja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 Kaunissaare</dc:creator>
  <cp:lastModifiedBy>Erle Toiger - KUM</cp:lastModifiedBy>
  <cp:revision>3</cp:revision>
  <cp:lastPrinted>2025-11-26T09:01:14Z</cp:lastPrinted>
  <dcterms:created xsi:type="dcterms:W3CDTF">2024-02-16T14:09:15Z</dcterms:created>
  <dcterms:modified xsi:type="dcterms:W3CDTF">2025-11-26T09:01:34Z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0x01010089E336399F1DEF48AB901E64AE16DB78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2025-11-26T09:01:34Z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1fb10be3-c7c2-4c0f-856b-02f3c3c9fdbd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