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IM/SMIT/Kaarlimõisa tee 4/"/>
    </mc:Choice>
  </mc:AlternateContent>
  <xr:revisionPtr revIDLastSave="130" documentId="13_ncr:1_{3B3C21D3-2805-4B0E-BEB2-ABF88B67D7B8}" xr6:coauthVersionLast="47" xr6:coauthVersionMax="47" xr10:uidLastSave="{BD3AE33C-F714-4F94-8505-E0C45F93B30A}"/>
  <workbookProtection workbookAlgorithmName="SHA-512" workbookHashValue="7YwKDNjJPOcmVrpasWNPv6t4wX58ILFAfzHztGurAtrc978V9W0liThEl0i5zO2riWdFuwgeETATzWmgjF8Z4A==" workbookSaltValue="XtHb0jMH2Yt03yKL5Ae6Ng==" workbookSpinCount="100000" lockStructure="1"/>
  <bookViews>
    <workbookView xWindow="28680" yWindow="-120" windowWidth="29040" windowHeight="158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 l="1"/>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BA8" i="11"/>
  <c r="AZ8" i="11"/>
  <c r="A7" i="11"/>
  <c r="AZ10" i="11" l="1"/>
  <c r="BA10" i="11"/>
  <c r="AZ9" i="11"/>
  <c r="BA9"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60" i="11"/>
  <c r="AT62" i="11"/>
  <c r="AK62" i="11"/>
  <c r="AK68" i="11"/>
  <c r="AF71" i="11"/>
  <c r="AO77" i="11"/>
  <c r="AL78" i="11"/>
  <c r="AO80" i="11"/>
  <c r="AR82" i="11"/>
  <c r="AE84" i="11"/>
  <c r="AR86" i="11"/>
  <c r="AU92" i="11"/>
  <c r="AG92" i="11"/>
  <c r="AQ38" i="11"/>
  <c r="AC39" i="11"/>
  <c r="AE34" i="11"/>
  <c r="AJ35" i="11"/>
  <c r="AM35" i="11"/>
  <c r="AS36"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Q27" i="11"/>
  <c r="AO25" i="11"/>
  <c r="AF24" i="11"/>
  <c r="AF30" i="11"/>
  <c r="AQ16" i="11"/>
  <c r="AN25" i="11"/>
  <c r="AE4" i="11"/>
  <c r="AT4" i="11"/>
  <c r="AS32" i="11"/>
  <c r="AI18" i="11"/>
  <c r="AQ31" i="11"/>
  <c r="AR24" i="11"/>
  <c r="AT30" i="11"/>
  <c r="AL30" i="11"/>
  <c r="AP30" i="11"/>
  <c r="AG20" i="11"/>
  <c r="AC31" i="11"/>
  <c r="AE18" i="11"/>
  <c r="AQ18" i="11"/>
  <c r="AF18" i="11"/>
  <c r="AC18" i="11"/>
  <c r="AS18" i="11"/>
  <c r="AK30" i="11"/>
  <c r="AR23" i="11"/>
  <c r="AD8" i="11"/>
  <c r="AG31" i="11"/>
  <c r="AC23" i="11"/>
  <c r="AO27" i="11"/>
  <c r="AE8" i="11"/>
  <c r="AM20" i="11"/>
  <c r="AI31" i="11"/>
  <c r="AR31" i="11"/>
  <c r="AP17" i="11"/>
  <c r="AL25" i="11"/>
  <c r="AJ4" i="11"/>
  <c r="AQ4" i="11"/>
  <c r="AG16" i="11"/>
  <c r="AS24" i="11"/>
  <c r="AO32" i="11"/>
  <c r="AL32" i="11"/>
  <c r="AL23" i="11"/>
  <c r="AF27" i="11"/>
  <c r="AD27" i="11"/>
  <c r="AH20" i="11"/>
  <c r="AN31" i="11"/>
  <c r="AO17" i="11"/>
  <c r="AG25" i="11"/>
  <c r="AC24" i="11"/>
  <c r="AI24" i="11"/>
  <c r="AR32" i="11"/>
  <c r="AC32" i="11"/>
  <c r="AO30" i="11"/>
  <c r="AI8" i="11"/>
  <c r="AO8" i="11"/>
  <c r="AH17" i="11"/>
  <c r="AU8" i="11"/>
  <c r="AG8" i="11"/>
  <c r="AL8" i="11"/>
  <c r="AN20" i="11"/>
  <c r="AP20" i="11"/>
  <c r="AR30" i="11"/>
  <c r="AG30"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P8" i="11"/>
  <c r="AF8" i="11"/>
  <c r="AS8" i="11"/>
  <c r="AT18" i="11"/>
  <c r="AE30" i="11"/>
  <c r="AI30" i="11"/>
  <c r="AN30" i="11"/>
  <c r="AH30" i="11"/>
  <c r="AS30"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C30" i="11"/>
  <c r="AQ30" i="11"/>
  <c r="AD30" i="11"/>
  <c r="AJ30"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30" i="11"/>
  <c r="AR18" i="11"/>
  <c r="AP18" i="11"/>
  <c r="AI20" i="11"/>
  <c r="AH31" i="11"/>
  <c r="AS31" i="11"/>
  <c r="AU17" i="11"/>
  <c r="AC16" i="11"/>
  <c r="AF16" i="11"/>
  <c r="AN24" i="11"/>
  <c r="AM2" i="11"/>
  <c r="AC2" i="11"/>
  <c r="M2" i="11"/>
  <c r="M15" i="11" s="1"/>
  <c r="N2" i="11"/>
  <c r="N15" i="11" s="1"/>
  <c r="O2" i="11"/>
  <c r="O15" i="11" s="1"/>
  <c r="P2" i="11"/>
  <c r="P15" i="11" s="1"/>
  <c r="Q2" i="11"/>
  <c r="Q15" i="11" s="1"/>
  <c r="L2" i="11"/>
  <c r="L15" i="11" s="1"/>
  <c r="K2" i="11"/>
  <c r="K15" i="11" s="1"/>
  <c r="R2" i="11"/>
  <c r="R15" i="11" s="1"/>
  <c r="J2" i="11"/>
  <c r="J15" i="11" s="1"/>
  <c r="S2" i="11"/>
  <c r="S15" i="11" s="1"/>
  <c r="T2" i="11"/>
  <c r="T15"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T22" i="11" l="1"/>
  <c r="T43" i="11"/>
  <c r="J22" i="11"/>
  <c r="J43" i="11"/>
  <c r="R22" i="11"/>
  <c r="R43" i="11"/>
  <c r="K22" i="11"/>
  <c r="K43" i="11"/>
  <c r="S22" i="11"/>
  <c r="S43" i="11"/>
  <c r="L22" i="11"/>
  <c r="L43" i="11"/>
  <c r="Q22" i="11"/>
  <c r="Q43" i="11"/>
  <c r="P22" i="11"/>
  <c r="P43" i="11"/>
  <c r="O22" i="11"/>
  <c r="O43" i="11"/>
  <c r="M22" i="11"/>
  <c r="M43" i="11"/>
  <c r="N22" i="11"/>
  <c r="N43" i="11"/>
  <c r="AZ6" i="1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5"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2" i="11" l="1"/>
  <c r="U4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15" i="11" s="1"/>
  <c r="E93" i="4"/>
  <c r="E92" i="4"/>
  <c r="E94" i="4"/>
  <c r="E87" i="4"/>
  <c r="E85" i="4"/>
  <c r="E88" i="4"/>
  <c r="E91" i="4"/>
  <c r="E89" i="4"/>
  <c r="AB3" i="1"/>
  <c r="V22" i="11" l="1"/>
  <c r="V43" i="11"/>
  <c r="BA3" i="11"/>
  <c r="BA5" i="11"/>
  <c r="BA6"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15" i="11" s="1"/>
  <c r="E99" i="4"/>
  <c r="E101" i="4"/>
  <c r="E104" i="4"/>
  <c r="E97" i="4"/>
  <c r="E102" i="4"/>
  <c r="E98" i="4"/>
  <c r="E95" i="4"/>
  <c r="E103" i="4"/>
  <c r="B12" i="9"/>
  <c r="B18" i="9"/>
  <c r="AC3" i="1"/>
  <c r="W22" i="11" l="1"/>
  <c r="W43" i="11"/>
  <c r="BA4" i="11"/>
  <c r="BA7"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15" i="11" s="1"/>
  <c r="E111" i="4"/>
  <c r="E114" i="4"/>
  <c r="E108" i="4"/>
  <c r="E113" i="4"/>
  <c r="E107" i="4"/>
  <c r="E105" i="4"/>
  <c r="E112" i="4"/>
  <c r="E109" i="4"/>
  <c r="C11" i="4"/>
  <c r="C2" i="4"/>
  <c r="I2" i="4" s="1"/>
  <c r="D1" i="4"/>
  <c r="AD3" i="1"/>
  <c r="X22" i="11" l="1"/>
  <c r="X43"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5" i="11" s="1"/>
  <c r="E115" i="4"/>
  <c r="E121" i="4"/>
  <c r="E119" i="4"/>
  <c r="E118" i="4"/>
  <c r="E124" i="4"/>
  <c r="E117" i="4"/>
  <c r="E123" i="4"/>
  <c r="E122" i="4"/>
  <c r="G11" i="4"/>
  <c r="F11" i="4"/>
  <c r="D11" i="4"/>
  <c r="G2" i="4"/>
  <c r="F2" i="4"/>
  <c r="C21" i="4"/>
  <c r="C3" i="4"/>
  <c r="C12" i="4"/>
  <c r="AE3" i="1"/>
  <c r="Y22" i="11" l="1"/>
  <c r="Y4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5" i="11" s="1"/>
  <c r="E127" i="4"/>
  <c r="E133" i="4"/>
  <c r="E129" i="4"/>
  <c r="E131" i="4"/>
  <c r="E132" i="4"/>
  <c r="E128" i="4"/>
  <c r="E134" i="4"/>
  <c r="E125" i="4"/>
  <c r="G21" i="4"/>
  <c r="D21" i="4"/>
  <c r="F21" i="4"/>
  <c r="G3" i="4"/>
  <c r="F3" i="4"/>
  <c r="G12" i="4"/>
  <c r="F12" i="4"/>
  <c r="C31" i="4"/>
  <c r="C22" i="4"/>
  <c r="C13" i="4"/>
  <c r="C4" i="4"/>
  <c r="I4" i="4" s="1"/>
  <c r="AF3" i="1"/>
  <c r="Z22" i="11" l="1"/>
  <c r="Z43"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5"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2" i="11" l="1"/>
  <c r="AA43"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5" i="11" s="1"/>
  <c r="AR15" i="11" s="1"/>
  <c r="E151" i="4"/>
  <c r="E148" i="4"/>
  <c r="E145" i="4"/>
  <c r="E154" i="4"/>
  <c r="E153" i="4"/>
  <c r="E147" i="4"/>
  <c r="E149" i="4"/>
  <c r="E152" i="4"/>
  <c r="G6" i="4"/>
  <c r="F6" i="4"/>
  <c r="G14" i="4"/>
  <c r="F14" i="4"/>
  <c r="G32" i="4"/>
  <c r="F32" i="4"/>
  <c r="G5" i="4"/>
  <c r="F5" i="4"/>
  <c r="G41" i="4"/>
  <c r="D41" i="4"/>
  <c r="F41" i="4"/>
  <c r="G23" i="4"/>
  <c r="F23" i="4"/>
  <c r="C51" i="4"/>
  <c r="C42" i="4"/>
  <c r="C24" i="4"/>
  <c r="C15" i="4"/>
  <c r="C33" i="4"/>
  <c r="AS15" i="11" l="1"/>
  <c r="AQ15" i="11"/>
  <c r="AU15" i="11"/>
  <c r="AI15" i="11"/>
  <c r="AJ15" i="11"/>
  <c r="AG15" i="11"/>
  <c r="AC15" i="11"/>
  <c r="AK15" i="11"/>
  <c r="AH15" i="11"/>
  <c r="AD15" i="11"/>
  <c r="AM15" i="11"/>
  <c r="AE15" i="11"/>
  <c r="AF15" i="11"/>
  <c r="AL15" i="11"/>
  <c r="AN15" i="11"/>
  <c r="AO15" i="11"/>
  <c r="AP15" i="11"/>
  <c r="AT15" i="11"/>
  <c r="AB22" i="11"/>
  <c r="AL22" i="11" s="1"/>
  <c r="AB43" i="11"/>
  <c r="AI22" i="11"/>
  <c r="AF22" i="11"/>
  <c r="AM22" i="11"/>
  <c r="AH22" i="11"/>
  <c r="AC22" i="11"/>
  <c r="AG22" i="11"/>
  <c r="AJ22" i="11"/>
  <c r="AN22" i="11"/>
  <c r="AD22" i="11"/>
  <c r="AK22" i="11"/>
  <c r="AO22" i="11"/>
  <c r="AP22" i="11"/>
  <c r="AQ22" i="11"/>
  <c r="AT22" i="11"/>
  <c r="AS22" i="11"/>
  <c r="AR22"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U22" i="11" l="1"/>
  <c r="AU43" i="11"/>
  <c r="AK43" i="11"/>
  <c r="AJ43" i="11"/>
  <c r="AF43" i="11"/>
  <c r="AM43" i="11"/>
  <c r="AC43" i="11"/>
  <c r="AL43" i="11"/>
  <c r="AI43" i="11"/>
  <c r="AE43" i="11"/>
  <c r="AH43" i="11"/>
  <c r="AG43" i="11"/>
  <c r="AD43" i="11"/>
  <c r="AN43" i="11"/>
  <c r="AO43" i="11"/>
  <c r="AQ43" i="11"/>
  <c r="AP43" i="11"/>
  <c r="AE22" i="11"/>
  <c r="AS43" i="11"/>
  <c r="AT43" i="11"/>
  <c r="AR43"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AZ33" i="11" l="1"/>
  <c r="BA33" i="11"/>
  <c r="I18" i="4"/>
  <c r="C20" i="4"/>
  <c r="C30" i="4" s="1"/>
  <c r="C40" i="4" s="1"/>
  <c r="C50" i="4" s="1"/>
  <c r="C60" i="4" s="1"/>
  <c r="AY33" i="11"/>
  <c r="AW34" i="11"/>
  <c r="BC33" i="11"/>
  <c r="BB33" i="11"/>
  <c r="BC4"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7" i="11"/>
  <c r="BC7"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<sst xmlns="http://schemas.openxmlformats.org/spreadsheetml/2006/main" count="1306" uniqueCount="274">
  <si>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</si>
  <si>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</si>
  <si>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</si>
  <si>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</si>
  <si>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</si>
  <si>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</si>
  <si>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</si>
  <si>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</si>
  <si>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</si>
  <si>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</si>
  <si>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PÄÄSTEAMET</t>
  </si>
  <si>
    <t>KAARLIMOISATEE4_01</t>
  </si>
  <si>
    <t>POLITSEI- JA PIIRIVALVEAMET</t>
  </si>
  <si>
    <t>KAARLIMOISATEE4_02</t>
  </si>
  <si>
    <t>SISEMINISTEERIUMI INFOTEHNOLOOGIA</t>
  </si>
  <si>
    <t>KAARLIMOISATEE4_03</t>
  </si>
  <si>
    <t>Hoone nimetus:</t>
  </si>
  <si>
    <t>Praktikakorpus</t>
  </si>
  <si>
    <t>Aadress:</t>
  </si>
  <si>
    <t xml:space="preserve">Jõgeva maakond, Põltsamaa vald, Väike-Kamari küla, Kaarlimõisa tee 4 </t>
  </si>
  <si>
    <t>Korruselisus:</t>
  </si>
  <si>
    <t>01</t>
  </si>
  <si>
    <t>Lisakorrused:</t>
  </si>
  <si>
    <t>Töö number:</t>
  </si>
  <si>
    <t>S18/19</t>
  </si>
  <si>
    <t>Mõõdistaja:</t>
  </si>
  <si>
    <t>Hades Geodeesia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</si>
  <si>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</si>
  <si>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</si>
  <si>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</si>
  <si>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</si>
  <si>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</si>
  <si>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</si>
  <si>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</si>
  <si>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</si>
  <si>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</si>
  <si>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</si>
  <si>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</si>
  <si>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</si>
  <si>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</si>
  <si>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</si>
  <si>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</si>
  <si>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</si>
  <si>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</si>
  <si>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</si>
  <si>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</si>
  <si>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</si>
  <si>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</si>
  <si>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</si>
  <si>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</si>
  <si>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</si>
  <si>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</si>
  <si>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</si>
  <si>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</si>
  <si>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</si>
  <si>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</si>
  <si>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</si>
  <si>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</si>
  <si>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ÜÜRITAV PIND</t>
  </si>
  <si>
    <t>Töökoda</t>
  </si>
  <si>
    <t>41 Tootmisruumid</t>
  </si>
  <si>
    <t>Hoiuruum/Ladu</t>
  </si>
  <si>
    <t>59 Liigitamata hoiuruumid</t>
  </si>
  <si>
    <t>Koridor</t>
  </si>
  <si>
    <t>91 Horisontaalliiklusruumid</t>
  </si>
  <si>
    <t>Kabinet/Büroo</t>
  </si>
  <si>
    <t>21 Bürooruumid</t>
  </si>
  <si>
    <t>Garderoob</t>
  </si>
  <si>
    <t>51 Garderoobiruumid</t>
  </si>
  <si>
    <t>106a</t>
  </si>
  <si>
    <t>Abiruum</t>
  </si>
  <si>
    <t>23 Äriruumide abiruumid</t>
  </si>
  <si>
    <t>106b</t>
  </si>
  <si>
    <t>WC</t>
  </si>
  <si>
    <t>73 WC-ruumid</t>
  </si>
  <si>
    <t>106c</t>
  </si>
  <si>
    <t>Pesuruum</t>
  </si>
  <si>
    <t>72 Pesuruumid</t>
  </si>
  <si>
    <t>106d</t>
  </si>
  <si>
    <t>106e</t>
  </si>
  <si>
    <t>Garaaž</t>
  </si>
  <si>
    <t>55 Garaažid</t>
  </si>
  <si>
    <t>PÄA kasutab ruumi 67,31% ulatuses. Ülejäänud 32,69% ruumist kasutab väliheakord masinate hoidmiseks.</t>
  </si>
  <si>
    <t>Ühiskasutuses muu pind (muu)</t>
  </si>
  <si>
    <t>Autopesula</t>
  </si>
  <si>
    <t>85 Pesumaja</t>
  </si>
  <si>
    <t>Klassiruum</t>
  </si>
  <si>
    <t>31 Klassiruumid</t>
  </si>
  <si>
    <t>52 Laod</t>
  </si>
  <si>
    <t>PÄA 80,79 % ja SMIT 19,21%</t>
  </si>
  <si>
    <t>TEHNOPIND</t>
  </si>
  <si>
    <t>Vent ruum</t>
  </si>
  <si>
    <t>96 Ventilatsiooniruumid</t>
  </si>
  <si>
    <t>Eesruum</t>
  </si>
  <si>
    <t>PÄA 50% ja SMIT 50 %</t>
  </si>
  <si>
    <t>Aatrium/Fuajee</t>
  </si>
  <si>
    <t>Koristus- ja hooldusruum</t>
  </si>
  <si>
    <t>86 Koristus- ja hooldusruumid</t>
  </si>
  <si>
    <t>130a</t>
  </si>
  <si>
    <t>130b</t>
  </si>
  <si>
    <t>130c</t>
  </si>
  <si>
    <t>Elektrikilp</t>
  </si>
  <si>
    <t>97 Elektrotehnilised ruumid</t>
  </si>
  <si>
    <t>PÄA 50% ja PPA 50%</t>
  </si>
  <si>
    <t>PÄA 92,48% ja PPA 7,52%</t>
  </si>
  <si>
    <t>PÄA 88,81% ja PPA 11,19%</t>
  </si>
  <si>
    <t>139/1</t>
  </si>
  <si>
    <t>Server</t>
  </si>
  <si>
    <t>Soojasõlm</t>
  </si>
  <si>
    <t>94 Kütte- ja veehooldusruumid</t>
  </si>
  <si>
    <t>Veemõõdusõlmega</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</si>
  <si>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</si>
  <si>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</si>
  <si>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</si>
  <si>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</si>
  <si>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</si>
  <si>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</si>
  <si>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</si>
  <si>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</si>
  <si>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</si>
  <si>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</si>
  <si>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</si>
  <si>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</si>
  <si>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</si>
  <si>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</si>
  <si>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</si>
  <si>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</si>
  <si>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Katlaruum</t>
  </si>
  <si>
    <t>Kütusehoidla</t>
  </si>
  <si>
    <t>Lifti masinaruum</t>
  </si>
  <si>
    <t>Pumpla</t>
  </si>
  <si>
    <t>Samarõhukamber</t>
  </si>
  <si>
    <t>Sideruum/Nõrkvool</t>
  </si>
  <si>
    <t>Sprinkler/Tuletõrje pump</t>
  </si>
  <si>
    <t>UPS-ruum</t>
  </si>
  <si>
    <t>Veemõõdusõlm</t>
  </si>
  <si>
    <t>Õhuvõtukamber</t>
  </si>
  <si>
    <t>Lift</t>
  </si>
  <si>
    <t>92 Vertikaalliiklusruumid</t>
  </si>
  <si>
    <t>VERTIKAALSETE ÜHENDUSTEEDE PIND</t>
  </si>
  <si>
    <t>Šaht</t>
  </si>
  <si>
    <t>Trepp/Trepikoda</t>
  </si>
  <si>
    <t>Arhiiv</t>
  </si>
  <si>
    <t>53 Arhiivid</t>
  </si>
  <si>
    <t>Auditoorium</t>
  </si>
  <si>
    <t>34 Auditooriumid</t>
  </si>
  <si>
    <t>Desokamber</t>
  </si>
  <si>
    <t>49 Ruumigrupi liigitamata eriruumid</t>
  </si>
  <si>
    <t>Dokumendihoidla</t>
  </si>
  <si>
    <t>Eluruum</t>
  </si>
  <si>
    <t>11 Korterid tubade arvu järgi</t>
  </si>
  <si>
    <t>12 Eluruumid eraldi</t>
  </si>
  <si>
    <t>13 Majutusruumid</t>
  </si>
  <si>
    <t>15 Ühiselamutoad</t>
  </si>
  <si>
    <t>16 Hotellitoad</t>
  </si>
  <si>
    <t>17 Kasarmutoad</t>
  </si>
  <si>
    <t>18 Magamissaalid</t>
  </si>
  <si>
    <t>19 Liigitamata eluruumid</t>
  </si>
  <si>
    <t>Eriotstarbeline ruum</t>
  </si>
  <si>
    <t>Jalgrataste hoidla</t>
  </si>
  <si>
    <t>Jäätmed</t>
  </si>
  <si>
    <t>87 Jäätmehooldusruumid</t>
  </si>
  <si>
    <t>Kaaluruum</t>
  </si>
  <si>
    <t>22 Äriruumid</t>
  </si>
  <si>
    <t>Kelder</t>
  </si>
  <si>
    <t>82 Kinnistu juurde kuuluvad laod</t>
  </si>
  <si>
    <t>88 Kinnistu eriruumid</t>
  </si>
  <si>
    <t>Kemikaalid</t>
  </si>
  <si>
    <t>Kinnipidamisruum</t>
  </si>
  <si>
    <t>Koeraruum</t>
  </si>
  <si>
    <t>Kohtusaal</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</si>
  <si>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</si>
  <si>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</si>
  <si>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</si>
  <si>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</si>
  <si>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</si>
  <si>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</si>
  <si>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</si>
  <si>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</si>
  <si>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</si>
  <si>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</si>
  <si>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</si>
  <si>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</si>
  <si>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</si>
  <si>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</si>
  <si>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</si>
  <si>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</si>
  <si>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</si>
  <si>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</si>
  <si>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</si>
  <si>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</si>
  <si>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</si>
  <si>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</si>
  <si>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</si>
  <si>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</si>
  <si>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</si>
  <si>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</si>
  <si>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</si>
  <si>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</si>
  <si>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</si>
  <si>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</si>
  <si>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</si>
  <si>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</si>
  <si>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</si>
  <si>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</si>
  <si>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</si>
  <si>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</si>
  <si>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</si>
  <si>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</si>
  <si>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</si>
  <si>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</si>
  <si>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</si>
  <si>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</si>
  <si>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</si>
  <si>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</si>
  <si>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</si>
  <si>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</si>
  <si>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</si>
  <si>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</si>
  <si>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</si>
  <si>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</si>
  <si>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</si>
  <si>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</si>
  <si>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35 Kutseõppeasutuse töökojad</t>
  </si>
  <si>
    <t>Ujula</t>
  </si>
  <si>
    <t>Valveruum</t>
  </si>
  <si>
    <t>38 Valveruumid</t>
  </si>
  <si>
    <t>Varjend</t>
  </si>
  <si>
    <t>81 Varjendid</t>
  </si>
  <si>
    <t>PASSIIVNE VAKANTSUS</t>
  </si>
  <si>
    <t>-05</t>
  </si>
  <si>
    <t>NONE</t>
  </si>
  <si>
    <t>-04</t>
  </si>
  <si>
    <t>Korruse üüritav pind (KÜP):</t>
  </si>
  <si>
    <t>Ühiskasutuses korruse pind</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</si>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</sst>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xf numFmtId="0" fontId="2" fillId="0" borderId="0" xfId="0" applyFont="1" applyAlignment="1" applyProtection="1">
      <alignment wrapText="1"/>
      <protection locked="0"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FE474816-09A1-43B8-80B3-6FE484DBF3FD}"/>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D1" zoomScale="90" zoomScaleNormal="90" workbookViewId="0">
      <pane ySplit="2" topLeftCell="A3" activePane="bottomLeft" state="frozen"/>
      <selection activeCell="G1" sqref="G1"/>
      <selection pane="bottomLeft"/>
    </sheetView>
  </sheetViews>
  <sheetFormatPr defaultColWidth="9.1796875" defaultRowHeight="14.5" outlineLevelCol="1" x14ac:dyDescent="0.35"/>
  <cols>
    <col min="1" max="1" width="9.81640625" style="9" bestFit="1" customWidth="1"/>
    <col min="2" max="2" width="12.1796875" style="59" bestFit="1" customWidth="1"/>
    <col min="3" max="3" width="15.81640625" style="9" customWidth="1"/>
    <col min="4" max="4" width="23.453125" style="9" customWidth="1"/>
    <col min="5" max="5" width="17.1796875" style="34" bestFit="1" customWidth="1"/>
    <col min="6" max="6" width="22.1796875" style="9" customWidth="1"/>
    <col min="7" max="7" width="18.81640625" style="9" customWidth="1"/>
    <col min="8" max="8" width="13.7265625" style="9" customWidth="1"/>
    <col min="9" max="9" width="28.26953125" style="9" customWidth="1"/>
    <col min="10" max="47" width="11.54296875" style="9" hidden="1" customWidth="1" outlineLevel="1"/>
    <col min="48" max="48" width="3.26953125" style="9" customWidth="1" collapsed="1"/>
    <col min="49" max="49" width="36.54296875" style="9" customWidth="1"/>
    <col min="50" max="50" width="20.81640625" style="9"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9" width="21.7265625" style="9"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PÄÄSTEAMET</v>
      </c>
      <c r="K2" s="13" t="str">
        <f ca="1">Eksplikatsioon!P3</f>
        <v>POLITSEI- JA PIIRIVALVEAMET</v>
      </c>
      <c r="L2" s="13" t="str">
        <f ca="1">Eksplikatsioon!Q3</f>
        <v>SISEMINISTEERIUMI INFOTEHNOLOOGIA</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PÄÄSTEAMET</v>
      </c>
      <c r="AD2" s="13" t="str">
        <f ca="1">Eksplikatsioon!P3</f>
        <v>POLITSEI- JA PIIRIVALVEAMET</v>
      </c>
      <c r="AE2" s="13" t="str">
        <f ca="1">Eksplikatsioon!Q3</f>
        <v>SISEMINISTEERIUMI INFOTEHNOLOOGIA</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01</v>
      </c>
      <c r="B3" s="60">
        <f>IF(Eksplikatsioon!B4=0,"",Eksplikatsioon!B4)</f>
        <v>101</v>
      </c>
      <c r="C3" s="23" t="str">
        <f>IF(Eksplikatsioon!C4=0,"",Eksplikatsioon!C4)</f>
        <v>ÜÜRITAV PIND</v>
      </c>
      <c r="D3" s="23" t="str">
        <f>IF(Eksplikatsioon!D4=0,"",Eksplikatsioon!D4)</f>
        <v>Töökoda</v>
      </c>
      <c r="E3" s="58">
        <f>IF(Eksplikatsioon!F4=0,"",Eksplikatsioon!F4)</f>
        <v>94.190600000000003</v>
      </c>
      <c r="F3" s="23" t="str">
        <f>IF(Eksplikatsioon!H4=0,"",Eksplikatsioon!H4)</f>
        <v/>
      </c>
      <c r="G3" s="23" t="str">
        <f>IF(Eksplikatsioon!J4=0,"",Eksplikatsioon!J4)</f>
        <v>Ainukasutuses pind</v>
      </c>
      <c r="H3" s="23" t="str">
        <f>IF(Eksplikatsioon!K4=0,"",Eksplikatsioon!K4)</f>
        <v>PÄÄSTEAMET</v>
      </c>
      <c r="I3" s="23" t="str">
        <f>IF(Eksplikatsioon!L4=0,"",Eksplikatsioon!L4)</f>
        <v>KAARLIMOISATEE4_01</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PÄÄSTEAMET</v>
      </c>
      <c r="AX3" s="39" t="str">
        <f t="shared" ref="AX3" si="0">IF(BG3&lt;&gt;"",BG3,"")</f>
        <v>KAARLIMOISATEE4_01</v>
      </c>
      <c r="AY3" s="37">
        <f>IF(BF3&lt;&gt;"",IF(SUMIFS(E:E,H:H,AW3,G:G,"Ainukasutuses pind",C:C,"ÜÜRITAV PIND")=0,0,SUMIFS(E:E,H:H,AW3,G:G,"Ainukasutuses pind",C:C,"ÜÜRITAV PIND")),IF(AW3="Aktiivne vakantsus",SUMIFS(E:E,C:C,"üüritav pind",G:G,"ainukasutuses pind")-SUM($AY$2:AY2),IF(AW3="Üüritav pind kokku",SUM($AY$2:AY2),"")))</f>
        <v>1705.2884999999997</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744.67808051999998</v>
      </c>
      <c r="BC3" s="37">
        <f ca="1">IF(AW3="Passiivne vakantsus",SUMIFS(E:E,C:C,"PASSIIVNE VAKANTSUS"),IF(AW3="Üüritav pind kokku",SUM(AY3:BB3),IF(AW3&lt;&gt;"",SUM(AY3:BB3),"")))</f>
        <v>2449.9665805199998</v>
      </c>
      <c r="BD3" s="47">
        <f ca="1">IFERROR(IF(AND(AW3&lt;&gt;"passiivne vakantsus"),BC3/(SUMIFS(BC:BC,AW:AW,"Üüritav pind kokku")),""),"")</f>
        <v>0.73753616287573431</v>
      </c>
      <c r="BF3" s="38" t="s">
        <v>10</v>
      </c>
      <c r="BG3" s="38" t="s">
        <v>11</v>
      </c>
    </row>
    <row r="4" spans="1:59" x14ac:dyDescent="0.35">
      <c r="A4" s="23" t="str">
        <f>IF(Eksplikatsioon!A5=0,"",Eksplikatsioon!A5)</f>
        <v>01</v>
      </c>
      <c r="B4" s="60">
        <f>IF(Eksplikatsioon!B5=0,"",Eksplikatsioon!B5)</f>
        <v>102</v>
      </c>
      <c r="C4" s="23" t="str">
        <f>IF(Eksplikatsioon!C5=0,"",Eksplikatsioon!C5)</f>
        <v>ÜÜRITAV PIND</v>
      </c>
      <c r="D4" s="23" t="str">
        <f>IF(Eksplikatsioon!D5=0,"",Eksplikatsioon!D5)</f>
        <v>Hoiuruum/Ladu</v>
      </c>
      <c r="E4" s="58">
        <f>IF(Eksplikatsioon!F5=0,"",Eksplikatsioon!F5)</f>
        <v>10.1</v>
      </c>
      <c r="F4" s="23" t="str">
        <f>IF(Eksplikatsioon!H5=0,"",Eksplikatsioon!H5)</f>
        <v/>
      </c>
      <c r="G4" s="23" t="str">
        <f>IF(Eksplikatsioon!J5=0,"",Eksplikatsioon!J5)</f>
        <v>Ainukasutuses pind</v>
      </c>
      <c r="H4" s="23" t="str">
        <f>IF(Eksplikatsioon!K5=0,"",Eksplikatsioon!K5)</f>
        <v>PÄÄSTEAMET</v>
      </c>
      <c r="I4" s="23" t="str">
        <f>IF(Eksplikatsioon!L5=0,"",Eksplikatsioon!L5)</f>
        <v>KAARLIMOISATEE4_01</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POLITSEI- JA PIIRIVALVEAMET</v>
      </c>
      <c r="AX4" s="39" t="str">
        <f t="shared" ref="AX4:AX9" si="2">IF(BG4&lt;&gt;"",BG4,"")</f>
        <v>KAARLIMOISATEE4_02</v>
      </c>
      <c r="AY4" s="37">
        <f>IF(BF4&lt;&gt;"",IF(SUMIFS(E:E,H:H,AW4,G:G,"Ainukasutuses pind",C:C,"ÜÜRITAV PIND")=0,0,SUMIFS(E:E,H:H,AW4,G:G,"Ainukasutuses pind",C:C,"ÜÜRITAV PIND")),IF(AW4="Aktiivne vakantsus",SUMIFS(E:E,C:C,"üüritav pind",G:G,"ainukasutuses pind")-SUM($AY$2:AY3),IF(AW4="Üüritav pind kokku",SUM($AY$2:AY3),"")))</f>
        <v>684.11800000000005</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96.832734619999997</v>
      </c>
      <c r="BC4" s="37">
        <f t="shared" ref="BC4:BC9" ca="1" si="3">IF(AW4="Passiivne vakantsus",SUMIFS(E:E,C:C,"PASSIIVNE VAKANTSUS"),IF(AW4="Üüritav pind kokku",SUM(AY4:BB4),IF(AW4&lt;&gt;"",SUM(AY4:BB4),"")))</f>
        <v>780.95073462000005</v>
      </c>
      <c r="BD4" s="47">
        <f t="shared" ref="BD4:BD9" ca="1" si="4">IFERROR(IF(AND(AW4&lt;&gt;"passiivne vakantsus"),BC4/(SUMIFS(BC:BC,AW:AW,"Üüritav pind kokku")),""),"")</f>
        <v>0.23509684286565674</v>
      </c>
      <c r="BF4" s="38" t="s">
        <v>12</v>
      </c>
      <c r="BG4" s="38" t="s">
        <v>13</v>
      </c>
    </row>
    <row r="5" spans="1:59" x14ac:dyDescent="0.35">
      <c r="A5" s="23" t="str">
        <f>IF(Eksplikatsioon!A6=0,"",Eksplikatsioon!A6)</f>
        <v>01</v>
      </c>
      <c r="B5" s="60">
        <f>IF(Eksplikatsioon!B6=0,"",Eksplikatsioon!B6)</f>
        <v>103</v>
      </c>
      <c r="C5" s="23" t="str">
        <f>IF(Eksplikatsioon!C6=0,"",Eksplikatsioon!C6)</f>
        <v>ÜÜRITAV PIND</v>
      </c>
      <c r="D5" s="23" t="str">
        <f>IF(Eksplikatsioon!D6=0,"",Eksplikatsioon!D6)</f>
        <v>Töökoda</v>
      </c>
      <c r="E5" s="58">
        <f>IF(Eksplikatsioon!F6=0,"",Eksplikatsioon!F6)</f>
        <v>81.599999999999994</v>
      </c>
      <c r="F5" s="23" t="str">
        <f>IF(Eksplikatsioon!H6=0,"",Eksplikatsioon!H6)</f>
        <v/>
      </c>
      <c r="G5" s="23" t="str">
        <f>IF(Eksplikatsioon!J6=0,"",Eksplikatsioon!J6)</f>
        <v>Ainukasutuses pind</v>
      </c>
      <c r="H5" s="23" t="str">
        <f>IF(Eksplikatsioon!K6=0,"",Eksplikatsioon!K6)</f>
        <v>PÄÄSTEAMET</v>
      </c>
      <c r="I5" s="23" t="str">
        <f>IF(Eksplikatsioon!L6=0,"",Eksplikatsioon!L6)</f>
        <v>KAARLIMOISATEE4_01</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SISEMINISTEERIUMI INFOTEHNOLOOGIA</v>
      </c>
      <c r="AX5" s="39" t="str">
        <f t="shared" si="2"/>
        <v>KAARLIMOISATEE4_03</v>
      </c>
      <c r="AY5" s="37">
        <f>IF(BF5&lt;&gt;"",IF(SUMIFS(E:E,H:H,AW5,G:G,"Ainukasutuses pind",C:C,"ÜÜRITAV PIND")=0,0,SUMIFS(E:E,H:H,AW5,G:G,"Ainukasutuses pind",C:C,"ÜÜRITAV PIND")),IF(AW5="Aktiivne vakantsus",SUMIFS(E:E,C:C,"üüritav pind",G:G,"ainukasutuses pind")-SUM($AY$2:AY4),IF(AW5="Üüritav pind kokku",SUM($AY$2:AY4),"")))</f>
        <v>40.1</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32.534674859999996</v>
      </c>
      <c r="BC5" s="37">
        <f t="shared" ca="1" si="3"/>
        <v>72.63467485999999</v>
      </c>
      <c r="BD5" s="47">
        <f t="shared" ca="1" si="4"/>
        <v>2.1865889850873271E-2</v>
      </c>
      <c r="BF5" s="38" t="s">
        <v>14</v>
      </c>
      <c r="BG5" s="38" t="s">
        <v>15</v>
      </c>
    </row>
    <row r="6" spans="1:59" x14ac:dyDescent="0.35">
      <c r="A6" s="23" t="str">
        <f>IF(Eksplikatsioon!A7=0,"",Eksplikatsioon!A7)</f>
        <v>01</v>
      </c>
      <c r="B6" s="60">
        <f>IF(Eksplikatsioon!B7=0,"",Eksplikatsioon!B7)</f>
        <v>104</v>
      </c>
      <c r="C6" s="23" t="str">
        <f>IF(Eksplikatsioon!C7=0,"",Eksplikatsioon!C7)</f>
        <v>ÜÜRITAV PIND</v>
      </c>
      <c r="D6" s="23" t="str">
        <f>IF(Eksplikatsioon!D7=0,"",Eksplikatsioon!D7)</f>
        <v>Koridor</v>
      </c>
      <c r="E6" s="58">
        <f>IF(Eksplikatsioon!F7=0,"",Eksplikatsioon!F7)</f>
        <v>11.5646</v>
      </c>
      <c r="F6" s="23" t="str">
        <f>IF(Eksplikatsioon!H7=0,"",Eksplikatsioon!H7)</f>
        <v/>
      </c>
      <c r="G6" s="23" t="str">
        <f>IF(Eksplikatsioon!J7=0,"",Eksplikatsioon!J7)</f>
        <v>Ainukasutuses pind</v>
      </c>
      <c r="H6" s="23" t="str">
        <f>IF(Eksplikatsioon!K7=0,"",Eksplikatsioon!K7)</f>
        <v>PÄÄSTEAMET</v>
      </c>
      <c r="I6" s="23" t="str">
        <f>IF(Eksplikatsioon!L7=0,"",Eksplikatsioon!L7)</f>
        <v>KAARLIMOISATEE4_01</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0</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18.273709999999998</v>
      </c>
      <c r="BC6" s="37">
        <f t="shared" ca="1" si="3"/>
        <v>18.273709999999998</v>
      </c>
      <c r="BD6" s="47">
        <f t="shared" ca="1" si="4"/>
        <v>5.5011044077357824E-3</v>
      </c>
      <c r="BF6" s="38"/>
      <c r="BG6" s="38"/>
    </row>
    <row r="7" spans="1:59" x14ac:dyDescent="0.35">
      <c r="A7" s="23" t="str">
        <f>IF(Eksplikatsioon!A8=0,"",Eksplikatsioon!A8)</f>
        <v>01</v>
      </c>
      <c r="B7" s="60">
        <f>IF(Eksplikatsioon!B8=0,"",Eksplikatsioon!B8)</f>
        <v>105</v>
      </c>
      <c r="C7" s="23" t="str">
        <f>IF(Eksplikatsioon!C8=0,"",Eksplikatsioon!C8)</f>
        <v>ÜÜRITAV PIND</v>
      </c>
      <c r="D7" s="23" t="str">
        <f>IF(Eksplikatsioon!D8=0,"",Eksplikatsioon!D8)</f>
        <v>Kabinet/Büroo</v>
      </c>
      <c r="E7" s="58">
        <f>IF(Eksplikatsioon!F8=0,"",Eksplikatsioon!F8)</f>
        <v>7.3958000000000004</v>
      </c>
      <c r="F7" s="23" t="str">
        <f>IF(Eksplikatsioon!H8=0,"",Eksplikatsioon!H8)</f>
        <v/>
      </c>
      <c r="G7" s="23" t="str">
        <f>IF(Eksplikatsioon!J8=0,"",Eksplikatsioon!J8)</f>
        <v>Ainukasutuses pind</v>
      </c>
      <c r="H7" s="23" t="str">
        <f>IF(Eksplikatsioon!K8=0,"",Eksplikatsioon!K8)</f>
        <v>PÄÄSTEAMET</v>
      </c>
      <c r="I7" s="23" t="str">
        <f>IF(Eksplikatsioon!L8=0,"",Eksplikatsioon!L8)</f>
        <v>KAARLIMOISATEE4_01</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Üüritav pind kokku</v>
      </c>
      <c r="AX7" s="39" t="str">
        <f t="shared" si="2"/>
        <v/>
      </c>
      <c r="AY7" s="37">
        <f>IF(BF7&lt;&gt;"",IF(SUMIFS(E:E,H:H,AW7,G:G,"Ainukasutuses pind",C:C,"ÜÜRITAV PIND")=0,0,SUMIFS(E:E,H:H,AW7,G:G,"Ainukasutuses pind",C:C,"ÜÜRITAV PIND")),IF(AW7="Aktiivne vakantsus",SUMIFS(E:E,C:C,"üüritav pind",G:G,"ainukasutuses pind")-SUM($AY$2:AY6),IF(AW7="Üüritav pind kokku",SUM($AY$2:AY6),"")))</f>
        <v>2429.5064999999995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892.31920000000002</v>
      </c>
      <c r="BC7" s="37">
        <f t="shared" ca="1" si="3"/>
        <v>3321.8256999999994</v>
      </c>
      <c r="BD7" s="47">
        <f t="shared" ca="1" si="4"/>
        <v>1</v>
      </c>
      <c r="BF7" s="38"/>
      <c r="BG7" s="38"/>
    </row>
    <row r="8" spans="1:59" x14ac:dyDescent="0.35">
      <c r="A8" s="23" t="str">
        <f>IF(Eksplikatsioon!A9=0,"",Eksplikatsioon!A9)</f>
        <v>01</v>
      </c>
      <c r="B8" s="60">
        <f>IF(Eksplikatsioon!B9=0,"",Eksplikatsioon!B9)</f>
        <v>106</v>
      </c>
      <c r="C8" s="23" t="str">
        <f>IF(Eksplikatsioon!C9=0,"",Eksplikatsioon!C9)</f>
        <v>ÜÜRITAV PIND</v>
      </c>
      <c r="D8" s="23" t="str">
        <f>IF(Eksplikatsioon!D9=0,"",Eksplikatsioon!D9)</f>
        <v>Garderoob</v>
      </c>
      <c r="E8" s="58">
        <f>IF(Eksplikatsioon!F9=0,"",Eksplikatsioon!F9)</f>
        <v>52.797499999999999</v>
      </c>
      <c r="F8" s="23" t="str">
        <f>IF(Eksplikatsioon!H9=0,"",Eksplikatsioon!H9)</f>
        <v/>
      </c>
      <c r="G8" s="23" t="str">
        <f>IF(Eksplikatsioon!J9=0,"",Eksplikatsioon!J9)</f>
        <v>Ainukasutuses pind</v>
      </c>
      <c r="H8" s="23" t="str">
        <f>IF(Eksplikatsioon!K9=0,"",Eksplikatsioon!K9)</f>
        <v>PÄÄSTEAMET</v>
      </c>
      <c r="I8" s="23" t="str">
        <f>IF(Eksplikatsioon!L9=0,"",Eksplikatsioon!L9)</f>
        <v>KAARLIMOISATEE4_01</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0</v>
      </c>
      <c r="BD8" s="47" t="str">
        <f t="shared" si="4"/>
        <v/>
      </c>
      <c r="BF8" s="38"/>
      <c r="BG8" s="38"/>
    </row>
    <row r="9" spans="1:59" x14ac:dyDescent="0.35">
      <c r="A9" s="23" t="str">
        <f>IF(Eksplikatsioon!A10=0,"",Eksplikatsioon!A10)</f>
        <v>01</v>
      </c>
      <c r="B9" s="60" t="str">
        <f>IF(Eksplikatsioon!B10=0,"",Eksplikatsioon!B10)</f>
        <v>106a</v>
      </c>
      <c r="C9" s="23" t="str">
        <f>IF(Eksplikatsioon!C10=0,"",Eksplikatsioon!C10)</f>
        <v>ÜÜRITAV PIND</v>
      </c>
      <c r="D9" s="23" t="str">
        <f>IF(Eksplikatsioon!D10=0,"",Eksplikatsioon!D10)</f>
        <v>Abiruum</v>
      </c>
      <c r="E9" s="58">
        <f>IF(Eksplikatsioon!F10=0,"",Eksplikatsioon!F10)</f>
        <v>12.1</v>
      </c>
      <c r="F9" s="23" t="str">
        <f>IF(Eksplikatsioon!H10=0,"",Eksplikatsioon!H10)</f>
        <v/>
      </c>
      <c r="G9" s="23" t="str">
        <f>IF(Eksplikatsioon!J10=0,"",Eksplikatsioon!J10)</f>
        <v>Ainukasutuses pind</v>
      </c>
      <c r="H9" s="23" t="str">
        <f>IF(Eksplikatsioon!K10=0,"",Eksplikatsioon!K10)</f>
        <v>PÄÄSTEAMET</v>
      </c>
      <c r="I9" s="23" t="str">
        <f>IF(Eksplikatsioon!L10=0,"",Eksplikatsioon!L10)</f>
        <v>KAARLIMOISATEE4_01</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35">
      <c r="A10" s="23" t="str">
        <f>IF(Eksplikatsioon!A11=0,"",Eksplikatsioon!A11)</f>
        <v>01</v>
      </c>
      <c r="B10" s="60" t="str">
        <f>IF(Eksplikatsioon!B11=0,"",Eksplikatsioon!B11)</f>
        <v>106b</v>
      </c>
      <c r="C10" s="23" t="str">
        <f>IF(Eksplikatsioon!C11=0,"",Eksplikatsioon!C11)</f>
        <v>ÜÜRITAV PIND</v>
      </c>
      <c r="D10" s="23" t="str">
        <f>IF(Eksplikatsioon!D11=0,"",Eksplikatsioon!D11)</f>
        <v>WC</v>
      </c>
      <c r="E10" s="58">
        <f>IF(Eksplikatsioon!F11=0,"",Eksplikatsioon!F11)</f>
        <v>2.9</v>
      </c>
      <c r="F10" s="23" t="str">
        <f>IF(Eksplikatsioon!H11=0,"",Eksplikatsioon!H11)</f>
        <v/>
      </c>
      <c r="G10" s="23" t="str">
        <f>IF(Eksplikatsioon!J11=0,"",Eksplikatsioon!J11)</f>
        <v>Ainukasutuses pind</v>
      </c>
      <c r="H10" s="23" t="str">
        <f>IF(Eksplikatsioon!K11=0,"",Eksplikatsioon!K11)</f>
        <v>PÄÄSTEAMET</v>
      </c>
      <c r="I10" s="23" t="str">
        <f>IF(Eksplikatsioon!L11=0,"",Eksplikatsioon!L11)</f>
        <v>KAARLIMOISATEE4_01</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35">
      <c r="A11" s="23" t="str">
        <f>IF(Eksplikatsioon!A12=0,"",Eksplikatsioon!A12)</f>
        <v>01</v>
      </c>
      <c r="B11" s="60" t="str">
        <f>IF(Eksplikatsioon!B12=0,"",Eksplikatsioon!B12)</f>
        <v>106c</v>
      </c>
      <c r="C11" s="23" t="str">
        <f>IF(Eksplikatsioon!C12=0,"",Eksplikatsioon!C12)</f>
        <v>ÜÜRITAV PIND</v>
      </c>
      <c r="D11" s="23" t="str">
        <f>IF(Eksplikatsioon!D12=0,"",Eksplikatsioon!D12)</f>
        <v>Pesuruum</v>
      </c>
      <c r="E11" s="58">
        <f>IF(Eksplikatsioon!F12=0,"",Eksplikatsioon!F12)</f>
        <v>4.9000000000000004</v>
      </c>
      <c r="F11" s="23" t="str">
        <f>IF(Eksplikatsioon!H12=0,"",Eksplikatsioon!H12)</f>
        <v/>
      </c>
      <c r="G11" s="23" t="str">
        <f>IF(Eksplikatsioon!J12=0,"",Eksplikatsioon!J12)</f>
        <v>Ainukasutuses pind</v>
      </c>
      <c r="H11" s="23" t="str">
        <f>IF(Eksplikatsioon!K12=0,"",Eksplikatsioon!K12)</f>
        <v>PÄÄSTEAMET</v>
      </c>
      <c r="I11" s="23" t="str">
        <f>IF(Eksplikatsioon!L12=0,"",Eksplikatsioon!L12)</f>
        <v>KAARLIMOISATEE4_01</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01</v>
      </c>
      <c r="B12" s="60" t="str">
        <f>IF(Eksplikatsioon!B13=0,"",Eksplikatsioon!B13)</f>
        <v>106d</v>
      </c>
      <c r="C12" s="23" t="str">
        <f>IF(Eksplikatsioon!C13=0,"",Eksplikatsioon!C13)</f>
        <v>ÜÜRITAV PIND</v>
      </c>
      <c r="D12" s="23" t="str">
        <f>IF(Eksplikatsioon!D13=0,"",Eksplikatsioon!D13)</f>
        <v>Garderoob</v>
      </c>
      <c r="E12" s="58">
        <f>IF(Eksplikatsioon!F13=0,"",Eksplikatsioon!F13)</f>
        <v>7.1</v>
      </c>
      <c r="F12" s="23" t="str">
        <f>IF(Eksplikatsioon!H13=0,"",Eksplikatsioon!H13)</f>
        <v/>
      </c>
      <c r="G12" s="23" t="str">
        <f>IF(Eksplikatsioon!J13=0,"",Eksplikatsioon!J13)</f>
        <v>Ainukasutuses pind</v>
      </c>
      <c r="H12" s="23" t="str">
        <f>IF(Eksplikatsioon!K13=0,"",Eksplikatsioon!K13)</f>
        <v>PÄÄSTEAMET</v>
      </c>
      <c r="I12" s="23" t="str">
        <f>IF(Eksplikatsioon!L13=0,"",Eksplikatsioon!L13)</f>
        <v>KAARLIMOISATEE4_01</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01</v>
      </c>
      <c r="B13" s="60" t="str">
        <f>IF(Eksplikatsioon!B14=0,"",Eksplikatsioon!B14)</f>
        <v>106e</v>
      </c>
      <c r="C13" s="23" t="str">
        <f>IF(Eksplikatsioon!C14=0,"",Eksplikatsioon!C14)</f>
        <v>ÜÜRITAV PIND</v>
      </c>
      <c r="D13" s="23" t="str">
        <f>IF(Eksplikatsioon!D14=0,"",Eksplikatsioon!D14)</f>
        <v>Pesuruum</v>
      </c>
      <c r="E13" s="58">
        <f>IF(Eksplikatsioon!F14=0,"",Eksplikatsioon!F14)</f>
        <v>12.543100000000001</v>
      </c>
      <c r="F13" s="23" t="str">
        <f>IF(Eksplikatsioon!H14=0,"",Eksplikatsioon!H14)</f>
        <v/>
      </c>
      <c r="G13" s="23" t="str">
        <f>IF(Eksplikatsioon!J14=0,"",Eksplikatsioon!J14)</f>
        <v>Ainukasutuses pind</v>
      </c>
      <c r="H13" s="23" t="str">
        <f>IF(Eksplikatsioon!K14=0,"",Eksplikatsioon!K14)</f>
        <v>PÄÄSTEAMET</v>
      </c>
      <c r="I13" s="23" t="str">
        <f>IF(Eksplikatsioon!L14=0,"",Eksplikatsioon!L14)</f>
        <v>KAARLIMOISATEE4_01</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01</v>
      </c>
      <c r="B14" s="60">
        <f>IF(Eksplikatsioon!B15=0,"",Eksplikatsioon!B15)</f>
        <v>107</v>
      </c>
      <c r="C14" s="23" t="str">
        <f>IF(Eksplikatsioon!C15=0,"",Eksplikatsioon!C15)</f>
        <v>ÜÜRITAV PIND</v>
      </c>
      <c r="D14" s="23" t="str">
        <f>IF(Eksplikatsioon!D15=0,"",Eksplikatsioon!D15)</f>
        <v>Garaaž</v>
      </c>
      <c r="E14" s="58">
        <f>IF(Eksplikatsioon!F15=0,"",Eksplikatsioon!F15)</f>
        <v>336.9837</v>
      </c>
      <c r="F14" s="23" t="str">
        <f>IF(Eksplikatsioon!H15=0,"",Eksplikatsioon!H15)</f>
        <v/>
      </c>
      <c r="G14" s="23" t="str">
        <f>IF(Eksplikatsioon!J15=0,"",Eksplikatsioon!J15)</f>
        <v>Ainukasutuses pind</v>
      </c>
      <c r="H14" s="23" t="str">
        <f>IF(Eksplikatsioon!K15=0,"",Eksplikatsioon!K15)</f>
        <v>PÄÄSTEAMET</v>
      </c>
      <c r="I14" s="23" t="str">
        <f>IF(Eksplikatsioon!L15=0,"",Eksplikatsioon!L15)</f>
        <v>KAARLIMOISATEE4_01</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35">
      <c r="A15" s="23" t="str">
        <f>IF(Eksplikatsioon!A16=0,"",Eksplikatsioon!A16)</f>
        <v>01</v>
      </c>
      <c r="B15" s="60">
        <f>IF(Eksplikatsioon!B16=0,"",Eksplikatsioon!B16)</f>
        <v>108</v>
      </c>
      <c r="C15" s="23" t="str">
        <f>IF(Eksplikatsioon!C16=0,"",Eksplikatsioon!C16)</f>
        <v>ÜÜRITAV PIND</v>
      </c>
      <c r="D15" s="23" t="str">
        <f>IF(Eksplikatsioon!D16=0,"",Eksplikatsioon!D16)</f>
        <v>Garaaž</v>
      </c>
      <c r="E15" s="58">
        <f>IF(Eksplikatsioon!F16=0,"",Eksplikatsioon!F16)</f>
        <v>55.9</v>
      </c>
      <c r="F15" s="23" t="str">
        <f>IF(Eksplikatsioon!H16=0,"",Eksplikatsioon!H16)</f>
        <v>PÄA kasutab ruumi 67,31% ulatuses. Ülejäänud 32,69% ruumist kasutab väliheakord masinate hoidmiseks.</v>
      </c>
      <c r="G15" s="23" t="str">
        <f>IF(Eksplikatsioon!J16=0,"",Eksplikatsioon!J16)</f>
        <v>Ühiskasutuses muu pind (muu)</v>
      </c>
      <c r="H15" s="23" t="str">
        <f>IF(Eksplikatsioon!K16=0,"",Eksplikatsioon!K16)</f>
        <v/>
      </c>
      <c r="I15" s="23" t="str">
        <f>IF(Eksplikatsioon!L16=0,"",Eksplikatsioon!L16)</f>
        <v/>
      </c>
      <c r="J15" s="31">
        <f>IFERROR(IF($G15=Tabelid!$L$6,Eksplikatsioon!O16/SUM(Eksplikatsioon!$O16:'Eksplikatsioon'!$AG16),IF($G15=Tabelid!$L$4,IFERROR(SUMIFS($E:$E,$G:$G,Tabelid!$L$1,$C:$C,Tabelid!$J$4,$H:$H,J$2,$A:$A,$A15)/SUMIFS($E:$E,$G:$G,Tabelid!$L$1,$C:$C,Tabelid!$J$4,$A:$A,$A15),0),IF($G15=Tabelid!$L$5,IFERROR(SUMIFS($E:$E,$G:$G,Tabelid!$L$1,$C:$C,Tabelid!$J$4,$H:$H,J$2)/SUMIFS($E:$E,$G:$G,Tabelid!$L$1,$C:$C,Tabelid!$J$4),0),""))),"")</f>
        <v>0.67310000000000003</v>
      </c>
      <c r="K15" s="31">
        <f>IFERROR(IF($G15=Tabelid!$L$6,Eksplikatsioon!P16/SUM(Eksplikatsioon!$O16:'Eksplikatsioon'!$AG16),IF($G15=Tabelid!$L$4,IFERROR(SUMIFS($E:$E,$G:$G,Tabelid!$L$1,$C:$C,Tabelid!$J$4,$H:$H,K$2,$A:$A,$A15)/SUMIFS($E:$E,$G:$G,Tabelid!$L$1,$C:$C,Tabelid!$J$4,$A:$A,$A15),0),IF($G15=Tabelid!$L$5,IFERROR(SUMIFS($E:$E,$G:$G,Tabelid!$L$1,$C:$C,Tabelid!$J$4,$H:$H,K$2)/SUMIFS($E:$E,$G:$G,Tabelid!$L$1,$C:$C,Tabelid!$J$4),0),""))),"")</f>
        <v>0</v>
      </c>
      <c r="L15" s="31">
        <f>IFERROR(IF($G15=Tabelid!$L$6,Eksplikatsioon!Q16/SUM(Eksplikatsioon!$O16:'Eksplikatsioon'!$AG16),IF($G15=Tabelid!$L$4,IFERROR(SUMIFS($E:$E,$G:$G,Tabelid!$L$1,$C:$C,Tabelid!$J$4,$H:$H,L$2,$A:$A,$A15)/SUMIFS($E:$E,$G:$G,Tabelid!$L$1,$C:$C,Tabelid!$J$4,$A:$A,$A15),0),IF($G15=Tabelid!$L$5,IFERROR(SUMIFS($E:$E,$G:$G,Tabelid!$L$1,$C:$C,Tabelid!$J$4,$H:$H,L$2)/SUMIFS($E:$E,$G:$G,Tabelid!$L$1,$C:$C,Tabelid!$J$4),0),""))),"")</f>
        <v>0</v>
      </c>
      <c r="M15" s="31">
        <f>IFERROR(IF($G15=Tabelid!$L$6,Eksplikatsioon!R16/SUM(Eksplikatsioon!$O16:'Eksplikatsioon'!$AG16),IF($G15=Tabelid!$L$4,IFERROR(SUMIFS($E:$E,$G:$G,Tabelid!$L$1,$C:$C,Tabelid!$J$4,$H:$H,M$2,$A:$A,$A15)/SUMIFS($E:$E,$G:$G,Tabelid!$L$1,$C:$C,Tabelid!$J$4,$A:$A,$A15),0),IF($G15=Tabelid!$L$5,IFERROR(SUMIFS($E:$E,$G:$G,Tabelid!$L$1,$C:$C,Tabelid!$J$4,$H:$H,M$2)/SUMIFS($E:$E,$G:$G,Tabelid!$L$1,$C:$C,Tabelid!$J$4),0),""))),"")</f>
        <v>0.32689999999999997</v>
      </c>
      <c r="N15" s="31">
        <f>IFERROR(IF($G15=Tabelid!$L$6,Eksplikatsioon!S16/SUM(Eksplikatsioon!$O16:'Eksplikatsioon'!$AG16),IF($G15=Tabelid!$L$4,IFERROR(SUMIFS($E:$E,$G:$G,Tabelid!$L$1,$C:$C,Tabelid!$J$4,$H:$H,N$2,$A:$A,$A15)/SUMIFS($E:$E,$G:$G,Tabelid!$L$1,$C:$C,Tabelid!$J$4,$A:$A,$A15),0),IF($G15=Tabelid!$L$5,IFERROR(SUMIFS($E:$E,$G:$G,Tabelid!$L$1,$C:$C,Tabelid!$J$4,$H:$H,N$2)/SUMIFS($E:$E,$G:$G,Tabelid!$L$1,$C:$C,Tabelid!$J$4),0),""))),"")</f>
        <v>0</v>
      </c>
      <c r="O15" s="31">
        <f>IFERROR(IF($G15=Tabelid!$L$6,Eksplikatsioon!T16/SUM(Eksplikatsioon!$O16:'Eksplikatsioon'!$AG16),IF($G15=Tabelid!$L$4,IFERROR(SUMIFS($E:$E,$G:$G,Tabelid!$L$1,$C:$C,Tabelid!$J$4,$H:$H,O$2,$A:$A,$A15)/SUMIFS($E:$E,$G:$G,Tabelid!$L$1,$C:$C,Tabelid!$J$4,$A:$A,$A15),0),IF($G15=Tabelid!$L$5,IFERROR(SUMIFS($E:$E,$G:$G,Tabelid!$L$1,$C:$C,Tabelid!$J$4,$H:$H,O$2)/SUMIFS($E:$E,$G:$G,Tabelid!$L$1,$C:$C,Tabelid!$J$4),0),""))),"")</f>
        <v>0</v>
      </c>
      <c r="P15" s="31">
        <f>IFERROR(IF($G15=Tabelid!$L$6,Eksplikatsioon!U16/SUM(Eksplikatsioon!$O16:'Eksplikatsioon'!$AG16),IF($G15=Tabelid!$L$4,IFERROR(SUMIFS($E:$E,$G:$G,Tabelid!$L$1,$C:$C,Tabelid!$J$4,$H:$H,P$2,$A:$A,$A15)/SUMIFS($E:$E,$G:$G,Tabelid!$L$1,$C:$C,Tabelid!$J$4,$A:$A,$A15),0),IF($G15=Tabelid!$L$5,IFERROR(SUMIFS($E:$E,$G:$G,Tabelid!$L$1,$C:$C,Tabelid!$J$4,$H:$H,P$2)/SUMIFS($E:$E,$G:$G,Tabelid!$L$1,$C:$C,Tabelid!$J$4),0),""))),"")</f>
        <v>0</v>
      </c>
      <c r="Q15" s="31">
        <f>IFERROR(IF($G15=Tabelid!$L$6,Eksplikatsioon!V16/SUM(Eksplikatsioon!$O16:'Eksplikatsioon'!$AG16),IF($G15=Tabelid!$L$4,IFERROR(SUMIFS($E:$E,$G:$G,Tabelid!$L$1,$C:$C,Tabelid!$J$4,$H:$H,Q$2,$A:$A,$A15)/SUMIFS($E:$E,$G:$G,Tabelid!$L$1,$C:$C,Tabelid!$J$4,$A:$A,$A15),0),IF($G15=Tabelid!$L$5,IFERROR(SUMIFS($E:$E,$G:$G,Tabelid!$L$1,$C:$C,Tabelid!$J$4,$H:$H,Q$2)/SUMIFS($E:$E,$G:$G,Tabelid!$L$1,$C:$C,Tabelid!$J$4),0),""))),"")</f>
        <v>0</v>
      </c>
      <c r="R15" s="31">
        <f>IFERROR(IF($G15=Tabelid!$L$6,Eksplikatsioon!W16/SUM(Eksplikatsioon!$O16:'Eksplikatsioon'!$AG16),IF($G15=Tabelid!$L$4,IFERROR(SUMIFS($E:$E,$G:$G,Tabelid!$L$1,$C:$C,Tabelid!$J$4,$H:$H,R$2,$A:$A,$A15)/SUMIFS($E:$E,$G:$G,Tabelid!$L$1,$C:$C,Tabelid!$J$4,$A:$A,$A15),0),IF($G15=Tabelid!$L$5,IFERROR(SUMIFS($E:$E,$G:$G,Tabelid!$L$1,$C:$C,Tabelid!$J$4,$H:$H,R$2)/SUMIFS($E:$E,$G:$G,Tabelid!$L$1,$C:$C,Tabelid!$J$4),0),""))),"")</f>
        <v>0</v>
      </c>
      <c r="S15" s="31">
        <f>IFERROR(IF($G15=Tabelid!$L$6,Eksplikatsioon!X16/SUM(Eksplikatsioon!$O16:'Eksplikatsioon'!$AG16),IF($G15=Tabelid!$L$4,IFERROR(SUMIFS($E:$E,$G:$G,Tabelid!$L$1,$C:$C,Tabelid!$J$4,$H:$H,S$2,$A:$A,$A15)/SUMIFS($E:$E,$G:$G,Tabelid!$L$1,$C:$C,Tabelid!$J$4,$A:$A,$A15),0),IF($G15=Tabelid!$L$5,IFERROR(SUMIFS($E:$E,$G:$G,Tabelid!$L$1,$C:$C,Tabelid!$J$4,$H:$H,S$2)/SUMIFS($E:$E,$G:$G,Tabelid!$L$1,$C:$C,Tabelid!$J$4),0),""))),"")</f>
        <v>0</v>
      </c>
      <c r="T15" s="31">
        <f>IFERROR(IF($G15=Tabelid!$L$6,Eksplikatsioon!Y16/SUM(Eksplikatsioon!$O16:'Eksplikatsioon'!$AG16),IF($G15=Tabelid!$L$4,IFERROR(SUMIFS($E:$E,$G:$G,Tabelid!$L$1,$C:$C,Tabelid!$J$4,$H:$H,T$2,$A:$A,$A15)/SUMIFS($E:$E,$G:$G,Tabelid!$L$1,$C:$C,Tabelid!$J$4,$A:$A,$A15),0),IF($G15=Tabelid!$L$5,IFERROR(SUMIFS($E:$E,$G:$G,Tabelid!$L$1,$C:$C,Tabelid!$J$4,$H:$H,T$2)/SUMIFS($E:$E,$G:$G,Tabelid!$L$1,$C:$C,Tabelid!$J$4),0),""))),"")</f>
        <v>0</v>
      </c>
      <c r="U15" s="31">
        <f>IFERROR(IF($G15=Tabelid!$L$6,Eksplikatsioon!Z16/SUM(Eksplikatsioon!$O16:'Eksplikatsioon'!$AG16),IF($G15=Tabelid!$L$4,IFERROR(SUMIFS($E:$E,$G:$G,Tabelid!$L$1,$C:$C,Tabelid!$J$4,$H:$H,U$2,$A:$A,$A15)/SUMIFS($E:$E,$G:$G,Tabelid!$L$1,$C:$C,Tabelid!$J$4,$A:$A,$A15),0),IF($G15=Tabelid!$L$5,IFERROR(SUMIFS($E:$E,$G:$G,Tabelid!$L$1,$C:$C,Tabelid!$J$4,$H:$H,U$2)/SUMIFS($E:$E,$G:$G,Tabelid!$L$1,$C:$C,Tabelid!$J$4),0),""))),"")</f>
        <v>0</v>
      </c>
      <c r="V15" s="31">
        <f>IFERROR(IF($G15=Tabelid!$L$6,Eksplikatsioon!AA16/SUM(Eksplikatsioon!$O16:'Eksplikatsioon'!$AG16),IF($G15=Tabelid!$L$4,IFERROR(SUMIFS($E:$E,$G:$G,Tabelid!$L$1,$C:$C,Tabelid!$J$4,$H:$H,V$2,$A:$A,$A15)/SUMIFS($E:$E,$G:$G,Tabelid!$L$1,$C:$C,Tabelid!$J$4,$A:$A,$A15),0),IF($G15=Tabelid!$L$5,IFERROR(SUMIFS($E:$E,$G:$G,Tabelid!$L$1,$C:$C,Tabelid!$J$4,$H:$H,V$2)/SUMIFS($E:$E,$G:$G,Tabelid!$L$1,$C:$C,Tabelid!$J$4),0),""))),"")</f>
        <v>0</v>
      </c>
      <c r="W15" s="31">
        <f>IFERROR(IF($G15=Tabelid!$L$6,Eksplikatsioon!AB16/SUM(Eksplikatsioon!$O16:'Eksplikatsioon'!$AG16),IF($G15=Tabelid!$L$4,IFERROR(SUMIFS($E:$E,$G:$G,Tabelid!$L$1,$C:$C,Tabelid!$J$4,$H:$H,W$2,$A:$A,$A15)/SUMIFS($E:$E,$G:$G,Tabelid!$L$1,$C:$C,Tabelid!$J$4,$A:$A,$A15),0),IF($G15=Tabelid!$L$5,IFERROR(SUMIFS($E:$E,$G:$G,Tabelid!$L$1,$C:$C,Tabelid!$J$4,$H:$H,W$2)/SUMIFS($E:$E,$G:$G,Tabelid!$L$1,$C:$C,Tabelid!$J$4),0),""))),"")</f>
        <v>0</v>
      </c>
      <c r="X15" s="31">
        <f>IFERROR(IF($G15=Tabelid!$L$6,Eksplikatsioon!AC16/SUM(Eksplikatsioon!$O16:'Eksplikatsioon'!$AG16),IF($G15=Tabelid!$L$4,IFERROR(SUMIFS($E:$E,$G:$G,Tabelid!$L$1,$C:$C,Tabelid!$J$4,$H:$H,X$2,$A:$A,$A15)/SUMIFS($E:$E,$G:$G,Tabelid!$L$1,$C:$C,Tabelid!$J$4,$A:$A,$A15),0),IF($G15=Tabelid!$L$5,IFERROR(SUMIFS($E:$E,$G:$G,Tabelid!$L$1,$C:$C,Tabelid!$J$4,$H:$H,X$2)/SUMIFS($E:$E,$G:$G,Tabelid!$L$1,$C:$C,Tabelid!$J$4),0),""))),"")</f>
        <v>0</v>
      </c>
      <c r="Y15" s="31">
        <f>IFERROR(IF($G15=Tabelid!$L$6,Eksplikatsioon!AD16/SUM(Eksplikatsioon!$O16:'Eksplikatsioon'!$AG16),IF($G15=Tabelid!$L$4,IFERROR(SUMIFS($E:$E,$G:$G,Tabelid!$L$1,$C:$C,Tabelid!$J$4,$H:$H,Y$2,$A:$A,$A15)/SUMIFS($E:$E,$G:$G,Tabelid!$L$1,$C:$C,Tabelid!$J$4,$A:$A,$A15),0),IF($G15=Tabelid!$L$5,IFERROR(SUMIFS($E:$E,$G:$G,Tabelid!$L$1,$C:$C,Tabelid!$J$4,$H:$H,Y$2)/SUMIFS($E:$E,$G:$G,Tabelid!$L$1,$C:$C,Tabelid!$J$4),0),""))),"")</f>
        <v>0</v>
      </c>
      <c r="Z15" s="31">
        <f>IFERROR(IF($G15=Tabelid!$L$6,Eksplikatsioon!AE16/SUM(Eksplikatsioon!$O16:'Eksplikatsioon'!$AG16),IF($G15=Tabelid!$L$4,IFERROR(SUMIFS($E:$E,$G:$G,Tabelid!$L$1,$C:$C,Tabelid!$J$4,$H:$H,Z$2,$A:$A,$A15)/SUMIFS($E:$E,$G:$G,Tabelid!$L$1,$C:$C,Tabelid!$J$4,$A:$A,$A15),0),IF($G15=Tabelid!$L$5,IFERROR(SUMIFS($E:$E,$G:$G,Tabelid!$L$1,$C:$C,Tabelid!$J$4,$H:$H,Z$2)/SUMIFS($E:$E,$G:$G,Tabelid!$L$1,$C:$C,Tabelid!$J$4),0),""))),"")</f>
        <v>0</v>
      </c>
      <c r="AA15" s="31">
        <f>IFERROR(IF($G15=Tabelid!$L$6,Eksplikatsioon!AF16/SUM(Eksplikatsioon!$O16:'Eksplikatsioon'!$AG16),IF($G15=Tabelid!$L$4,IFERROR(SUMIFS($E:$E,$G:$G,Tabelid!$L$1,$C:$C,Tabelid!$J$4,$H:$H,AA$2,$A:$A,$A15)/SUMIFS($E:$E,$G:$G,Tabelid!$L$1,$C:$C,Tabelid!$J$4,$A:$A,$A15),0),IF($G15=Tabelid!$L$5,IFERROR(SUMIFS($E:$E,$G:$G,Tabelid!$L$1,$C:$C,Tabelid!$J$4,$H:$H,AA$2)/SUMIFS($E:$E,$G:$G,Tabelid!$L$1,$C:$C,Tabelid!$J$4),0),""))),"")</f>
        <v>0</v>
      </c>
      <c r="AB15" s="31">
        <f>IFERROR(IF($G15=Tabelid!$L$6,Eksplikatsioon!AG16/SUM(Eksplikatsioon!$O16:'Eksplikatsioon'!$AG16),IF($G15=Tabelid!$L$4,IFERROR(SUMIFS($E:$E,$G:$G,Tabelid!$L$1,$C:$C,Tabelid!$J$4,$H:$H,AB$2,$A:$A,$A15)/SUMIFS($E:$E,$G:$G,Tabelid!$L$1,$C:$C,Tabelid!$J$4,$A:$A,$A15),0),IF($G15=Tabelid!$L$5,IFERROR(SUMIFS($E:$E,$G:$G,Tabelid!$L$1,$C:$C,Tabelid!$J$4,$H:$H,AB$2)/SUMIFS($E:$E,$G:$G,Tabelid!$L$1,$C:$C,Tabelid!$J$4),0),""))),"")</f>
        <v>0</v>
      </c>
      <c r="AC15" s="31">
        <f>IFERROR(IF($G15=Tabelid!$L$6,$E15*J15,IFERROR($E15*J15/SUM($J15:$AB15)*(Eksplikatsioon!O16)/SUMPRODUCT($J15:$AB15,Eksplikatsioon!$O16:$AG16),"")),"")</f>
        <v>37.626289999999997</v>
      </c>
      <c r="AD15" s="31">
        <f>IFERROR(IF($G15=Tabelid!$L$6,$E15*K15,IFERROR($E15*K15/SUM($J15:$AB15)*(Eksplikatsioon!P16)/SUMPRODUCT($J15:$AB15,Eksplikatsioon!$O16:$AG16),"")),"")</f>
        <v>0</v>
      </c>
      <c r="AE15" s="31">
        <f>IFERROR(IF($G15=Tabelid!$L$6,$E15*L15,IFERROR($E15*L15/SUM($J15:$AB15)*(Eksplikatsioon!Q16)/SUMPRODUCT($J15:$AB15,Eksplikatsioon!$O16:$AG16),"")),"")</f>
        <v>0</v>
      </c>
      <c r="AF15" s="31">
        <f>IFERROR(IF($G15=Tabelid!$L$6,$E15*M15,IFERROR($E15*M15/SUM($J15:$AB15)*(Eksplikatsioon!R16)/SUMPRODUCT($J15:$AB15,Eksplikatsioon!$O16:$AG16),"")),"")</f>
        <v>18.273709999999998</v>
      </c>
      <c r="AG15" s="31">
        <f>IFERROR(IF($G15=Tabelid!$L$6,$E15*N15,IFERROR($E15*N15/SUM($J15:$AB15)*(Eksplikatsioon!S16)/SUMPRODUCT($J15:$AB15,Eksplikatsioon!$O16:$AG16),"")),"")</f>
        <v>0</v>
      </c>
      <c r="AH15" s="31">
        <f>IFERROR(IF($G15=Tabelid!$L$6,$E15*O15,IFERROR($E15*O15/SUM($J15:$AB15)*(Eksplikatsioon!T16)/SUMPRODUCT($J15:$AB15,Eksplikatsioon!$O16:$AG16),"")),"")</f>
        <v>0</v>
      </c>
      <c r="AI15" s="31">
        <f>IFERROR(IF($G15=Tabelid!$L$6,$E15*P15,IFERROR($E15*P15/SUM($J15:$AB15)*(Eksplikatsioon!U16)/SUMPRODUCT($J15:$AB15,Eksplikatsioon!$O16:$AG16),"")),"")</f>
        <v>0</v>
      </c>
      <c r="AJ15" s="31">
        <f>IFERROR(IF($G15=Tabelid!$L$6,$E15*Q15,IFERROR($E15*Q15/SUM($J15:$AB15)*(Eksplikatsioon!V16)/SUMPRODUCT($J15:$AB15,Eksplikatsioon!$O16:$AG16),"")),"")</f>
        <v>0</v>
      </c>
      <c r="AK15" s="31">
        <f>IFERROR(IF($G15=Tabelid!$L$6,$E15*R15,IFERROR($E15*R15/SUM($J15:$AB15)*(Eksplikatsioon!W16)/SUMPRODUCT($J15:$AB15,Eksplikatsioon!$O16:$AG16),"")),"")</f>
        <v>0</v>
      </c>
      <c r="AL15" s="31">
        <f>IFERROR(IF($G15=Tabelid!$L$6,$E15*S15,IFERROR($E15*S15/SUM($J15:$AB15)*(Eksplikatsioon!X16)/SUMPRODUCT($J15:$AB15,Eksplikatsioon!$O16:$AG16),"")),"")</f>
        <v>0</v>
      </c>
      <c r="AM15" s="31">
        <f>IFERROR(IF($G15=Tabelid!$L$6,$E15*T15,IFERROR($E15*T15/SUM($J15:$AB15)*(Eksplikatsioon!Y16)/SUMPRODUCT($J15:$AB15,Eksplikatsioon!$O16:$AG16),"")),"")</f>
        <v>0</v>
      </c>
      <c r="AN15" s="31">
        <f>IFERROR(IF($G15=Tabelid!$L$6,$E15*U15,IFERROR($E15*U15/SUM($J15:$AB15)*(Eksplikatsioon!Z16)/SUMPRODUCT($J15:$AB15,Eksplikatsioon!$O16:$AG16),"")),"")</f>
        <v>0</v>
      </c>
      <c r="AO15" s="31">
        <f>IFERROR(IF($G15=Tabelid!$L$6,$E15*V15,IFERROR($E15*V15/SUM($J15:$AB15)*(Eksplikatsioon!AA16)/SUMPRODUCT($J15:$AB15,Eksplikatsioon!$O16:$AG16),"")),"")</f>
        <v>0</v>
      </c>
      <c r="AP15" s="31">
        <f>IFERROR(IF($G15=Tabelid!$L$6,$E15*W15,IFERROR($E15*W15/SUM($J15:$AB15)*(Eksplikatsioon!AB16)/SUMPRODUCT($J15:$AB15,Eksplikatsioon!$O16:$AG16),"")),"")</f>
        <v>0</v>
      </c>
      <c r="AQ15" s="31">
        <f>IFERROR(IF($G15=Tabelid!$L$6,$E15*X15,IFERROR($E15*X15/SUM($J15:$AB15)*(Eksplikatsioon!AC16)/SUMPRODUCT($J15:$AB15,Eksplikatsioon!$O16:$AG16),"")),"")</f>
        <v>0</v>
      </c>
      <c r="AR15" s="31">
        <f>IFERROR(IF($G15=Tabelid!$L$6,$E15*Y15,IFERROR($E15*Y15/SUM($J15:$AB15)*(Eksplikatsioon!AD16)/SUMPRODUCT($J15:$AB15,Eksplikatsioon!$O16:$AG16),"")),"")</f>
        <v>0</v>
      </c>
      <c r="AS15" s="31">
        <f>IFERROR(IF($G15=Tabelid!$L$6,$E15*Z15,IFERROR($E15*Z15/SUM($J15:$AB15)*(Eksplikatsioon!AE16)/SUMPRODUCT($J15:$AB15,Eksplikatsioon!$O16:$AG16),"")),"")</f>
        <v>0</v>
      </c>
      <c r="AT15" s="31">
        <f>IFERROR(IF($G15=Tabelid!$L$6,$E15*AA15,IFERROR($E15*AA15/SUM($J15:$AB15)*(Eksplikatsioon!AF16)/SUMPRODUCT($J15:$AB15,Eksplikatsioon!$O16:$AG16),"")),"")</f>
        <v>0</v>
      </c>
      <c r="AU15" s="31">
        <f>IFERROR(IF($G15=Tabelid!$L$6,$E15*AB15,IFERROR($E15*AB15/SUM($J15:$AB15)*(Eksplikatsioon!AG16)/SUMPRODUCT($J15:$AB15,Eksplikatsioon!$O16:$AG16),"")),"")</f>
        <v>0</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35">
      <c r="A16" s="23" t="str">
        <f>IF(Eksplikatsioon!A17=0,"",Eksplikatsioon!A17)</f>
        <v>01</v>
      </c>
      <c r="B16" s="60">
        <f>IF(Eksplikatsioon!B17=0,"",Eksplikatsioon!B17)</f>
        <v>109</v>
      </c>
      <c r="C16" s="23" t="str">
        <f>IF(Eksplikatsioon!C17=0,"",Eksplikatsioon!C17)</f>
        <v>ÜÜRITAV PIND</v>
      </c>
      <c r="D16" s="23" t="str">
        <f>IF(Eksplikatsioon!D17=0,"",Eksplikatsioon!D17)</f>
        <v>Garaaž</v>
      </c>
      <c r="E16" s="58">
        <f>IF(Eksplikatsioon!F17=0,"",Eksplikatsioon!F17)</f>
        <v>125.9</v>
      </c>
      <c r="F16" s="23" t="str">
        <f>IF(Eksplikatsioon!H17=0,"",Eksplikatsioon!H17)</f>
        <v/>
      </c>
      <c r="G16" s="23" t="str">
        <f>IF(Eksplikatsioon!J17=0,"",Eksplikatsioon!J17)</f>
        <v>Ainukasutuses pind</v>
      </c>
      <c r="H16" s="23" t="str">
        <f>IF(Eksplikatsioon!K17=0,"",Eksplikatsioon!K17)</f>
        <v>PÄÄSTEAMET</v>
      </c>
      <c r="I16" s="23" t="str">
        <f>IF(Eksplikatsioon!L17=0,"",Eksplikatsioon!L17)</f>
        <v>KAARLIMOISATEE4_01</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35">
      <c r="A17" s="23" t="str">
        <f>IF(Eksplikatsioon!A18=0,"",Eksplikatsioon!A18)</f>
        <v>01</v>
      </c>
      <c r="B17" s="60">
        <f>IF(Eksplikatsioon!B18=0,"",Eksplikatsioon!B18)</f>
        <v>110</v>
      </c>
      <c r="C17" s="23" t="str">
        <f>IF(Eksplikatsioon!C18=0,"",Eksplikatsioon!C18)</f>
        <v>ÜÜRITAV PIND</v>
      </c>
      <c r="D17" s="23" t="str">
        <f>IF(Eksplikatsioon!D18=0,"",Eksplikatsioon!D18)</f>
        <v>Autopesula</v>
      </c>
      <c r="E17" s="58">
        <f>IF(Eksplikatsioon!F18=0,"",Eksplikatsioon!F18)</f>
        <v>47.3</v>
      </c>
      <c r="F17" s="23" t="str">
        <f>IF(Eksplikatsioon!H18=0,"",Eksplikatsioon!H18)</f>
        <v/>
      </c>
      <c r="G17" s="23" t="str">
        <f>IF(Eksplikatsioon!J18=0,"",Eksplikatsioon!J18)</f>
        <v>Ainukasutuses pind</v>
      </c>
      <c r="H17" s="23" t="str">
        <f>IF(Eksplikatsioon!K18=0,"",Eksplikatsioon!K18)</f>
        <v>PÄÄSTEAMET</v>
      </c>
      <c r="I17" s="23" t="str">
        <f>IF(Eksplikatsioon!L18=0,"",Eksplikatsioon!L18)</f>
        <v>KAARLIMOISATEE4_01</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01</v>
      </c>
      <c r="B18" s="60">
        <f>IF(Eksplikatsioon!B19=0,"",Eksplikatsioon!B19)</f>
        <v>111</v>
      </c>
      <c r="C18" s="23" t="str">
        <f>IF(Eksplikatsioon!C19=0,"",Eksplikatsioon!C19)</f>
        <v>ÜÜRITAV PIND</v>
      </c>
      <c r="D18" s="23" t="str">
        <f>IF(Eksplikatsioon!D19=0,"",Eksplikatsioon!D19)</f>
        <v>Garaaž</v>
      </c>
      <c r="E18" s="58">
        <f>IF(Eksplikatsioon!F19=0,"",Eksplikatsioon!F19)</f>
        <v>16.600000000000001</v>
      </c>
      <c r="F18" s="23" t="str">
        <f>IF(Eksplikatsioon!H19=0,"",Eksplikatsioon!H19)</f>
        <v/>
      </c>
      <c r="G18" s="23" t="str">
        <f>IF(Eksplikatsioon!J19=0,"",Eksplikatsioon!J19)</f>
        <v>Ainukasutuses pind</v>
      </c>
      <c r="H18" s="23" t="str">
        <f>IF(Eksplikatsioon!K19=0,"",Eksplikatsioon!K19)</f>
        <v>PÄÄSTEAMET</v>
      </c>
      <c r="I18" s="23" t="str">
        <f>IF(Eksplikatsioon!L19=0,"",Eksplikatsioon!L19)</f>
        <v>KAARLIMOISATEE4_01</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01</v>
      </c>
      <c r="B19" s="60">
        <f>IF(Eksplikatsioon!B20=0,"",Eksplikatsioon!B20)</f>
        <v>112</v>
      </c>
      <c r="C19" s="23" t="str">
        <f>IF(Eksplikatsioon!C20=0,"",Eksplikatsioon!C20)</f>
        <v>ÜÜRITAV PIND</v>
      </c>
      <c r="D19" s="23" t="str">
        <f>IF(Eksplikatsioon!D20=0,"",Eksplikatsioon!D20)</f>
        <v>Klassiruum</v>
      </c>
      <c r="E19" s="58">
        <f>IF(Eksplikatsioon!F20=0,"",Eksplikatsioon!F20)</f>
        <v>11.6</v>
      </c>
      <c r="F19" s="23" t="str">
        <f>IF(Eksplikatsioon!H20=0,"",Eksplikatsioon!H20)</f>
        <v/>
      </c>
      <c r="G19" s="23" t="str">
        <f>IF(Eksplikatsioon!J20=0,"",Eksplikatsioon!J20)</f>
        <v>Ainukasutuses pind</v>
      </c>
      <c r="H19" s="23" t="str">
        <f>IF(Eksplikatsioon!K20=0,"",Eksplikatsioon!K20)</f>
        <v>PÄÄSTEAMET</v>
      </c>
      <c r="I19" s="23" t="str">
        <f>IF(Eksplikatsioon!L20=0,"",Eksplikatsioon!L20)</f>
        <v>KAARLIMOISATEE4_01</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f>IF(Eksplikatsioon!B21=0,"",Eksplikatsioon!B21)</f>
        <v>113</v>
      </c>
      <c r="C20" s="23" t="str">
        <f>IF(Eksplikatsioon!C21=0,"",Eksplikatsioon!C21)</f>
        <v>ÜÜRITAV PIND</v>
      </c>
      <c r="D20" s="23" t="str">
        <f>IF(Eksplikatsioon!D21=0,"",Eksplikatsioon!D21)</f>
        <v>Hoiuruum/Ladu</v>
      </c>
      <c r="E20" s="58">
        <f>IF(Eksplikatsioon!F21=0,"",Eksplikatsioon!F21)</f>
        <v>20.3</v>
      </c>
      <c r="F20" s="23" t="str">
        <f>IF(Eksplikatsioon!H21=0,"",Eksplikatsioon!H21)</f>
        <v/>
      </c>
      <c r="G20" s="23" t="str">
        <f>IF(Eksplikatsioon!J21=0,"",Eksplikatsioon!J21)</f>
        <v>Ainukasutuses pind</v>
      </c>
      <c r="H20" s="23" t="str">
        <f>IF(Eksplikatsioon!K21=0,"",Eksplikatsioon!K21)</f>
        <v>PÄÄSTEAMET</v>
      </c>
      <c r="I20" s="23" t="str">
        <f>IF(Eksplikatsioon!L21=0,"",Eksplikatsioon!L21)</f>
        <v>KAARLIMOISATEE4_01</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114</v>
      </c>
      <c r="C21" s="23" t="str">
        <f>IF(Eksplikatsioon!C22=0,"",Eksplikatsioon!C22)</f>
        <v>ÜÜRITAV PIND</v>
      </c>
      <c r="D21" s="23" t="str">
        <f>IF(Eksplikatsioon!D22=0,"",Eksplikatsioon!D22)</f>
        <v>Garaaž</v>
      </c>
      <c r="E21" s="58">
        <f>IF(Eksplikatsioon!F22=0,"",Eksplikatsioon!F22)</f>
        <v>438.4425</v>
      </c>
      <c r="F21" s="23" t="str">
        <f>IF(Eksplikatsioon!H22=0,"",Eksplikatsioon!H22)</f>
        <v/>
      </c>
      <c r="G21" s="23" t="str">
        <f>IF(Eksplikatsioon!J22=0,"",Eksplikatsioon!J22)</f>
        <v>Ainukasutuses pind</v>
      </c>
      <c r="H21" s="23" t="str">
        <f>IF(Eksplikatsioon!K22=0,"",Eksplikatsioon!K22)</f>
        <v>PÄÄSTEAMET</v>
      </c>
      <c r="I21" s="23" t="str">
        <f>IF(Eksplikatsioon!L22=0,"",Eksplikatsioon!L22)</f>
        <v>KAARLIMOISATEE4_01</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f>IF(Eksplikatsioon!B23=0,"",Eksplikatsioon!B23)</f>
        <v>115</v>
      </c>
      <c r="C22" s="23" t="str">
        <f>IF(Eksplikatsioon!C23=0,"",Eksplikatsioon!C23)</f>
        <v>ÜÜRITAV PIND</v>
      </c>
      <c r="D22" s="23" t="str">
        <f>IF(Eksplikatsioon!D23=0,"",Eksplikatsioon!D23)</f>
        <v>Koridor</v>
      </c>
      <c r="E22" s="58">
        <f>IF(Eksplikatsioon!F23=0,"",Eksplikatsioon!F23)</f>
        <v>107.67659999999999</v>
      </c>
      <c r="F22" s="23" t="str">
        <f>IF(Eksplikatsioon!H23=0,"",Eksplikatsioon!H23)</f>
        <v>PÄA 80,79 % ja SMIT 19,21%</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0.80790000000000006</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0.19210000000000002</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86.991925140000006</v>
      </c>
      <c r="AD22" s="31">
        <f>IFERROR(IF($G22=Tabelid!$L$6,$E22*K22,IFERROR($E22*K22/SUM($J22:$AB22)*(Eksplikatsioon!P23)/SUMPRODUCT($J22:$AB22,Eksplikatsioon!$O23:$AG23),"")),"")</f>
        <v>0</v>
      </c>
      <c r="AE22" s="31">
        <f>IFERROR(IF($G22=Tabelid!$L$6,$E22*L22,IFERROR($E22*L22/SUM($J22:$AB22)*(Eksplikatsioon!Q23)/SUMPRODUCT($J22:$AB22,Eksplikatsioon!$O23:$AG23),"")),"")</f>
        <v>20.684674860000001</v>
      </c>
      <c r="AF22" s="31">
        <f>IFERROR(IF($G22=Tabelid!$L$6,$E22*M22,IFERROR($E22*M22/SUM($J22:$AB22)*(Eksplikatsioon!R23)/SUMPRODUCT($J22:$AB22,Eksplikatsioon!$O23:$AG23),"")),"")</f>
        <v>0</v>
      </c>
      <c r="AG22" s="31">
        <f>IFERROR(IF($G22=Tabelid!$L$6,$E22*N22,IFERROR($E22*N22/SUM($J22:$AB22)*(Eksplikatsioon!S23)/SUMPRODUCT($J22:$AB22,Eksplikatsioon!$O23:$AG23),"")),"")</f>
        <v>0</v>
      </c>
      <c r="AH22" s="31">
        <f>IFERROR(IF($G22=Tabelid!$L$6,$E22*O22,IFERROR($E22*O22/SUM($J22:$AB22)*(Eksplikatsioon!T23)/SUMPRODUCT($J22:$AB22,Eksplikatsioon!$O23:$AG23),"")),"")</f>
        <v>0</v>
      </c>
      <c r="AI22" s="31">
        <f>IFERROR(IF($G22=Tabelid!$L$6,$E22*P22,IFERROR($E22*P22/SUM($J22:$AB22)*(Eksplikatsioon!U23)/SUMPRODUCT($J22:$AB22,Eksplikatsioon!$O23:$AG23),"")),"")</f>
        <v>0</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118</v>
      </c>
      <c r="C23" s="23" t="str">
        <f>IF(Eksplikatsioon!C24=0,"",Eksplikatsioon!C24)</f>
        <v>ÜÜRITAV PIND</v>
      </c>
      <c r="D23" s="23" t="str">
        <f>IF(Eksplikatsioon!D24=0,"",Eksplikatsioon!D24)</f>
        <v>WC</v>
      </c>
      <c r="E23" s="58">
        <f>IF(Eksplikatsioon!F24=0,"",Eksplikatsioon!F24)</f>
        <v>2.2000000000000002</v>
      </c>
      <c r="F23" s="23" t="str">
        <f>IF(Eksplikatsioon!H24=0,"",Eksplikatsioon!H24)</f>
        <v/>
      </c>
      <c r="G23" s="23" t="str">
        <f>IF(Eksplikatsioon!J24=0,"",Eksplikatsioon!J24)</f>
        <v>Ainukasutuses pind</v>
      </c>
      <c r="H23" s="23" t="str">
        <f>IF(Eksplikatsioon!K24=0,"",Eksplikatsioon!K24)</f>
        <v>PÄÄSTEAMET</v>
      </c>
      <c r="I23" s="23" t="str">
        <f>IF(Eksplikatsioon!L24=0,"",Eksplikatsioon!L24)</f>
        <v>KAARLIMOISATEE4_01</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119</v>
      </c>
      <c r="C24" s="23" t="str">
        <f>IF(Eksplikatsioon!C25=0,"",Eksplikatsioon!C25)</f>
        <v>ÜÜRITAV PIND</v>
      </c>
      <c r="D24" s="23" t="str">
        <f>IF(Eksplikatsioon!D25=0,"",Eksplikatsioon!D25)</f>
        <v>Pesuruum</v>
      </c>
      <c r="E24" s="58">
        <f>IF(Eksplikatsioon!F25=0,"",Eksplikatsioon!F25)</f>
        <v>11.9</v>
      </c>
      <c r="F24" s="23" t="str">
        <f>IF(Eksplikatsioon!H25=0,"",Eksplikatsioon!H25)</f>
        <v/>
      </c>
      <c r="G24" s="23" t="str">
        <f>IF(Eksplikatsioon!J25=0,"",Eksplikatsioon!J25)</f>
        <v>Ainukasutuses pind</v>
      </c>
      <c r="H24" s="23" t="str">
        <f>IF(Eksplikatsioon!K25=0,"",Eksplikatsioon!K25)</f>
        <v>PÄÄSTEAMET</v>
      </c>
      <c r="I24" s="23" t="str">
        <f>IF(Eksplikatsioon!L25=0,"",Eksplikatsioon!L25)</f>
        <v>KAARLIMOISATEE4_01</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120</v>
      </c>
      <c r="C25" s="23" t="str">
        <f>IF(Eksplikatsioon!C26=0,"",Eksplikatsioon!C26)</f>
        <v>ÜÜRITAV PIND</v>
      </c>
      <c r="D25" s="23" t="str">
        <f>IF(Eksplikatsioon!D26=0,"",Eksplikatsioon!D26)</f>
        <v>Pesuruum</v>
      </c>
      <c r="E25" s="58">
        <f>IF(Eksplikatsioon!F26=0,"",Eksplikatsioon!F26)</f>
        <v>6.3</v>
      </c>
      <c r="F25" s="23" t="str">
        <f>IF(Eksplikatsioon!H26=0,"",Eksplikatsioon!H26)</f>
        <v/>
      </c>
      <c r="G25" s="23" t="str">
        <f>IF(Eksplikatsioon!J26=0,"",Eksplikatsioon!J26)</f>
        <v>Ainukasutuses pind</v>
      </c>
      <c r="H25" s="23" t="str">
        <f>IF(Eksplikatsioon!K26=0,"",Eksplikatsioon!K26)</f>
        <v>PÄÄSTEAMET</v>
      </c>
      <c r="I25" s="23" t="str">
        <f>IF(Eksplikatsioon!L26=0,"",Eksplikatsioon!L26)</f>
        <v>KAARLIMOISATEE4_01</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121</v>
      </c>
      <c r="C26" s="23" t="str">
        <f>IF(Eksplikatsioon!C27=0,"",Eksplikatsioon!C27)</f>
        <v>ÜÜRITAV PIND</v>
      </c>
      <c r="D26" s="23" t="str">
        <f>IF(Eksplikatsioon!D27=0,"",Eksplikatsioon!D27)</f>
        <v>Garderoob</v>
      </c>
      <c r="E26" s="58">
        <f>IF(Eksplikatsioon!F27=0,"",Eksplikatsioon!F27)</f>
        <v>35.700000000000003</v>
      </c>
      <c r="F26" s="23" t="str">
        <f>IF(Eksplikatsioon!H27=0,"",Eksplikatsioon!H27)</f>
        <v/>
      </c>
      <c r="G26" s="23" t="str">
        <f>IF(Eksplikatsioon!J27=0,"",Eksplikatsioon!J27)</f>
        <v>Ainukasutuses pind</v>
      </c>
      <c r="H26" s="23" t="str">
        <f>IF(Eksplikatsioon!K27=0,"",Eksplikatsioon!K27)</f>
        <v>PÄÄSTEAMET</v>
      </c>
      <c r="I26" s="23" t="str">
        <f>IF(Eksplikatsioon!L27=0,"",Eksplikatsioon!L27)</f>
        <v>KAARLIMOISATEE4_01</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122</v>
      </c>
      <c r="C27" s="23" t="str">
        <f>IF(Eksplikatsioon!C28=0,"",Eksplikatsioon!C28)</f>
        <v>ÜÜRITAV PIND</v>
      </c>
      <c r="D27" s="23" t="str">
        <f>IF(Eksplikatsioon!D28=0,"",Eksplikatsioon!D28)</f>
        <v>Kabinet/Büroo</v>
      </c>
      <c r="E27" s="58">
        <f>IF(Eksplikatsioon!F28=0,"",Eksplikatsioon!F28)</f>
        <v>24.6</v>
      </c>
      <c r="F27" s="23" t="str">
        <f>IF(Eksplikatsioon!H28=0,"",Eksplikatsioon!H28)</f>
        <v/>
      </c>
      <c r="G27" s="23" t="str">
        <f>IF(Eksplikatsioon!J28=0,"",Eksplikatsioon!J28)</f>
        <v>Ainukasutuses pind</v>
      </c>
      <c r="H27" s="23" t="str">
        <f>IF(Eksplikatsioon!K28=0,"",Eksplikatsioon!K28)</f>
        <v>PÄÄSTEAMET</v>
      </c>
      <c r="I27" s="23" t="str">
        <f>IF(Eksplikatsioon!L28=0,"",Eksplikatsioon!L28)</f>
        <v>KAARLIMOISATEE4_01</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123</v>
      </c>
      <c r="C28" s="23" t="str">
        <f>IF(Eksplikatsioon!C29=0,"",Eksplikatsioon!C29)</f>
        <v>TEHNOPIND</v>
      </c>
      <c r="D28" s="23" t="str">
        <f>IF(Eksplikatsioon!D29=0,"",Eksplikatsioon!D29)</f>
        <v>Vent ruum</v>
      </c>
      <c r="E28" s="58">
        <f>IF(Eksplikatsioon!F29=0,"",Eksplikatsioon!F29)</f>
        <v>39.200000000000003</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f>IF(Eksplikatsioon!B30=0,"",Eksplikatsioon!B30)</f>
        <v>124</v>
      </c>
      <c r="C29" s="23" t="str">
        <f>IF(Eksplikatsioon!C30=0,"",Eksplikatsioon!C30)</f>
        <v>ÜÜRITAV PIND</v>
      </c>
      <c r="D29" s="23" t="str">
        <f>IF(Eksplikatsioon!D30=0,"",Eksplikatsioon!D30)</f>
        <v>Eesruum</v>
      </c>
      <c r="E29" s="58">
        <f>IF(Eksplikatsioon!F30=0,"",Eksplikatsioon!F30)</f>
        <v>7.8</v>
      </c>
      <c r="F29" s="23" t="str">
        <f>IF(Eksplikatsioon!H30=0,"",Eksplikatsioon!H30)</f>
        <v>PÄA 50% ja SMIT 50 %</v>
      </c>
      <c r="G29" s="23" t="str">
        <f>IF(Eksplikatsioon!J30=0,"",Eksplikatsioon!J30)</f>
        <v>Ühiskasutuses muu pind (muu)</v>
      </c>
      <c r="H29" s="23" t="str">
        <f>IF(Eksplikatsioon!K30=0,"",Eksplikatsioon!K30)</f>
        <v/>
      </c>
      <c r="I29" s="23" t="str">
        <f>IF(Eksplikatsioon!L30=0,"",Eksplikatsioon!L30)</f>
        <v/>
      </c>
      <c r="J29" s="31">
        <f>IFERROR(IF($G29=Tabelid!$L$6,Eksplikatsioon!O30/SUM(Eksplikatsioon!$O30:'Eksplikatsioon'!$AG30),IF($G29=Tabelid!$L$4,IFERROR(SUMIFS($E:$E,$G:$G,Tabelid!$L$1,$C:$C,Tabelid!$J$4,$H:$H,J$2,$A:$A,$A29)/SUMIFS($E:$E,$G:$G,Tabelid!$L$1,$C:$C,Tabelid!$J$4,$A:$A,$A29),0),IF($G29=Tabelid!$L$5,IFERROR(SUMIFS($E:$E,$G:$G,Tabelid!$L$1,$C:$C,Tabelid!$J$4,$H:$H,J$2)/SUMIFS($E:$E,$G:$G,Tabelid!$L$1,$C:$C,Tabelid!$J$4),0),""))),"")</f>
        <v>0.5</v>
      </c>
      <c r="K29" s="31">
        <f>IFERROR(IF($G29=Tabelid!$L$6,Eksplikatsioon!P30/SUM(Eksplikatsioon!$O30:'Eksplikatsioon'!$AG30),IF($G29=Tabelid!$L$4,IFERROR(SUMIFS($E:$E,$G:$G,Tabelid!$L$1,$C:$C,Tabelid!$J$4,$H:$H,K$2,$A:$A,$A29)/SUMIFS($E:$E,$G:$G,Tabelid!$L$1,$C:$C,Tabelid!$J$4,$A:$A,$A29),0),IF($G29=Tabelid!$L$5,IFERROR(SUMIFS($E:$E,$G:$G,Tabelid!$L$1,$C:$C,Tabelid!$J$4,$H:$H,K$2)/SUMIFS($E:$E,$G:$G,Tabelid!$L$1,$C:$C,Tabelid!$J$4),0),""))),"")</f>
        <v>0</v>
      </c>
      <c r="L29" s="31">
        <f>IFERROR(IF($G29=Tabelid!$L$6,Eksplikatsioon!Q30/SUM(Eksplikatsioon!$O30:'Eksplikatsioon'!$AG30),IF($G29=Tabelid!$L$4,IFERROR(SUMIFS($E:$E,$G:$G,Tabelid!$L$1,$C:$C,Tabelid!$J$4,$H:$H,L$2,$A:$A,$A29)/SUMIFS($E:$E,$G:$G,Tabelid!$L$1,$C:$C,Tabelid!$J$4,$A:$A,$A29),0),IF($G29=Tabelid!$L$5,IFERROR(SUMIFS($E:$E,$G:$G,Tabelid!$L$1,$C:$C,Tabelid!$J$4,$H:$H,L$2)/SUMIFS($E:$E,$G:$G,Tabelid!$L$1,$C:$C,Tabelid!$J$4),0),""))),"")</f>
        <v>0.5</v>
      </c>
      <c r="M29" s="31">
        <f>IFERROR(IF($G29=Tabelid!$L$6,Eksplikatsioon!R30/SUM(Eksplikatsioon!$O30:'Eksplikatsioon'!$AG30),IF($G29=Tabelid!$L$4,IFERROR(SUMIFS($E:$E,$G:$G,Tabelid!$L$1,$C:$C,Tabelid!$J$4,$H:$H,M$2,$A:$A,$A29)/SUMIFS($E:$E,$G:$G,Tabelid!$L$1,$C:$C,Tabelid!$J$4,$A:$A,$A29),0),IF($G29=Tabelid!$L$5,IFERROR(SUMIFS($E:$E,$G:$G,Tabelid!$L$1,$C:$C,Tabelid!$J$4,$H:$H,M$2)/SUMIFS($E:$E,$G:$G,Tabelid!$L$1,$C:$C,Tabelid!$J$4),0),""))),"")</f>
        <v>0</v>
      </c>
      <c r="N29" s="31">
        <f>IFERROR(IF($G29=Tabelid!$L$6,Eksplikatsioon!S30/SUM(Eksplikatsioon!$O30:'Eksplikatsioon'!$AG30),IF($G29=Tabelid!$L$4,IFERROR(SUMIFS($E:$E,$G:$G,Tabelid!$L$1,$C:$C,Tabelid!$J$4,$H:$H,N$2,$A:$A,$A29)/SUMIFS($E:$E,$G:$G,Tabelid!$L$1,$C:$C,Tabelid!$J$4,$A:$A,$A29),0),IF($G29=Tabelid!$L$5,IFERROR(SUMIFS($E:$E,$G:$G,Tabelid!$L$1,$C:$C,Tabelid!$J$4,$H:$H,N$2)/SUMIFS($E:$E,$G:$G,Tabelid!$L$1,$C:$C,Tabelid!$J$4),0),""))),"")</f>
        <v>0</v>
      </c>
      <c r="O29" s="31">
        <f>IFERROR(IF($G29=Tabelid!$L$6,Eksplikatsioon!T30/SUM(Eksplikatsioon!$O30:'Eksplikatsioon'!$AG30),IF($G29=Tabelid!$L$4,IFERROR(SUMIFS($E:$E,$G:$G,Tabelid!$L$1,$C:$C,Tabelid!$J$4,$H:$H,O$2,$A:$A,$A29)/SUMIFS($E:$E,$G:$G,Tabelid!$L$1,$C:$C,Tabelid!$J$4,$A:$A,$A29),0),IF($G29=Tabelid!$L$5,IFERROR(SUMIFS($E:$E,$G:$G,Tabelid!$L$1,$C:$C,Tabelid!$J$4,$H:$H,O$2)/SUMIFS($E:$E,$G:$G,Tabelid!$L$1,$C:$C,Tabelid!$J$4),0),""))),"")</f>
        <v>0</v>
      </c>
      <c r="P29" s="31">
        <f>IFERROR(IF($G29=Tabelid!$L$6,Eksplikatsioon!U30/SUM(Eksplikatsioon!$O30:'Eksplikatsioon'!$AG30),IF($G29=Tabelid!$L$4,IFERROR(SUMIFS($E:$E,$G:$G,Tabelid!$L$1,$C:$C,Tabelid!$J$4,$H:$H,P$2,$A:$A,$A29)/SUMIFS($E:$E,$G:$G,Tabelid!$L$1,$C:$C,Tabelid!$J$4,$A:$A,$A29),0),IF($G29=Tabelid!$L$5,IFERROR(SUMIFS($E:$E,$G:$G,Tabelid!$L$1,$C:$C,Tabelid!$J$4,$H:$H,P$2)/SUMIFS($E:$E,$G:$G,Tabelid!$L$1,$C:$C,Tabelid!$J$4),0),""))),"")</f>
        <v>0</v>
      </c>
      <c r="Q29" s="31">
        <f>IFERROR(IF($G29=Tabelid!$L$6,Eksplikatsioon!V30/SUM(Eksplikatsioon!$O30:'Eksplikatsioon'!$AG30),IF($G29=Tabelid!$L$4,IFERROR(SUMIFS($E:$E,$G:$G,Tabelid!$L$1,$C:$C,Tabelid!$J$4,$H:$H,Q$2,$A:$A,$A29)/SUMIFS($E:$E,$G:$G,Tabelid!$L$1,$C:$C,Tabelid!$J$4,$A:$A,$A29),0),IF($G29=Tabelid!$L$5,IFERROR(SUMIFS($E:$E,$G:$G,Tabelid!$L$1,$C:$C,Tabelid!$J$4,$H:$H,Q$2)/SUMIFS($E:$E,$G:$G,Tabelid!$L$1,$C:$C,Tabelid!$J$4),0),""))),"")</f>
        <v>0</v>
      </c>
      <c r="R29" s="31">
        <f>IFERROR(IF($G29=Tabelid!$L$6,Eksplikatsioon!W30/SUM(Eksplikatsioon!$O30:'Eksplikatsioon'!$AG30),IF($G29=Tabelid!$L$4,IFERROR(SUMIFS($E:$E,$G:$G,Tabelid!$L$1,$C:$C,Tabelid!$J$4,$H:$H,R$2,$A:$A,$A29)/SUMIFS($E:$E,$G:$G,Tabelid!$L$1,$C:$C,Tabelid!$J$4,$A:$A,$A29),0),IF($G29=Tabelid!$L$5,IFERROR(SUMIFS($E:$E,$G:$G,Tabelid!$L$1,$C:$C,Tabelid!$J$4,$H:$H,R$2)/SUMIFS($E:$E,$G:$G,Tabelid!$L$1,$C:$C,Tabelid!$J$4),0),""))),"")</f>
        <v>0</v>
      </c>
      <c r="S29" s="31">
        <f>IFERROR(IF($G29=Tabelid!$L$6,Eksplikatsioon!X30/SUM(Eksplikatsioon!$O30:'Eksplikatsioon'!$AG30),IF($G29=Tabelid!$L$4,IFERROR(SUMIFS($E:$E,$G:$G,Tabelid!$L$1,$C:$C,Tabelid!$J$4,$H:$H,S$2,$A:$A,$A29)/SUMIFS($E:$E,$G:$G,Tabelid!$L$1,$C:$C,Tabelid!$J$4,$A:$A,$A29),0),IF($G29=Tabelid!$L$5,IFERROR(SUMIFS($E:$E,$G:$G,Tabelid!$L$1,$C:$C,Tabelid!$J$4,$H:$H,S$2)/SUMIFS($E:$E,$G:$G,Tabelid!$L$1,$C:$C,Tabelid!$J$4),0),""))),"")</f>
        <v>0</v>
      </c>
      <c r="T29" s="31">
        <f>IFERROR(IF($G29=Tabelid!$L$6,Eksplikatsioon!Y30/SUM(Eksplikatsioon!$O30:'Eksplikatsioon'!$AG30),IF($G29=Tabelid!$L$4,IFERROR(SUMIFS($E:$E,$G:$G,Tabelid!$L$1,$C:$C,Tabelid!$J$4,$H:$H,T$2,$A:$A,$A29)/SUMIFS($E:$E,$G:$G,Tabelid!$L$1,$C:$C,Tabelid!$J$4,$A:$A,$A29),0),IF($G29=Tabelid!$L$5,IFERROR(SUMIFS($E:$E,$G:$G,Tabelid!$L$1,$C:$C,Tabelid!$J$4,$H:$H,T$2)/SUMIFS($E:$E,$G:$G,Tabelid!$L$1,$C:$C,Tabelid!$J$4),0),""))),"")</f>
        <v>0</v>
      </c>
      <c r="U29" s="31">
        <f>IFERROR(IF($G29=Tabelid!$L$6,Eksplikatsioon!Z30/SUM(Eksplikatsioon!$O30:'Eksplikatsioon'!$AG30),IF($G29=Tabelid!$L$4,IFERROR(SUMIFS($E:$E,$G:$G,Tabelid!$L$1,$C:$C,Tabelid!$J$4,$H:$H,U$2,$A:$A,$A29)/SUMIFS($E:$E,$G:$G,Tabelid!$L$1,$C:$C,Tabelid!$J$4,$A:$A,$A29),0),IF($G29=Tabelid!$L$5,IFERROR(SUMIFS($E:$E,$G:$G,Tabelid!$L$1,$C:$C,Tabelid!$J$4,$H:$H,U$2)/SUMIFS($E:$E,$G:$G,Tabelid!$L$1,$C:$C,Tabelid!$J$4),0),""))),"")</f>
        <v>0</v>
      </c>
      <c r="V29" s="31">
        <f>IFERROR(IF($G29=Tabelid!$L$6,Eksplikatsioon!AA30/SUM(Eksplikatsioon!$O30:'Eksplikatsioon'!$AG30),IF($G29=Tabelid!$L$4,IFERROR(SUMIFS($E:$E,$G:$G,Tabelid!$L$1,$C:$C,Tabelid!$J$4,$H:$H,V$2,$A:$A,$A29)/SUMIFS($E:$E,$G:$G,Tabelid!$L$1,$C:$C,Tabelid!$J$4,$A:$A,$A29),0),IF($G29=Tabelid!$L$5,IFERROR(SUMIFS($E:$E,$G:$G,Tabelid!$L$1,$C:$C,Tabelid!$J$4,$H:$H,V$2)/SUMIFS($E:$E,$G:$G,Tabelid!$L$1,$C:$C,Tabelid!$J$4),0),""))),"")</f>
        <v>0</v>
      </c>
      <c r="W29" s="31">
        <f>IFERROR(IF($G29=Tabelid!$L$6,Eksplikatsioon!AB30/SUM(Eksplikatsioon!$O30:'Eksplikatsioon'!$AG30),IF($G29=Tabelid!$L$4,IFERROR(SUMIFS($E:$E,$G:$G,Tabelid!$L$1,$C:$C,Tabelid!$J$4,$H:$H,W$2,$A:$A,$A29)/SUMIFS($E:$E,$G:$G,Tabelid!$L$1,$C:$C,Tabelid!$J$4,$A:$A,$A29),0),IF($G29=Tabelid!$L$5,IFERROR(SUMIFS($E:$E,$G:$G,Tabelid!$L$1,$C:$C,Tabelid!$J$4,$H:$H,W$2)/SUMIFS($E:$E,$G:$G,Tabelid!$L$1,$C:$C,Tabelid!$J$4),0),""))),"")</f>
        <v>0</v>
      </c>
      <c r="X29" s="31">
        <f>IFERROR(IF($G29=Tabelid!$L$6,Eksplikatsioon!AC30/SUM(Eksplikatsioon!$O30:'Eksplikatsioon'!$AG30),IF($G29=Tabelid!$L$4,IFERROR(SUMIFS($E:$E,$G:$G,Tabelid!$L$1,$C:$C,Tabelid!$J$4,$H:$H,X$2,$A:$A,$A29)/SUMIFS($E:$E,$G:$G,Tabelid!$L$1,$C:$C,Tabelid!$J$4,$A:$A,$A29),0),IF($G29=Tabelid!$L$5,IFERROR(SUMIFS($E:$E,$G:$G,Tabelid!$L$1,$C:$C,Tabelid!$J$4,$H:$H,X$2)/SUMIFS($E:$E,$G:$G,Tabelid!$L$1,$C:$C,Tabelid!$J$4),0),""))),"")</f>
        <v>0</v>
      </c>
      <c r="Y29" s="31">
        <f>IFERROR(IF($G29=Tabelid!$L$6,Eksplikatsioon!AD30/SUM(Eksplikatsioon!$O30:'Eksplikatsioon'!$AG30),IF($G29=Tabelid!$L$4,IFERROR(SUMIFS($E:$E,$G:$G,Tabelid!$L$1,$C:$C,Tabelid!$J$4,$H:$H,Y$2,$A:$A,$A29)/SUMIFS($E:$E,$G:$G,Tabelid!$L$1,$C:$C,Tabelid!$J$4,$A:$A,$A29),0),IF($G29=Tabelid!$L$5,IFERROR(SUMIFS($E:$E,$G:$G,Tabelid!$L$1,$C:$C,Tabelid!$J$4,$H:$H,Y$2)/SUMIFS($E:$E,$G:$G,Tabelid!$L$1,$C:$C,Tabelid!$J$4),0),""))),"")</f>
        <v>0</v>
      </c>
      <c r="Z29" s="31">
        <f>IFERROR(IF($G29=Tabelid!$L$6,Eksplikatsioon!AE30/SUM(Eksplikatsioon!$O30:'Eksplikatsioon'!$AG30),IF($G29=Tabelid!$L$4,IFERROR(SUMIFS($E:$E,$G:$G,Tabelid!$L$1,$C:$C,Tabelid!$J$4,$H:$H,Z$2,$A:$A,$A29)/SUMIFS($E:$E,$G:$G,Tabelid!$L$1,$C:$C,Tabelid!$J$4,$A:$A,$A29),0),IF($G29=Tabelid!$L$5,IFERROR(SUMIFS($E:$E,$G:$G,Tabelid!$L$1,$C:$C,Tabelid!$J$4,$H:$H,Z$2)/SUMIFS($E:$E,$G:$G,Tabelid!$L$1,$C:$C,Tabelid!$J$4),0),""))),"")</f>
        <v>0</v>
      </c>
      <c r="AA29" s="31">
        <f>IFERROR(IF($G29=Tabelid!$L$6,Eksplikatsioon!AF30/SUM(Eksplikatsioon!$O30:'Eksplikatsioon'!$AG30),IF($G29=Tabelid!$L$4,IFERROR(SUMIFS($E:$E,$G:$G,Tabelid!$L$1,$C:$C,Tabelid!$J$4,$H:$H,AA$2,$A:$A,$A29)/SUMIFS($E:$E,$G:$G,Tabelid!$L$1,$C:$C,Tabelid!$J$4,$A:$A,$A29),0),IF($G29=Tabelid!$L$5,IFERROR(SUMIFS($E:$E,$G:$G,Tabelid!$L$1,$C:$C,Tabelid!$J$4,$H:$H,AA$2)/SUMIFS($E:$E,$G:$G,Tabelid!$L$1,$C:$C,Tabelid!$J$4),0),""))),"")</f>
        <v>0</v>
      </c>
      <c r="AB29" s="31">
        <f>IFERROR(IF($G29=Tabelid!$L$6,Eksplikatsioon!AG30/SUM(Eksplikatsioon!$O30:'Eksplikatsioon'!$AG30),IF($G29=Tabelid!$L$4,IFERROR(SUMIFS($E:$E,$G:$G,Tabelid!$L$1,$C:$C,Tabelid!$J$4,$H:$H,AB$2,$A:$A,$A29)/SUMIFS($E:$E,$G:$G,Tabelid!$L$1,$C:$C,Tabelid!$J$4,$A:$A,$A29),0),IF($G29=Tabelid!$L$5,IFERROR(SUMIFS($E:$E,$G:$G,Tabelid!$L$1,$C:$C,Tabelid!$J$4,$H:$H,AB$2)/SUMIFS($E:$E,$G:$G,Tabelid!$L$1,$C:$C,Tabelid!$J$4),0),""))),"")</f>
        <v>0</v>
      </c>
      <c r="AC29" s="31">
        <f>IFERROR(IF($G29=Tabelid!$L$6,$E29*J29,IFERROR($E29*J29/SUM($J29:$AB29)*(Eksplikatsioon!O30)/SUMPRODUCT($J29:$AB29,Eksplikatsioon!$O30:$AG30),"")),"")</f>
        <v>3.9</v>
      </c>
      <c r="AD29" s="31">
        <f>IFERROR(IF($G29=Tabelid!$L$6,$E29*K29,IFERROR($E29*K29/SUM($J29:$AB29)*(Eksplikatsioon!P30)/SUMPRODUCT($J29:$AB29,Eksplikatsioon!$O30:$AG30),"")),"")</f>
        <v>0</v>
      </c>
      <c r="AE29" s="31">
        <f>IFERROR(IF($G29=Tabelid!$L$6,$E29*L29,IFERROR($E29*L29/SUM($J29:$AB29)*(Eksplikatsioon!Q30)/SUMPRODUCT($J29:$AB29,Eksplikatsioon!$O30:$AG30),"")),"")</f>
        <v>3.9</v>
      </c>
      <c r="AF29" s="31">
        <f>IFERROR(IF($G29=Tabelid!$L$6,$E29*M29,IFERROR($E29*M29/SUM($J29:$AB29)*(Eksplikatsioon!R30)/SUMPRODUCT($J29:$AB29,Eksplikatsioon!$O30:$AG30),"")),"")</f>
        <v>0</v>
      </c>
      <c r="AG29" s="31">
        <f>IFERROR(IF($G29=Tabelid!$L$6,$E29*N29,IFERROR($E29*N29/SUM($J29:$AB29)*(Eksplikatsioon!S30)/SUMPRODUCT($J29:$AB29,Eksplikatsioon!$O30:$AG30),"")),"")</f>
        <v>0</v>
      </c>
      <c r="AH29" s="31">
        <f>IFERROR(IF($G29=Tabelid!$L$6,$E29*O29,IFERROR($E29*O29/SUM($J29:$AB29)*(Eksplikatsioon!T30)/SUMPRODUCT($J29:$AB29,Eksplikatsioon!$O30:$AG30),"")),"")</f>
        <v>0</v>
      </c>
      <c r="AI29" s="31">
        <f>IFERROR(IF($G29=Tabelid!$L$6,$E29*P29,IFERROR($E29*P29/SUM($J29:$AB29)*(Eksplikatsioon!U30)/SUMPRODUCT($J29:$AB29,Eksplikatsioon!$O30:$AG30),"")),"")</f>
        <v>0</v>
      </c>
      <c r="AJ29" s="31">
        <f>IFERROR(IF($G29=Tabelid!$L$6,$E29*Q29,IFERROR($E29*Q29/SUM($J29:$AB29)*(Eksplikatsioon!V30)/SUMPRODUCT($J29:$AB29,Eksplikatsioon!$O30:$AG30),"")),"")</f>
        <v>0</v>
      </c>
      <c r="AK29" s="31">
        <f>IFERROR(IF($G29=Tabelid!$L$6,$E29*R29,IFERROR($E29*R29/SUM($J29:$AB29)*(Eksplikatsioon!W30)/SUMPRODUCT($J29:$AB29,Eksplikatsioon!$O30:$AG30),"")),"")</f>
        <v>0</v>
      </c>
      <c r="AL29" s="31">
        <f>IFERROR(IF($G29=Tabelid!$L$6,$E29*S29,IFERROR($E29*S29/SUM($J29:$AB29)*(Eksplikatsioon!X30)/SUMPRODUCT($J29:$AB29,Eksplikatsioon!$O30:$AG30),"")),"")</f>
        <v>0</v>
      </c>
      <c r="AM29" s="31">
        <f>IFERROR(IF($G29=Tabelid!$L$6,$E29*T29,IFERROR($E29*T29/SUM($J29:$AB29)*(Eksplikatsioon!Y30)/SUMPRODUCT($J29:$AB29,Eksplikatsioon!$O30:$AG30),"")),"")</f>
        <v>0</v>
      </c>
      <c r="AN29" s="31">
        <f>IFERROR(IF($G29=Tabelid!$L$6,$E29*U29,IFERROR($E29*U29/SUM($J29:$AB29)*(Eksplikatsioon!Z30)/SUMPRODUCT($J29:$AB29,Eksplikatsioon!$O30:$AG30),"")),"")</f>
        <v>0</v>
      </c>
      <c r="AO29" s="31">
        <f>IFERROR(IF($G29=Tabelid!$L$6,$E29*V29,IFERROR($E29*V29/SUM($J29:$AB29)*(Eksplikatsioon!AA30)/SUMPRODUCT($J29:$AB29,Eksplikatsioon!$O30:$AG30),"")),"")</f>
        <v>0</v>
      </c>
      <c r="AP29" s="31">
        <f>IFERROR(IF($G29=Tabelid!$L$6,$E29*W29,IFERROR($E29*W29/SUM($J29:$AB29)*(Eksplikatsioon!AB30)/SUMPRODUCT($J29:$AB29,Eksplikatsioon!$O30:$AG30),"")),"")</f>
        <v>0</v>
      </c>
      <c r="AQ29" s="31">
        <f>IFERROR(IF($G29=Tabelid!$L$6,$E29*X29,IFERROR($E29*X29/SUM($J29:$AB29)*(Eksplikatsioon!AC30)/SUMPRODUCT($J29:$AB29,Eksplikatsioon!$O30:$AG30),"")),"")</f>
        <v>0</v>
      </c>
      <c r="AR29" s="31">
        <f>IFERROR(IF($G29=Tabelid!$L$6,$E29*Y29,IFERROR($E29*Y29/SUM($J29:$AB29)*(Eksplikatsioon!AD30)/SUMPRODUCT($J29:$AB29,Eksplikatsioon!$O30:$AG30),"")),"")</f>
        <v>0</v>
      </c>
      <c r="AS29" s="31">
        <f>IFERROR(IF($G29=Tabelid!$L$6,$E29*Z29,IFERROR($E29*Z29/SUM($J29:$AB29)*(Eksplikatsioon!AE30)/SUMPRODUCT($J29:$AB29,Eksplikatsioon!$O30:$AG30),"")),"")</f>
        <v>0</v>
      </c>
      <c r="AT29" s="31">
        <f>IFERROR(IF($G29=Tabelid!$L$6,$E29*AA29,IFERROR($E29*AA29/SUM($J29:$AB29)*(Eksplikatsioon!AF30)/SUMPRODUCT($J29:$AB29,Eksplikatsioon!$O30:$AG30),"")),"")</f>
        <v>0</v>
      </c>
      <c r="AU29" s="31">
        <f>IFERROR(IF($G29=Tabelid!$L$6,$E29*AB29,IFERROR($E29*AB29/SUM($J29:$AB29)*(Eksplikatsioon!AG30)/SUMPRODUCT($J29:$AB29,Eksplikatsioon!$O30:$AG30),"")),"")</f>
        <v>0</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f>IF(Eksplikatsioon!B31=0,"",Eksplikatsioon!B31)</f>
        <v>125</v>
      </c>
      <c r="C30" s="23" t="str">
        <f>IF(Eksplikatsioon!C31=0,"",Eksplikatsioon!C31)</f>
        <v>ÜÜRITAV PIND</v>
      </c>
      <c r="D30" s="23" t="str">
        <f>IF(Eksplikatsioon!D31=0,"",Eksplikatsioon!D31)</f>
        <v>Aatrium/Fuajee</v>
      </c>
      <c r="E30" s="58">
        <f>IF(Eksplikatsioon!F31=0,"",Eksplikatsioon!F31)</f>
        <v>13.3</v>
      </c>
      <c r="F30" s="23" t="str">
        <f>IF(Eksplikatsioon!H31=0,"",Eksplikatsioon!H31)</f>
        <v>PÄA 50% ja SMIT 50 %</v>
      </c>
      <c r="G30" s="23" t="str">
        <f>IF(Eksplikatsioon!J31=0,"",Eksplikatsioon!J31)</f>
        <v>Ühiskasutuses muu pind (muu)</v>
      </c>
      <c r="H30" s="23" t="str">
        <f>IF(Eksplikatsioon!K31=0,"",Eksplikatsioon!K31)</f>
        <v/>
      </c>
      <c r="I30" s="23" t="str">
        <f>IF(Eksplikatsioon!L31=0,"",Eksplikatsioon!L31)</f>
        <v/>
      </c>
      <c r="J30" s="31">
        <f>IFERROR(IF($G30=Tabelid!$L$6,Eksplikatsioon!O31/SUM(Eksplikatsioon!$O31:'Eksplikatsioon'!$AG31),IF($G30=Tabelid!$L$4,IFERROR(SUMIFS($E:$E,$G:$G,Tabelid!$L$1,$C:$C,Tabelid!$J$4,$H:$H,J$2,$A:$A,$A30)/SUMIFS($E:$E,$G:$G,Tabelid!$L$1,$C:$C,Tabelid!$J$4,$A:$A,$A30),0),IF($G30=Tabelid!$L$5,IFERROR(SUMIFS($E:$E,$G:$G,Tabelid!$L$1,$C:$C,Tabelid!$J$4,$H:$H,J$2)/SUMIFS($E:$E,$G:$G,Tabelid!$L$1,$C:$C,Tabelid!$J$4),0),""))),"")</f>
        <v>0.5</v>
      </c>
      <c r="K30" s="31">
        <f>IFERROR(IF($G30=Tabelid!$L$6,Eksplikatsioon!P31/SUM(Eksplikatsioon!$O31:'Eksplikatsioon'!$AG31),IF($G30=Tabelid!$L$4,IFERROR(SUMIFS($E:$E,$G:$G,Tabelid!$L$1,$C:$C,Tabelid!$J$4,$H:$H,K$2,$A:$A,$A30)/SUMIFS($E:$E,$G:$G,Tabelid!$L$1,$C:$C,Tabelid!$J$4,$A:$A,$A30),0),IF($G30=Tabelid!$L$5,IFERROR(SUMIFS($E:$E,$G:$G,Tabelid!$L$1,$C:$C,Tabelid!$J$4,$H:$H,K$2)/SUMIFS($E:$E,$G:$G,Tabelid!$L$1,$C:$C,Tabelid!$J$4),0),""))),"")</f>
        <v>0</v>
      </c>
      <c r="L30" s="31">
        <f>IFERROR(IF($G30=Tabelid!$L$6,Eksplikatsioon!Q31/SUM(Eksplikatsioon!$O31:'Eksplikatsioon'!$AG31),IF($G30=Tabelid!$L$4,IFERROR(SUMIFS($E:$E,$G:$G,Tabelid!$L$1,$C:$C,Tabelid!$J$4,$H:$H,L$2,$A:$A,$A30)/SUMIFS($E:$E,$G:$G,Tabelid!$L$1,$C:$C,Tabelid!$J$4,$A:$A,$A30),0),IF($G30=Tabelid!$L$5,IFERROR(SUMIFS($E:$E,$G:$G,Tabelid!$L$1,$C:$C,Tabelid!$J$4,$H:$H,L$2)/SUMIFS($E:$E,$G:$G,Tabelid!$L$1,$C:$C,Tabelid!$J$4),0),""))),"")</f>
        <v>0.5</v>
      </c>
      <c r="M30" s="31">
        <f>IFERROR(IF($G30=Tabelid!$L$6,Eksplikatsioon!R31/SUM(Eksplikatsioon!$O31:'Eksplikatsioon'!$AG31),IF($G30=Tabelid!$L$4,IFERROR(SUMIFS($E:$E,$G:$G,Tabelid!$L$1,$C:$C,Tabelid!$J$4,$H:$H,M$2,$A:$A,$A30)/SUMIFS($E:$E,$G:$G,Tabelid!$L$1,$C:$C,Tabelid!$J$4,$A:$A,$A30),0),IF($G30=Tabelid!$L$5,IFERROR(SUMIFS($E:$E,$G:$G,Tabelid!$L$1,$C:$C,Tabelid!$J$4,$H:$H,M$2)/SUMIFS($E:$E,$G:$G,Tabelid!$L$1,$C:$C,Tabelid!$J$4),0),""))),"")</f>
        <v>0</v>
      </c>
      <c r="N30" s="31">
        <f>IFERROR(IF($G30=Tabelid!$L$6,Eksplikatsioon!S31/SUM(Eksplikatsioon!$O31:'Eksplikatsioon'!$AG31),IF($G30=Tabelid!$L$4,IFERROR(SUMIFS($E:$E,$G:$G,Tabelid!$L$1,$C:$C,Tabelid!$J$4,$H:$H,N$2,$A:$A,$A30)/SUMIFS($E:$E,$G:$G,Tabelid!$L$1,$C:$C,Tabelid!$J$4,$A:$A,$A30),0),IF($G30=Tabelid!$L$5,IFERROR(SUMIFS($E:$E,$G:$G,Tabelid!$L$1,$C:$C,Tabelid!$J$4,$H:$H,N$2)/SUMIFS($E:$E,$G:$G,Tabelid!$L$1,$C:$C,Tabelid!$J$4),0),""))),"")</f>
        <v>0</v>
      </c>
      <c r="O30" s="31">
        <f>IFERROR(IF($G30=Tabelid!$L$6,Eksplikatsioon!T31/SUM(Eksplikatsioon!$O31:'Eksplikatsioon'!$AG31),IF($G30=Tabelid!$L$4,IFERROR(SUMIFS($E:$E,$G:$G,Tabelid!$L$1,$C:$C,Tabelid!$J$4,$H:$H,O$2,$A:$A,$A30)/SUMIFS($E:$E,$G:$G,Tabelid!$L$1,$C:$C,Tabelid!$J$4,$A:$A,$A30),0),IF($G30=Tabelid!$L$5,IFERROR(SUMIFS($E:$E,$G:$G,Tabelid!$L$1,$C:$C,Tabelid!$J$4,$H:$H,O$2)/SUMIFS($E:$E,$G:$G,Tabelid!$L$1,$C:$C,Tabelid!$J$4),0),""))),"")</f>
        <v>0</v>
      </c>
      <c r="P30" s="31">
        <f>IFERROR(IF($G30=Tabelid!$L$6,Eksplikatsioon!U31/SUM(Eksplikatsioon!$O31:'Eksplikatsioon'!$AG31),IF($G30=Tabelid!$L$4,IFERROR(SUMIFS($E:$E,$G:$G,Tabelid!$L$1,$C:$C,Tabelid!$J$4,$H:$H,P$2,$A:$A,$A30)/SUMIFS($E:$E,$G:$G,Tabelid!$L$1,$C:$C,Tabelid!$J$4,$A:$A,$A30),0),IF($G30=Tabelid!$L$5,IFERROR(SUMIFS($E:$E,$G:$G,Tabelid!$L$1,$C:$C,Tabelid!$J$4,$H:$H,P$2)/SUMIFS($E:$E,$G:$G,Tabelid!$L$1,$C:$C,Tabelid!$J$4),0),""))),"")</f>
        <v>0</v>
      </c>
      <c r="Q30" s="31">
        <f>IFERROR(IF($G30=Tabelid!$L$6,Eksplikatsioon!V31/SUM(Eksplikatsioon!$O31:'Eksplikatsioon'!$AG31),IF($G30=Tabelid!$L$4,IFERROR(SUMIFS($E:$E,$G:$G,Tabelid!$L$1,$C:$C,Tabelid!$J$4,$H:$H,Q$2,$A:$A,$A30)/SUMIFS($E:$E,$G:$G,Tabelid!$L$1,$C:$C,Tabelid!$J$4,$A:$A,$A30),0),IF($G30=Tabelid!$L$5,IFERROR(SUMIFS($E:$E,$G:$G,Tabelid!$L$1,$C:$C,Tabelid!$J$4,$H:$H,Q$2)/SUMIFS($E:$E,$G:$G,Tabelid!$L$1,$C:$C,Tabelid!$J$4),0),""))),"")</f>
        <v>0</v>
      </c>
      <c r="R30" s="31">
        <f>IFERROR(IF($G30=Tabelid!$L$6,Eksplikatsioon!W31/SUM(Eksplikatsioon!$O31:'Eksplikatsioon'!$AG31),IF($G30=Tabelid!$L$4,IFERROR(SUMIFS($E:$E,$G:$G,Tabelid!$L$1,$C:$C,Tabelid!$J$4,$H:$H,R$2,$A:$A,$A30)/SUMIFS($E:$E,$G:$G,Tabelid!$L$1,$C:$C,Tabelid!$J$4,$A:$A,$A30),0),IF($G30=Tabelid!$L$5,IFERROR(SUMIFS($E:$E,$G:$G,Tabelid!$L$1,$C:$C,Tabelid!$J$4,$H:$H,R$2)/SUMIFS($E:$E,$G:$G,Tabelid!$L$1,$C:$C,Tabelid!$J$4),0),""))),"")</f>
        <v>0</v>
      </c>
      <c r="S30" s="31">
        <f>IFERROR(IF($G30=Tabelid!$L$6,Eksplikatsioon!X31/SUM(Eksplikatsioon!$O31:'Eksplikatsioon'!$AG31),IF($G30=Tabelid!$L$4,IFERROR(SUMIFS($E:$E,$G:$G,Tabelid!$L$1,$C:$C,Tabelid!$J$4,$H:$H,S$2,$A:$A,$A30)/SUMIFS($E:$E,$G:$G,Tabelid!$L$1,$C:$C,Tabelid!$J$4,$A:$A,$A30),0),IF($G30=Tabelid!$L$5,IFERROR(SUMIFS($E:$E,$G:$G,Tabelid!$L$1,$C:$C,Tabelid!$J$4,$H:$H,S$2)/SUMIFS($E:$E,$G:$G,Tabelid!$L$1,$C:$C,Tabelid!$J$4),0),""))),"")</f>
        <v>0</v>
      </c>
      <c r="T30" s="31">
        <f>IFERROR(IF($G30=Tabelid!$L$6,Eksplikatsioon!Y31/SUM(Eksplikatsioon!$O31:'Eksplikatsioon'!$AG31),IF($G30=Tabelid!$L$4,IFERROR(SUMIFS($E:$E,$G:$G,Tabelid!$L$1,$C:$C,Tabelid!$J$4,$H:$H,T$2,$A:$A,$A30)/SUMIFS($E:$E,$G:$G,Tabelid!$L$1,$C:$C,Tabelid!$J$4,$A:$A,$A30),0),IF($G30=Tabelid!$L$5,IFERROR(SUMIFS($E:$E,$G:$G,Tabelid!$L$1,$C:$C,Tabelid!$J$4,$H:$H,T$2)/SUMIFS($E:$E,$G:$G,Tabelid!$L$1,$C:$C,Tabelid!$J$4),0),""))),"")</f>
        <v>0</v>
      </c>
      <c r="U30" s="31">
        <f>IFERROR(IF($G30=Tabelid!$L$6,Eksplikatsioon!Z31/SUM(Eksplikatsioon!$O31:'Eksplikatsioon'!$AG31),IF($G30=Tabelid!$L$4,IFERROR(SUMIFS($E:$E,$G:$G,Tabelid!$L$1,$C:$C,Tabelid!$J$4,$H:$H,U$2,$A:$A,$A30)/SUMIFS($E:$E,$G:$G,Tabelid!$L$1,$C:$C,Tabelid!$J$4,$A:$A,$A30),0),IF($G30=Tabelid!$L$5,IFERROR(SUMIFS($E:$E,$G:$G,Tabelid!$L$1,$C:$C,Tabelid!$J$4,$H:$H,U$2)/SUMIFS($E:$E,$G:$G,Tabelid!$L$1,$C:$C,Tabelid!$J$4),0),""))),"")</f>
        <v>0</v>
      </c>
      <c r="V30" s="31">
        <f>IFERROR(IF($G30=Tabelid!$L$6,Eksplikatsioon!AA31/SUM(Eksplikatsioon!$O31:'Eksplikatsioon'!$AG31),IF($G30=Tabelid!$L$4,IFERROR(SUMIFS($E:$E,$G:$G,Tabelid!$L$1,$C:$C,Tabelid!$J$4,$H:$H,V$2,$A:$A,$A30)/SUMIFS($E:$E,$G:$G,Tabelid!$L$1,$C:$C,Tabelid!$J$4,$A:$A,$A30),0),IF($G30=Tabelid!$L$5,IFERROR(SUMIFS($E:$E,$G:$G,Tabelid!$L$1,$C:$C,Tabelid!$J$4,$H:$H,V$2)/SUMIFS($E:$E,$G:$G,Tabelid!$L$1,$C:$C,Tabelid!$J$4),0),""))),"")</f>
        <v>0</v>
      </c>
      <c r="W30" s="31">
        <f>IFERROR(IF($G30=Tabelid!$L$6,Eksplikatsioon!AB31/SUM(Eksplikatsioon!$O31:'Eksplikatsioon'!$AG31),IF($G30=Tabelid!$L$4,IFERROR(SUMIFS($E:$E,$G:$G,Tabelid!$L$1,$C:$C,Tabelid!$J$4,$H:$H,W$2,$A:$A,$A30)/SUMIFS($E:$E,$G:$G,Tabelid!$L$1,$C:$C,Tabelid!$J$4,$A:$A,$A30),0),IF($G30=Tabelid!$L$5,IFERROR(SUMIFS($E:$E,$G:$G,Tabelid!$L$1,$C:$C,Tabelid!$J$4,$H:$H,W$2)/SUMIFS($E:$E,$G:$G,Tabelid!$L$1,$C:$C,Tabelid!$J$4),0),""))),"")</f>
        <v>0</v>
      </c>
      <c r="X30" s="31">
        <f>IFERROR(IF($G30=Tabelid!$L$6,Eksplikatsioon!AC31/SUM(Eksplikatsioon!$O31:'Eksplikatsioon'!$AG31),IF($G30=Tabelid!$L$4,IFERROR(SUMIFS($E:$E,$G:$G,Tabelid!$L$1,$C:$C,Tabelid!$J$4,$H:$H,X$2,$A:$A,$A30)/SUMIFS($E:$E,$G:$G,Tabelid!$L$1,$C:$C,Tabelid!$J$4,$A:$A,$A30),0),IF($G30=Tabelid!$L$5,IFERROR(SUMIFS($E:$E,$G:$G,Tabelid!$L$1,$C:$C,Tabelid!$J$4,$H:$H,X$2)/SUMIFS($E:$E,$G:$G,Tabelid!$L$1,$C:$C,Tabelid!$J$4),0),""))),"")</f>
        <v>0</v>
      </c>
      <c r="Y30" s="31">
        <f>IFERROR(IF($G30=Tabelid!$L$6,Eksplikatsioon!AD31/SUM(Eksplikatsioon!$O31:'Eksplikatsioon'!$AG31),IF($G30=Tabelid!$L$4,IFERROR(SUMIFS($E:$E,$G:$G,Tabelid!$L$1,$C:$C,Tabelid!$J$4,$H:$H,Y$2,$A:$A,$A30)/SUMIFS($E:$E,$G:$G,Tabelid!$L$1,$C:$C,Tabelid!$J$4,$A:$A,$A30),0),IF($G30=Tabelid!$L$5,IFERROR(SUMIFS($E:$E,$G:$G,Tabelid!$L$1,$C:$C,Tabelid!$J$4,$H:$H,Y$2)/SUMIFS($E:$E,$G:$G,Tabelid!$L$1,$C:$C,Tabelid!$J$4),0),""))),"")</f>
        <v>0</v>
      </c>
      <c r="Z30" s="31">
        <f>IFERROR(IF($G30=Tabelid!$L$6,Eksplikatsioon!AE31/SUM(Eksplikatsioon!$O31:'Eksplikatsioon'!$AG31),IF($G30=Tabelid!$L$4,IFERROR(SUMIFS($E:$E,$G:$G,Tabelid!$L$1,$C:$C,Tabelid!$J$4,$H:$H,Z$2,$A:$A,$A30)/SUMIFS($E:$E,$G:$G,Tabelid!$L$1,$C:$C,Tabelid!$J$4,$A:$A,$A30),0),IF($G30=Tabelid!$L$5,IFERROR(SUMIFS($E:$E,$G:$G,Tabelid!$L$1,$C:$C,Tabelid!$J$4,$H:$H,Z$2)/SUMIFS($E:$E,$G:$G,Tabelid!$L$1,$C:$C,Tabelid!$J$4),0),""))),"")</f>
        <v>0</v>
      </c>
      <c r="AA30" s="31">
        <f>IFERROR(IF($G30=Tabelid!$L$6,Eksplikatsioon!AF31/SUM(Eksplikatsioon!$O31:'Eksplikatsioon'!$AG31),IF($G30=Tabelid!$L$4,IFERROR(SUMIFS($E:$E,$G:$G,Tabelid!$L$1,$C:$C,Tabelid!$J$4,$H:$H,AA$2,$A:$A,$A30)/SUMIFS($E:$E,$G:$G,Tabelid!$L$1,$C:$C,Tabelid!$J$4,$A:$A,$A30),0),IF($G30=Tabelid!$L$5,IFERROR(SUMIFS($E:$E,$G:$G,Tabelid!$L$1,$C:$C,Tabelid!$J$4,$H:$H,AA$2)/SUMIFS($E:$E,$G:$G,Tabelid!$L$1,$C:$C,Tabelid!$J$4),0),""))),"")</f>
        <v>0</v>
      </c>
      <c r="AB30" s="31">
        <f>IFERROR(IF($G30=Tabelid!$L$6,Eksplikatsioon!AG31/SUM(Eksplikatsioon!$O31:'Eksplikatsioon'!$AG31),IF($G30=Tabelid!$L$4,IFERROR(SUMIFS($E:$E,$G:$G,Tabelid!$L$1,$C:$C,Tabelid!$J$4,$H:$H,AB$2,$A:$A,$A30)/SUMIFS($E:$E,$G:$G,Tabelid!$L$1,$C:$C,Tabelid!$J$4,$A:$A,$A30),0),IF($G30=Tabelid!$L$5,IFERROR(SUMIFS($E:$E,$G:$G,Tabelid!$L$1,$C:$C,Tabelid!$J$4,$H:$H,AB$2)/SUMIFS($E:$E,$G:$G,Tabelid!$L$1,$C:$C,Tabelid!$J$4),0),""))),"")</f>
        <v>0</v>
      </c>
      <c r="AC30" s="31">
        <f>IFERROR(IF($G30=Tabelid!$L$6,$E30*J30,IFERROR($E30*J30/SUM($J30:$AB30)*(Eksplikatsioon!O31)/SUMPRODUCT($J30:$AB30,Eksplikatsioon!$O31:$AG31),"")),"")</f>
        <v>6.65</v>
      </c>
      <c r="AD30" s="31">
        <f>IFERROR(IF($G30=Tabelid!$L$6,$E30*K30,IFERROR($E30*K30/SUM($J30:$AB30)*(Eksplikatsioon!P31)/SUMPRODUCT($J30:$AB30,Eksplikatsioon!$O31:$AG31),"")),"")</f>
        <v>0</v>
      </c>
      <c r="AE30" s="31">
        <f>IFERROR(IF($G30=Tabelid!$L$6,$E30*L30,IFERROR($E30*L30/SUM($J30:$AB30)*(Eksplikatsioon!Q31)/SUMPRODUCT($J30:$AB30,Eksplikatsioon!$O31:$AG31),"")),"")</f>
        <v>6.65</v>
      </c>
      <c r="AF30" s="31">
        <f>IFERROR(IF($G30=Tabelid!$L$6,$E30*M30,IFERROR($E30*M30/SUM($J30:$AB30)*(Eksplikatsioon!R31)/SUMPRODUCT($J30:$AB30,Eksplikatsioon!$O31:$AG31),"")),"")</f>
        <v>0</v>
      </c>
      <c r="AG30" s="31">
        <f>IFERROR(IF($G30=Tabelid!$L$6,$E30*N30,IFERROR($E30*N30/SUM($J30:$AB30)*(Eksplikatsioon!S31)/SUMPRODUCT($J30:$AB30,Eksplikatsioon!$O31:$AG31),"")),"")</f>
        <v>0</v>
      </c>
      <c r="AH30" s="31">
        <f>IFERROR(IF($G30=Tabelid!$L$6,$E30*O30,IFERROR($E30*O30/SUM($J30:$AB30)*(Eksplikatsioon!T31)/SUMPRODUCT($J30:$AB30,Eksplikatsioon!$O31:$AG31),"")),"")</f>
        <v>0</v>
      </c>
      <c r="AI30" s="31">
        <f>IFERROR(IF($G30=Tabelid!$L$6,$E30*P30,IFERROR($E30*P30/SUM($J30:$AB30)*(Eksplikatsioon!U31)/SUMPRODUCT($J30:$AB30,Eksplikatsioon!$O31:$AG31),"")),"")</f>
        <v>0</v>
      </c>
      <c r="AJ30" s="31">
        <f>IFERROR(IF($G30=Tabelid!$L$6,$E30*Q30,IFERROR($E30*Q30/SUM($J30:$AB30)*(Eksplikatsioon!V31)/SUMPRODUCT($J30:$AB30,Eksplikatsioon!$O31:$AG31),"")),"")</f>
        <v>0</v>
      </c>
      <c r="AK30" s="31">
        <f>IFERROR(IF($G30=Tabelid!$L$6,$E30*R30,IFERROR($E30*R30/SUM($J30:$AB30)*(Eksplikatsioon!W31)/SUMPRODUCT($J30:$AB30,Eksplikatsioon!$O31:$AG31),"")),"")</f>
        <v>0</v>
      </c>
      <c r="AL30" s="31">
        <f>IFERROR(IF($G30=Tabelid!$L$6,$E30*S30,IFERROR($E30*S30/SUM($J30:$AB30)*(Eksplikatsioon!X31)/SUMPRODUCT($J30:$AB30,Eksplikatsioon!$O31:$AG31),"")),"")</f>
        <v>0</v>
      </c>
      <c r="AM30" s="31">
        <f>IFERROR(IF($G30=Tabelid!$L$6,$E30*T30,IFERROR($E30*T30/SUM($J30:$AB30)*(Eksplikatsioon!Y31)/SUMPRODUCT($J30:$AB30,Eksplikatsioon!$O31:$AG31),"")),"")</f>
        <v>0</v>
      </c>
      <c r="AN30" s="31">
        <f>IFERROR(IF($G30=Tabelid!$L$6,$E30*U30,IFERROR($E30*U30/SUM($J30:$AB30)*(Eksplikatsioon!Z31)/SUMPRODUCT($J30:$AB30,Eksplikatsioon!$O31:$AG31),"")),"")</f>
        <v>0</v>
      </c>
      <c r="AO30" s="31">
        <f>IFERROR(IF($G30=Tabelid!$L$6,$E30*V30,IFERROR($E30*V30/SUM($J30:$AB30)*(Eksplikatsioon!AA31)/SUMPRODUCT($J30:$AB30,Eksplikatsioon!$O31:$AG31),"")),"")</f>
        <v>0</v>
      </c>
      <c r="AP30" s="31">
        <f>IFERROR(IF($G30=Tabelid!$L$6,$E30*W30,IFERROR($E30*W30/SUM($J30:$AB30)*(Eksplikatsioon!AB31)/SUMPRODUCT($J30:$AB30,Eksplikatsioon!$O31:$AG31),"")),"")</f>
        <v>0</v>
      </c>
      <c r="AQ30" s="31">
        <f>IFERROR(IF($G30=Tabelid!$L$6,$E30*X30,IFERROR($E30*X30/SUM($J30:$AB30)*(Eksplikatsioon!AC31)/SUMPRODUCT($J30:$AB30,Eksplikatsioon!$O31:$AG31),"")),"")</f>
        <v>0</v>
      </c>
      <c r="AR30" s="31">
        <f>IFERROR(IF($G30=Tabelid!$L$6,$E30*Y30,IFERROR($E30*Y30/SUM($J30:$AB30)*(Eksplikatsioon!AD31)/SUMPRODUCT($J30:$AB30,Eksplikatsioon!$O31:$AG31),"")),"")</f>
        <v>0</v>
      </c>
      <c r="AS30" s="31">
        <f>IFERROR(IF($G30=Tabelid!$L$6,$E30*Z30,IFERROR($E30*Z30/SUM($J30:$AB30)*(Eksplikatsioon!AE31)/SUMPRODUCT($J30:$AB30,Eksplikatsioon!$O31:$AG31),"")),"")</f>
        <v>0</v>
      </c>
      <c r="AT30" s="31">
        <f>IFERROR(IF($G30=Tabelid!$L$6,$E30*AA30,IFERROR($E30*AA30/SUM($J30:$AB30)*(Eksplikatsioon!AF31)/SUMPRODUCT($J30:$AB30,Eksplikatsioon!$O31:$AG31),"")),"")</f>
        <v>0</v>
      </c>
      <c r="AU30" s="31">
        <f>IFERROR(IF($G30=Tabelid!$L$6,$E30*AB30,IFERROR($E30*AB30/SUM($J30:$AB30)*(Eksplikatsioon!AG31)/SUMPRODUCT($J30:$AB30,Eksplikatsioon!$O31:$AG31),"")),"")</f>
        <v>0</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126</v>
      </c>
      <c r="C31" s="23" t="str">
        <f>IF(Eksplikatsioon!C32=0,"",Eksplikatsioon!C32)</f>
        <v>ÜÜRITAV PIND</v>
      </c>
      <c r="D31" s="23" t="str">
        <f>IF(Eksplikatsioon!D32=0,"",Eksplikatsioon!D32)</f>
        <v>Hoiuruum/Ladu</v>
      </c>
      <c r="E31" s="58">
        <f>IF(Eksplikatsioon!F32=0,"",Eksplikatsioon!F32)</f>
        <v>36.6</v>
      </c>
      <c r="F31" s="23" t="str">
        <f>IF(Eksplikatsioon!H32=0,"",Eksplikatsioon!H32)</f>
        <v/>
      </c>
      <c r="G31" s="23" t="str">
        <f>IF(Eksplikatsioon!J32=0,"",Eksplikatsioon!J32)</f>
        <v>Ainukasutuses pind</v>
      </c>
      <c r="H31" s="23" t="str">
        <f>IF(Eksplikatsioon!K32=0,"",Eksplikatsioon!K32)</f>
        <v>PÄÄSTEAMET</v>
      </c>
      <c r="I31" s="23" t="str">
        <f>IF(Eksplikatsioon!L32=0,"",Eksplikatsioon!L32)</f>
        <v>KAARLIMOISATEE4_01</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127</v>
      </c>
      <c r="C32" s="23" t="str">
        <f>IF(Eksplikatsioon!C33=0,"",Eksplikatsioon!C33)</f>
        <v>ÜÜRITAV PIND</v>
      </c>
      <c r="D32" s="23" t="str">
        <f>IF(Eksplikatsioon!D33=0,"",Eksplikatsioon!D33)</f>
        <v>Hoiuruum/Ladu</v>
      </c>
      <c r="E32" s="58">
        <f>IF(Eksplikatsioon!F33=0,"",Eksplikatsioon!F33)</f>
        <v>40.1</v>
      </c>
      <c r="F32" s="23" t="str">
        <f>IF(Eksplikatsioon!H33=0,"",Eksplikatsioon!H33)</f>
        <v/>
      </c>
      <c r="G32" s="23" t="str">
        <f>IF(Eksplikatsioon!J33=0,"",Eksplikatsioon!J33)</f>
        <v>Ainukasutuses pind</v>
      </c>
      <c r="H32" s="23" t="str">
        <f>IF(Eksplikatsioon!K33=0,"",Eksplikatsioon!K33)</f>
        <v>SISEMINISTEERIUMI INFOTEHNOLOOGIA</v>
      </c>
      <c r="I32" s="23" t="str">
        <f>IF(Eksplikatsioon!L33=0,"",Eksplikatsioon!L33)</f>
        <v>KAARLIMOISATEE4_03</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128</v>
      </c>
      <c r="C33" s="23" t="str">
        <f>IF(Eksplikatsioon!C34=0,"",Eksplikatsioon!C34)</f>
        <v>ÜÜRITAV PIND</v>
      </c>
      <c r="D33" s="23" t="str">
        <f>IF(Eksplikatsioon!D34=0,"",Eksplikatsioon!D34)</f>
        <v>Koristus- ja hooldusruum</v>
      </c>
      <c r="E33" s="58">
        <f>IF(Eksplikatsioon!F34=0,"",Eksplikatsioon!F34)</f>
        <v>4</v>
      </c>
      <c r="F33" s="23" t="str">
        <f>IF(Eksplikatsioon!H34=0,"",Eksplikatsioon!H34)</f>
        <v/>
      </c>
      <c r="G33" s="23" t="str">
        <f>IF(Eksplikatsioon!J34=0,"",Eksplikatsioon!J34)</f>
        <v>Ainukasutuses pind</v>
      </c>
      <c r="H33" s="23" t="str">
        <f>IF(Eksplikatsioon!K34=0,"",Eksplikatsioon!K34)</f>
        <v>PÄÄSTEAMET</v>
      </c>
      <c r="I33" s="23" t="str">
        <f>IF(Eksplikatsioon!L34=0,"",Eksplikatsioon!L34)</f>
        <v>KAARLIMOISATEE4_01</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129</v>
      </c>
      <c r="C34" s="23" t="str">
        <f>IF(Eksplikatsioon!C35=0,"",Eksplikatsioon!C35)</f>
        <v>ÜÜRITAV PIND</v>
      </c>
      <c r="D34" s="23" t="str">
        <f>IF(Eksplikatsioon!D35=0,"",Eksplikatsioon!D35)</f>
        <v>WC</v>
      </c>
      <c r="E34" s="58">
        <f>IF(Eksplikatsioon!F35=0,"",Eksplikatsioon!F35)</f>
        <v>6.1</v>
      </c>
      <c r="F34" s="23" t="str">
        <f>IF(Eksplikatsioon!H35=0,"",Eksplikatsioon!H35)</f>
        <v/>
      </c>
      <c r="G34" s="23" t="str">
        <f>IF(Eksplikatsioon!J35=0,"",Eksplikatsioon!J35)</f>
        <v>Ainukasutuses pind</v>
      </c>
      <c r="H34" s="23" t="str">
        <f>IF(Eksplikatsioon!K35=0,"",Eksplikatsioon!K35)</f>
        <v>PÄÄSTEAMET</v>
      </c>
      <c r="I34" s="23" t="str">
        <f>IF(Eksplikatsioon!L35=0,"",Eksplikatsioon!L35)</f>
        <v>KAARLIMOISATEE4_01</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130</v>
      </c>
      <c r="C35" s="23" t="str">
        <f>IF(Eksplikatsioon!C36=0,"",Eksplikatsioon!C36)</f>
        <v>ÜÜRITAV PIND</v>
      </c>
      <c r="D35" s="23" t="str">
        <f>IF(Eksplikatsioon!D36=0,"",Eksplikatsioon!D36)</f>
        <v>WC</v>
      </c>
      <c r="E35" s="58">
        <f>IF(Eksplikatsioon!F36=0,"",Eksplikatsioon!F36)</f>
        <v>3.2</v>
      </c>
      <c r="F35" s="23" t="str">
        <f>IF(Eksplikatsioon!H36=0,"",Eksplikatsioon!H36)</f>
        <v/>
      </c>
      <c r="G35" s="23" t="str">
        <f>IF(Eksplikatsioon!J36=0,"",Eksplikatsioon!J36)</f>
        <v>Ainukasutuses pind</v>
      </c>
      <c r="H35" s="23" t="str">
        <f>IF(Eksplikatsioon!K36=0,"",Eksplikatsioon!K36)</f>
        <v>PÄÄSTEAMET</v>
      </c>
      <c r="I35" s="23" t="str">
        <f>IF(Eksplikatsioon!L36=0,"",Eksplikatsioon!L36)</f>
        <v>KAARLIMOISATEE4_01</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t="str">
        <f>IF(Eksplikatsioon!B37=0,"",Eksplikatsioon!B37)</f>
        <v>130a</v>
      </c>
      <c r="C36" s="23" t="str">
        <f>IF(Eksplikatsioon!C37=0,"",Eksplikatsioon!C37)</f>
        <v>ÜÜRITAV PIND</v>
      </c>
      <c r="D36" s="23" t="str">
        <f>IF(Eksplikatsioon!D37=0,"",Eksplikatsioon!D37)</f>
        <v>WC</v>
      </c>
      <c r="E36" s="58">
        <f>IF(Eksplikatsioon!F37=0,"",Eksplikatsioon!F37)</f>
        <v>2.6</v>
      </c>
      <c r="F36" s="23" t="str">
        <f>IF(Eksplikatsioon!H37=0,"",Eksplikatsioon!H37)</f>
        <v>PÄA 50% ja SMIT 50 %</v>
      </c>
      <c r="G36" s="23" t="str">
        <f>IF(Eksplikatsioon!J37=0,"",Eksplikatsioon!J37)</f>
        <v>Ühiskasutuses muu pind (muu)</v>
      </c>
      <c r="H36" s="23" t="str">
        <f>IF(Eksplikatsioon!K37=0,"",Eksplikatsioon!K37)</f>
        <v/>
      </c>
      <c r="I36" s="23" t="str">
        <f>IF(Eksplikatsioon!L37=0,"",Eksplikatsioon!L37)</f>
        <v/>
      </c>
      <c r="J36" s="31">
        <f>IFERROR(IF($G36=Tabelid!$L$6,Eksplikatsioon!O37/SUM(Eksplikatsioon!$O37:'Eksplikatsioon'!$AG37),IF($G36=Tabelid!$L$4,IFERROR(SUMIFS($E:$E,$G:$G,Tabelid!$L$1,$C:$C,Tabelid!$J$4,$H:$H,J$2,$A:$A,$A36)/SUMIFS($E:$E,$G:$G,Tabelid!$L$1,$C:$C,Tabelid!$J$4,$A:$A,$A36),0),IF($G36=Tabelid!$L$5,IFERROR(SUMIFS($E:$E,$G:$G,Tabelid!$L$1,$C:$C,Tabelid!$J$4,$H:$H,J$2)/SUMIFS($E:$E,$G:$G,Tabelid!$L$1,$C:$C,Tabelid!$J$4),0),""))),"")</f>
        <v>0.5</v>
      </c>
      <c r="K36" s="31">
        <f>IFERROR(IF($G36=Tabelid!$L$6,Eksplikatsioon!P37/SUM(Eksplikatsioon!$O37:'Eksplikatsioon'!$AG37),IF($G36=Tabelid!$L$4,IFERROR(SUMIFS($E:$E,$G:$G,Tabelid!$L$1,$C:$C,Tabelid!$J$4,$H:$H,K$2,$A:$A,$A36)/SUMIFS($E:$E,$G:$G,Tabelid!$L$1,$C:$C,Tabelid!$J$4,$A:$A,$A36),0),IF($G36=Tabelid!$L$5,IFERROR(SUMIFS($E:$E,$G:$G,Tabelid!$L$1,$C:$C,Tabelid!$J$4,$H:$H,K$2)/SUMIFS($E:$E,$G:$G,Tabelid!$L$1,$C:$C,Tabelid!$J$4),0),""))),"")</f>
        <v>0</v>
      </c>
      <c r="L36" s="31">
        <f>IFERROR(IF($G36=Tabelid!$L$6,Eksplikatsioon!Q37/SUM(Eksplikatsioon!$O37:'Eksplikatsioon'!$AG37),IF($G36=Tabelid!$L$4,IFERROR(SUMIFS($E:$E,$G:$G,Tabelid!$L$1,$C:$C,Tabelid!$J$4,$H:$H,L$2,$A:$A,$A36)/SUMIFS($E:$E,$G:$G,Tabelid!$L$1,$C:$C,Tabelid!$J$4,$A:$A,$A36),0),IF($G36=Tabelid!$L$5,IFERROR(SUMIFS($E:$E,$G:$G,Tabelid!$L$1,$C:$C,Tabelid!$J$4,$H:$H,L$2)/SUMIFS($E:$E,$G:$G,Tabelid!$L$1,$C:$C,Tabelid!$J$4),0),""))),"")</f>
        <v>0.5</v>
      </c>
      <c r="M36" s="31">
        <f>IFERROR(IF($G36=Tabelid!$L$6,Eksplikatsioon!R37/SUM(Eksplikatsioon!$O37:'Eksplikatsioon'!$AG37),IF($G36=Tabelid!$L$4,IFERROR(SUMIFS($E:$E,$G:$G,Tabelid!$L$1,$C:$C,Tabelid!$J$4,$H:$H,M$2,$A:$A,$A36)/SUMIFS($E:$E,$G:$G,Tabelid!$L$1,$C:$C,Tabelid!$J$4,$A:$A,$A36),0),IF($G36=Tabelid!$L$5,IFERROR(SUMIFS($E:$E,$G:$G,Tabelid!$L$1,$C:$C,Tabelid!$J$4,$H:$H,M$2)/SUMIFS($E:$E,$G:$G,Tabelid!$L$1,$C:$C,Tabelid!$J$4),0),""))),"")</f>
        <v>0</v>
      </c>
      <c r="N36" s="31">
        <f>IFERROR(IF($G36=Tabelid!$L$6,Eksplikatsioon!S37/SUM(Eksplikatsioon!$O37:'Eksplikatsioon'!$AG37),IF($G36=Tabelid!$L$4,IFERROR(SUMIFS($E:$E,$G:$G,Tabelid!$L$1,$C:$C,Tabelid!$J$4,$H:$H,N$2,$A:$A,$A36)/SUMIFS($E:$E,$G:$G,Tabelid!$L$1,$C:$C,Tabelid!$J$4,$A:$A,$A36),0),IF($G36=Tabelid!$L$5,IFERROR(SUMIFS($E:$E,$G:$G,Tabelid!$L$1,$C:$C,Tabelid!$J$4,$H:$H,N$2)/SUMIFS($E:$E,$G:$G,Tabelid!$L$1,$C:$C,Tabelid!$J$4),0),""))),"")</f>
        <v>0</v>
      </c>
      <c r="O36" s="31">
        <f>IFERROR(IF($G36=Tabelid!$L$6,Eksplikatsioon!T37/SUM(Eksplikatsioon!$O37:'Eksplikatsioon'!$AG37),IF($G36=Tabelid!$L$4,IFERROR(SUMIFS($E:$E,$G:$G,Tabelid!$L$1,$C:$C,Tabelid!$J$4,$H:$H,O$2,$A:$A,$A36)/SUMIFS($E:$E,$G:$G,Tabelid!$L$1,$C:$C,Tabelid!$J$4,$A:$A,$A36),0),IF($G36=Tabelid!$L$5,IFERROR(SUMIFS($E:$E,$G:$G,Tabelid!$L$1,$C:$C,Tabelid!$J$4,$H:$H,O$2)/SUMIFS($E:$E,$G:$G,Tabelid!$L$1,$C:$C,Tabelid!$J$4),0),""))),"")</f>
        <v>0</v>
      </c>
      <c r="P36" s="31">
        <f>IFERROR(IF($G36=Tabelid!$L$6,Eksplikatsioon!U37/SUM(Eksplikatsioon!$O37:'Eksplikatsioon'!$AG37),IF($G36=Tabelid!$L$4,IFERROR(SUMIFS($E:$E,$G:$G,Tabelid!$L$1,$C:$C,Tabelid!$J$4,$H:$H,P$2,$A:$A,$A36)/SUMIFS($E:$E,$G:$G,Tabelid!$L$1,$C:$C,Tabelid!$J$4,$A:$A,$A36),0),IF($G36=Tabelid!$L$5,IFERROR(SUMIFS($E:$E,$G:$G,Tabelid!$L$1,$C:$C,Tabelid!$J$4,$H:$H,P$2)/SUMIFS($E:$E,$G:$G,Tabelid!$L$1,$C:$C,Tabelid!$J$4),0),""))),"")</f>
        <v>0</v>
      </c>
      <c r="Q36" s="31">
        <f>IFERROR(IF($G36=Tabelid!$L$6,Eksplikatsioon!V37/SUM(Eksplikatsioon!$O37:'Eksplikatsioon'!$AG37),IF($G36=Tabelid!$L$4,IFERROR(SUMIFS($E:$E,$G:$G,Tabelid!$L$1,$C:$C,Tabelid!$J$4,$H:$H,Q$2,$A:$A,$A36)/SUMIFS($E:$E,$G:$G,Tabelid!$L$1,$C:$C,Tabelid!$J$4,$A:$A,$A36),0),IF($G36=Tabelid!$L$5,IFERROR(SUMIFS($E:$E,$G:$G,Tabelid!$L$1,$C:$C,Tabelid!$J$4,$H:$H,Q$2)/SUMIFS($E:$E,$G:$G,Tabelid!$L$1,$C:$C,Tabelid!$J$4),0),""))),"")</f>
        <v>0</v>
      </c>
      <c r="R36" s="31">
        <f>IFERROR(IF($G36=Tabelid!$L$6,Eksplikatsioon!W37/SUM(Eksplikatsioon!$O37:'Eksplikatsioon'!$AG37),IF($G36=Tabelid!$L$4,IFERROR(SUMIFS($E:$E,$G:$G,Tabelid!$L$1,$C:$C,Tabelid!$J$4,$H:$H,R$2,$A:$A,$A36)/SUMIFS($E:$E,$G:$G,Tabelid!$L$1,$C:$C,Tabelid!$J$4,$A:$A,$A36),0),IF($G36=Tabelid!$L$5,IFERROR(SUMIFS($E:$E,$G:$G,Tabelid!$L$1,$C:$C,Tabelid!$J$4,$H:$H,R$2)/SUMIFS($E:$E,$G:$G,Tabelid!$L$1,$C:$C,Tabelid!$J$4),0),""))),"")</f>
        <v>0</v>
      </c>
      <c r="S36" s="31">
        <f>IFERROR(IF($G36=Tabelid!$L$6,Eksplikatsioon!X37/SUM(Eksplikatsioon!$O37:'Eksplikatsioon'!$AG37),IF($G36=Tabelid!$L$4,IFERROR(SUMIFS($E:$E,$G:$G,Tabelid!$L$1,$C:$C,Tabelid!$J$4,$H:$H,S$2,$A:$A,$A36)/SUMIFS($E:$E,$G:$G,Tabelid!$L$1,$C:$C,Tabelid!$J$4,$A:$A,$A36),0),IF($G36=Tabelid!$L$5,IFERROR(SUMIFS($E:$E,$G:$G,Tabelid!$L$1,$C:$C,Tabelid!$J$4,$H:$H,S$2)/SUMIFS($E:$E,$G:$G,Tabelid!$L$1,$C:$C,Tabelid!$J$4),0),""))),"")</f>
        <v>0</v>
      </c>
      <c r="T36" s="31">
        <f>IFERROR(IF($G36=Tabelid!$L$6,Eksplikatsioon!Y37/SUM(Eksplikatsioon!$O37:'Eksplikatsioon'!$AG37),IF($G36=Tabelid!$L$4,IFERROR(SUMIFS($E:$E,$G:$G,Tabelid!$L$1,$C:$C,Tabelid!$J$4,$H:$H,T$2,$A:$A,$A36)/SUMIFS($E:$E,$G:$G,Tabelid!$L$1,$C:$C,Tabelid!$J$4,$A:$A,$A36),0),IF($G36=Tabelid!$L$5,IFERROR(SUMIFS($E:$E,$G:$G,Tabelid!$L$1,$C:$C,Tabelid!$J$4,$H:$H,T$2)/SUMIFS($E:$E,$G:$G,Tabelid!$L$1,$C:$C,Tabelid!$J$4),0),""))),"")</f>
        <v>0</v>
      </c>
      <c r="U36" s="31">
        <f>IFERROR(IF($G36=Tabelid!$L$6,Eksplikatsioon!Z37/SUM(Eksplikatsioon!$O37:'Eksplikatsioon'!$AG37),IF($G36=Tabelid!$L$4,IFERROR(SUMIFS($E:$E,$G:$G,Tabelid!$L$1,$C:$C,Tabelid!$J$4,$H:$H,U$2,$A:$A,$A36)/SUMIFS($E:$E,$G:$G,Tabelid!$L$1,$C:$C,Tabelid!$J$4,$A:$A,$A36),0),IF($G36=Tabelid!$L$5,IFERROR(SUMIFS($E:$E,$G:$G,Tabelid!$L$1,$C:$C,Tabelid!$J$4,$H:$H,U$2)/SUMIFS($E:$E,$G:$G,Tabelid!$L$1,$C:$C,Tabelid!$J$4),0),""))),"")</f>
        <v>0</v>
      </c>
      <c r="V36" s="31">
        <f>IFERROR(IF($G36=Tabelid!$L$6,Eksplikatsioon!AA37/SUM(Eksplikatsioon!$O37:'Eksplikatsioon'!$AG37),IF($G36=Tabelid!$L$4,IFERROR(SUMIFS($E:$E,$G:$G,Tabelid!$L$1,$C:$C,Tabelid!$J$4,$H:$H,V$2,$A:$A,$A36)/SUMIFS($E:$E,$G:$G,Tabelid!$L$1,$C:$C,Tabelid!$J$4,$A:$A,$A36),0),IF($G36=Tabelid!$L$5,IFERROR(SUMIFS($E:$E,$G:$G,Tabelid!$L$1,$C:$C,Tabelid!$J$4,$H:$H,V$2)/SUMIFS($E:$E,$G:$G,Tabelid!$L$1,$C:$C,Tabelid!$J$4),0),""))),"")</f>
        <v>0</v>
      </c>
      <c r="W36" s="31">
        <f>IFERROR(IF($G36=Tabelid!$L$6,Eksplikatsioon!AB37/SUM(Eksplikatsioon!$O37:'Eksplikatsioon'!$AG37),IF($G36=Tabelid!$L$4,IFERROR(SUMIFS($E:$E,$G:$G,Tabelid!$L$1,$C:$C,Tabelid!$J$4,$H:$H,W$2,$A:$A,$A36)/SUMIFS($E:$E,$G:$G,Tabelid!$L$1,$C:$C,Tabelid!$J$4,$A:$A,$A36),0),IF($G36=Tabelid!$L$5,IFERROR(SUMIFS($E:$E,$G:$G,Tabelid!$L$1,$C:$C,Tabelid!$J$4,$H:$H,W$2)/SUMIFS($E:$E,$G:$G,Tabelid!$L$1,$C:$C,Tabelid!$J$4),0),""))),"")</f>
        <v>0</v>
      </c>
      <c r="X36" s="31">
        <f>IFERROR(IF($G36=Tabelid!$L$6,Eksplikatsioon!AC37/SUM(Eksplikatsioon!$O37:'Eksplikatsioon'!$AG37),IF($G36=Tabelid!$L$4,IFERROR(SUMIFS($E:$E,$G:$G,Tabelid!$L$1,$C:$C,Tabelid!$J$4,$H:$H,X$2,$A:$A,$A36)/SUMIFS($E:$E,$G:$G,Tabelid!$L$1,$C:$C,Tabelid!$J$4,$A:$A,$A36),0),IF($G36=Tabelid!$L$5,IFERROR(SUMIFS($E:$E,$G:$G,Tabelid!$L$1,$C:$C,Tabelid!$J$4,$H:$H,X$2)/SUMIFS($E:$E,$G:$G,Tabelid!$L$1,$C:$C,Tabelid!$J$4),0),""))),"")</f>
        <v>0</v>
      </c>
      <c r="Y36" s="31">
        <f>IFERROR(IF($G36=Tabelid!$L$6,Eksplikatsioon!AD37/SUM(Eksplikatsioon!$O37:'Eksplikatsioon'!$AG37),IF($G36=Tabelid!$L$4,IFERROR(SUMIFS($E:$E,$G:$G,Tabelid!$L$1,$C:$C,Tabelid!$J$4,$H:$H,Y$2,$A:$A,$A36)/SUMIFS($E:$E,$G:$G,Tabelid!$L$1,$C:$C,Tabelid!$J$4,$A:$A,$A36),0),IF($G36=Tabelid!$L$5,IFERROR(SUMIFS($E:$E,$G:$G,Tabelid!$L$1,$C:$C,Tabelid!$J$4,$H:$H,Y$2)/SUMIFS($E:$E,$G:$G,Tabelid!$L$1,$C:$C,Tabelid!$J$4),0),""))),"")</f>
        <v>0</v>
      </c>
      <c r="Z36" s="31">
        <f>IFERROR(IF($G36=Tabelid!$L$6,Eksplikatsioon!AE37/SUM(Eksplikatsioon!$O37:'Eksplikatsioon'!$AG37),IF($G36=Tabelid!$L$4,IFERROR(SUMIFS($E:$E,$G:$G,Tabelid!$L$1,$C:$C,Tabelid!$J$4,$H:$H,Z$2,$A:$A,$A36)/SUMIFS($E:$E,$G:$G,Tabelid!$L$1,$C:$C,Tabelid!$J$4,$A:$A,$A36),0),IF($G36=Tabelid!$L$5,IFERROR(SUMIFS($E:$E,$G:$G,Tabelid!$L$1,$C:$C,Tabelid!$J$4,$H:$H,Z$2)/SUMIFS($E:$E,$G:$G,Tabelid!$L$1,$C:$C,Tabelid!$J$4),0),""))),"")</f>
        <v>0</v>
      </c>
      <c r="AA36" s="31">
        <f>IFERROR(IF($G36=Tabelid!$L$6,Eksplikatsioon!AF37/SUM(Eksplikatsioon!$O37:'Eksplikatsioon'!$AG37),IF($G36=Tabelid!$L$4,IFERROR(SUMIFS($E:$E,$G:$G,Tabelid!$L$1,$C:$C,Tabelid!$J$4,$H:$H,AA$2,$A:$A,$A36)/SUMIFS($E:$E,$G:$G,Tabelid!$L$1,$C:$C,Tabelid!$J$4,$A:$A,$A36),0),IF($G36=Tabelid!$L$5,IFERROR(SUMIFS($E:$E,$G:$G,Tabelid!$L$1,$C:$C,Tabelid!$J$4,$H:$H,AA$2)/SUMIFS($E:$E,$G:$G,Tabelid!$L$1,$C:$C,Tabelid!$J$4),0),""))),"")</f>
        <v>0</v>
      </c>
      <c r="AB36" s="31">
        <f>IFERROR(IF($G36=Tabelid!$L$6,Eksplikatsioon!AG37/SUM(Eksplikatsioon!$O37:'Eksplikatsioon'!$AG37),IF($G36=Tabelid!$L$4,IFERROR(SUMIFS($E:$E,$G:$G,Tabelid!$L$1,$C:$C,Tabelid!$J$4,$H:$H,AB$2,$A:$A,$A36)/SUMIFS($E:$E,$G:$G,Tabelid!$L$1,$C:$C,Tabelid!$J$4,$A:$A,$A36),0),IF($G36=Tabelid!$L$5,IFERROR(SUMIFS($E:$E,$G:$G,Tabelid!$L$1,$C:$C,Tabelid!$J$4,$H:$H,AB$2)/SUMIFS($E:$E,$G:$G,Tabelid!$L$1,$C:$C,Tabelid!$J$4),0),""))),"")</f>
        <v>0</v>
      </c>
      <c r="AC36" s="31">
        <f>IFERROR(IF($G36=Tabelid!$L$6,$E36*J36,IFERROR($E36*J36/SUM($J36:$AB36)*(Eksplikatsioon!O37)/SUMPRODUCT($J36:$AB36,Eksplikatsioon!$O37:$AG37),"")),"")</f>
        <v>1.3</v>
      </c>
      <c r="AD36" s="31">
        <f>IFERROR(IF($G36=Tabelid!$L$6,$E36*K36,IFERROR($E36*K36/SUM($J36:$AB36)*(Eksplikatsioon!P37)/SUMPRODUCT($J36:$AB36,Eksplikatsioon!$O37:$AG37),"")),"")</f>
        <v>0</v>
      </c>
      <c r="AE36" s="31">
        <f>IFERROR(IF($G36=Tabelid!$L$6,$E36*L36,IFERROR($E36*L36/SUM($J36:$AB36)*(Eksplikatsioon!Q37)/SUMPRODUCT($J36:$AB36,Eksplikatsioon!$O37:$AG37),"")),"")</f>
        <v>1.3</v>
      </c>
      <c r="AF36" s="31">
        <f>IFERROR(IF($G36=Tabelid!$L$6,$E36*M36,IFERROR($E36*M36/SUM($J36:$AB36)*(Eksplikatsioon!R37)/SUMPRODUCT($J36:$AB36,Eksplikatsioon!$O37:$AG37),"")),"")</f>
        <v>0</v>
      </c>
      <c r="AG36" s="31">
        <f>IFERROR(IF($G36=Tabelid!$L$6,$E36*N36,IFERROR($E36*N36/SUM($J36:$AB36)*(Eksplikatsioon!S37)/SUMPRODUCT($J36:$AB36,Eksplikatsioon!$O37:$AG37),"")),"")</f>
        <v>0</v>
      </c>
      <c r="AH36" s="31">
        <f>IFERROR(IF($G36=Tabelid!$L$6,$E36*O36,IFERROR($E36*O36/SUM($J36:$AB36)*(Eksplikatsioon!T37)/SUMPRODUCT($J36:$AB36,Eksplikatsioon!$O37:$AG37),"")),"")</f>
        <v>0</v>
      </c>
      <c r="AI36" s="31">
        <f>IFERROR(IF($G36=Tabelid!$L$6,$E36*P36,IFERROR($E36*P36/SUM($J36:$AB36)*(Eksplikatsioon!U37)/SUMPRODUCT($J36:$AB36,Eksplikatsioon!$O37:$AG37),"")),"")</f>
        <v>0</v>
      </c>
      <c r="AJ36" s="31">
        <f>IFERROR(IF($G36=Tabelid!$L$6,$E36*Q36,IFERROR($E36*Q36/SUM($J36:$AB36)*(Eksplikatsioon!V37)/SUMPRODUCT($J36:$AB36,Eksplikatsioon!$O37:$AG37),"")),"")</f>
        <v>0</v>
      </c>
      <c r="AK36" s="31">
        <f>IFERROR(IF($G36=Tabelid!$L$6,$E36*R36,IFERROR($E36*R36/SUM($J36:$AB36)*(Eksplikatsioon!W37)/SUMPRODUCT($J36:$AB36,Eksplikatsioon!$O37:$AG37),"")),"")</f>
        <v>0</v>
      </c>
      <c r="AL36" s="31">
        <f>IFERROR(IF($G36=Tabelid!$L$6,$E36*S36,IFERROR($E36*S36/SUM($J36:$AB36)*(Eksplikatsioon!X37)/SUMPRODUCT($J36:$AB36,Eksplikatsioon!$O37:$AG37),"")),"")</f>
        <v>0</v>
      </c>
      <c r="AM36" s="31">
        <f>IFERROR(IF($G36=Tabelid!$L$6,$E36*T36,IFERROR($E36*T36/SUM($J36:$AB36)*(Eksplikatsioon!Y37)/SUMPRODUCT($J36:$AB36,Eksplikatsioon!$O37:$AG37),"")),"")</f>
        <v>0</v>
      </c>
      <c r="AN36" s="31">
        <f>IFERROR(IF($G36=Tabelid!$L$6,$E36*U36,IFERROR($E36*U36/SUM($J36:$AB36)*(Eksplikatsioon!Z37)/SUMPRODUCT($J36:$AB36,Eksplikatsioon!$O37:$AG37),"")),"")</f>
        <v>0</v>
      </c>
      <c r="AO36" s="31">
        <f>IFERROR(IF($G36=Tabelid!$L$6,$E36*V36,IFERROR($E36*V36/SUM($J36:$AB36)*(Eksplikatsioon!AA37)/SUMPRODUCT($J36:$AB36,Eksplikatsioon!$O37:$AG37),"")),"")</f>
        <v>0</v>
      </c>
      <c r="AP36" s="31">
        <f>IFERROR(IF($G36=Tabelid!$L$6,$E36*W36,IFERROR($E36*W36/SUM($J36:$AB36)*(Eksplikatsioon!AB37)/SUMPRODUCT($J36:$AB36,Eksplikatsioon!$O37:$AG37),"")),"")</f>
        <v>0</v>
      </c>
      <c r="AQ36" s="31">
        <f>IFERROR(IF($G36=Tabelid!$L$6,$E36*X36,IFERROR($E36*X36/SUM($J36:$AB36)*(Eksplikatsioon!AC37)/SUMPRODUCT($J36:$AB36,Eksplikatsioon!$O37:$AG37),"")),"")</f>
        <v>0</v>
      </c>
      <c r="AR36" s="31">
        <f>IFERROR(IF($G36=Tabelid!$L$6,$E36*Y36,IFERROR($E36*Y36/SUM($J36:$AB36)*(Eksplikatsioon!AD37)/SUMPRODUCT($J36:$AB36,Eksplikatsioon!$O37:$AG37),"")),"")</f>
        <v>0</v>
      </c>
      <c r="AS36" s="31">
        <f>IFERROR(IF($G36=Tabelid!$L$6,$E36*Z36,IFERROR($E36*Z36/SUM($J36:$AB36)*(Eksplikatsioon!AE37)/SUMPRODUCT($J36:$AB36,Eksplikatsioon!$O37:$AG37),"")),"")</f>
        <v>0</v>
      </c>
      <c r="AT36" s="31">
        <f>IFERROR(IF($G36=Tabelid!$L$6,$E36*AA36,IFERROR($E36*AA36/SUM($J36:$AB36)*(Eksplikatsioon!AF37)/SUMPRODUCT($J36:$AB36,Eksplikatsioon!$O37:$AG37),"")),"")</f>
        <v>0</v>
      </c>
      <c r="AU36" s="31">
        <f>IFERROR(IF($G36=Tabelid!$L$6,$E36*AB36,IFERROR($E36*AB36/SUM($J36:$AB36)*(Eksplikatsioon!AG37)/SUMPRODUCT($J36:$AB36,Eksplikatsioon!$O37:$AG37),"")),"")</f>
        <v>0</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t="str">
        <f>IF(Eksplikatsioon!B38=0,"",Eksplikatsioon!B38)</f>
        <v>130b</v>
      </c>
      <c r="C37" s="23" t="str">
        <f>IF(Eksplikatsioon!C38=0,"",Eksplikatsioon!C38)</f>
        <v>ÜÜRITAV PIND</v>
      </c>
      <c r="D37" s="23" t="str">
        <f>IF(Eksplikatsioon!D38=0,"",Eksplikatsioon!D38)</f>
        <v>WC</v>
      </c>
      <c r="E37" s="58">
        <f>IF(Eksplikatsioon!F38=0,"",Eksplikatsioon!F38)</f>
        <v>3</v>
      </c>
      <c r="F37" s="23" t="str">
        <f>IF(Eksplikatsioon!H38=0,"",Eksplikatsioon!H38)</f>
        <v/>
      </c>
      <c r="G37" s="23" t="str">
        <f>IF(Eksplikatsioon!J38=0,"",Eksplikatsioon!J38)</f>
        <v>Ainukasutuses pind</v>
      </c>
      <c r="H37" s="23" t="str">
        <f>IF(Eksplikatsioon!K38=0,"",Eksplikatsioon!K38)</f>
        <v>PÄÄSTEAMET</v>
      </c>
      <c r="I37" s="23" t="str">
        <f>IF(Eksplikatsioon!L38=0,"",Eksplikatsioon!L38)</f>
        <v>KAARLIMOISATEE4_01</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t="str">
        <f>IF(Eksplikatsioon!B39=0,"",Eksplikatsioon!B39)</f>
        <v>130c</v>
      </c>
      <c r="C38" s="23" t="str">
        <f>IF(Eksplikatsioon!C39=0,"",Eksplikatsioon!C39)</f>
        <v>ÜÜRITAV PIND</v>
      </c>
      <c r="D38" s="23" t="str">
        <f>IF(Eksplikatsioon!D39=0,"",Eksplikatsioon!D39)</f>
        <v>WC</v>
      </c>
      <c r="E38" s="58">
        <f>IF(Eksplikatsioon!F39=0,"",Eksplikatsioon!F39)</f>
        <v>2.8</v>
      </c>
      <c r="F38" s="23" t="str">
        <f>IF(Eksplikatsioon!H39=0,"",Eksplikatsioon!H39)</f>
        <v/>
      </c>
      <c r="G38" s="23" t="str">
        <f>IF(Eksplikatsioon!J39=0,"",Eksplikatsioon!J39)</f>
        <v>Ainukasutuses pind</v>
      </c>
      <c r="H38" s="23" t="str">
        <f>IF(Eksplikatsioon!K39=0,"",Eksplikatsioon!K39)</f>
        <v>PÄÄSTEAMET</v>
      </c>
      <c r="I38" s="23" t="str">
        <f>IF(Eksplikatsioon!L39=0,"",Eksplikatsioon!L39)</f>
        <v>KAARLIMOISATEE4_01</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131</v>
      </c>
      <c r="C39" s="23" t="str">
        <f>IF(Eksplikatsioon!C40=0,"",Eksplikatsioon!C40)</f>
        <v>ÜÜRITAV PIND</v>
      </c>
      <c r="D39" s="23" t="str">
        <f>IF(Eksplikatsioon!D40=0,"",Eksplikatsioon!D40)</f>
        <v>WC</v>
      </c>
      <c r="E39" s="58">
        <f>IF(Eksplikatsioon!F40=0,"",Eksplikatsioon!F40)</f>
        <v>2.6</v>
      </c>
      <c r="F39" s="23" t="str">
        <f>IF(Eksplikatsioon!H40=0,"",Eksplikatsioon!H40)</f>
        <v/>
      </c>
      <c r="G39" s="23" t="str">
        <f>IF(Eksplikatsioon!J40=0,"",Eksplikatsioon!J40)</f>
        <v>Ainukasutuses pind</v>
      </c>
      <c r="H39" s="23" t="str">
        <f>IF(Eksplikatsioon!K40=0,"",Eksplikatsioon!K40)</f>
        <v>PÄÄSTEAMET</v>
      </c>
      <c r="I39" s="23" t="str">
        <f>IF(Eksplikatsioon!L40=0,"",Eksplikatsioon!L40)</f>
        <v>KAARLIMOISATEE4_01</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132</v>
      </c>
      <c r="C40" s="23" t="str">
        <f>IF(Eksplikatsioon!C41=0,"",Eksplikatsioon!C41)</f>
        <v>TEHNOPIND</v>
      </c>
      <c r="D40" s="23" t="str">
        <f>IF(Eksplikatsioon!D41=0,"",Eksplikatsioon!D41)</f>
        <v>Elektrikilp</v>
      </c>
      <c r="E40" s="58">
        <f>IF(Eksplikatsioon!F41=0,"",Eksplikatsioon!F41)</f>
        <v>5.6</v>
      </c>
      <c r="F40" s="23" t="str">
        <f>IF(Eksplikatsioon!H41=0,"",Eksplikatsioon!H41)</f>
        <v/>
      </c>
      <c r="G40" s="23" t="str">
        <f>IF(Eksplikatsioon!J41=0,"",Eksplikatsioon!J41)</f>
        <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133</v>
      </c>
      <c r="C41" s="23" t="str">
        <f>IF(Eksplikatsioon!C42=0,"",Eksplikatsioon!C42)</f>
        <v>ÜÜRITAV PIND</v>
      </c>
      <c r="D41" s="23" t="str">
        <f>IF(Eksplikatsioon!D42=0,"",Eksplikatsioon!D42)</f>
        <v>Töökoda</v>
      </c>
      <c r="E41" s="58">
        <f>IF(Eksplikatsioon!F42=0,"",Eksplikatsioon!F42)</f>
        <v>116.2118</v>
      </c>
      <c r="F41" s="23" t="str">
        <f>IF(Eksplikatsioon!H42=0,"",Eksplikatsioon!H42)</f>
        <v/>
      </c>
      <c r="G41" s="23" t="str">
        <f>IF(Eksplikatsioon!J42=0,"",Eksplikatsioon!J42)</f>
        <v>Ainukasutuses pind</v>
      </c>
      <c r="H41" s="23" t="str">
        <f>IF(Eksplikatsioon!K42=0,"",Eksplikatsioon!K42)</f>
        <v>PÄÄSTEAMET</v>
      </c>
      <c r="I41" s="23" t="str">
        <f>IF(Eksplikatsioon!L42=0,"",Eksplikatsioon!L42)</f>
        <v>KAARLIMOISATEE4_01</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35">
      <c r="A42" s="23" t="str">
        <f>IF(Eksplikatsioon!A43=0,"",Eksplikatsioon!A43)</f>
        <v>01</v>
      </c>
      <c r="B42" s="60">
        <f>IF(Eksplikatsioon!B43=0,"",Eksplikatsioon!B43)</f>
        <v>134</v>
      </c>
      <c r="C42" s="23" t="str">
        <f>IF(Eksplikatsioon!C43=0,"",Eksplikatsioon!C43)</f>
        <v>ÜÜRITAV PIND</v>
      </c>
      <c r="D42" s="23" t="str">
        <f>IF(Eksplikatsioon!D43=0,"",Eksplikatsioon!D43)</f>
        <v>Töökoda</v>
      </c>
      <c r="E42" s="58">
        <f>IF(Eksplikatsioon!F43=0,"",Eksplikatsioon!F43)</f>
        <v>88.765000000000001</v>
      </c>
      <c r="F42" s="23" t="str">
        <f>IF(Eksplikatsioon!H43=0,"",Eksplikatsioon!H43)</f>
        <v/>
      </c>
      <c r="G42" s="23" t="str">
        <f>IF(Eksplikatsioon!J43=0,"",Eksplikatsioon!J43)</f>
        <v>Ainukasutuses pind</v>
      </c>
      <c r="H42" s="23" t="str">
        <f>IF(Eksplikatsioon!K43=0,"",Eksplikatsioon!K43)</f>
        <v>PÄÄSTEAMET</v>
      </c>
      <c r="I42" s="23" t="str">
        <f>IF(Eksplikatsioon!L43=0,"",Eksplikatsioon!L43)</f>
        <v>KAARLIMOISATEE4_01</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35">
      <c r="A43" s="23" t="str">
        <f>IF(Eksplikatsioon!A44=0,"",Eksplikatsioon!A44)</f>
        <v>01</v>
      </c>
      <c r="B43" s="60">
        <f>IF(Eksplikatsioon!B44=0,"",Eksplikatsioon!B44)</f>
        <v>135</v>
      </c>
      <c r="C43" s="23" t="str">
        <f>IF(Eksplikatsioon!C44=0,"",Eksplikatsioon!C44)</f>
        <v>ÜÜRITAV PIND</v>
      </c>
      <c r="D43" s="23" t="str">
        <f>IF(Eksplikatsioon!D44=0,"",Eksplikatsioon!D44)</f>
        <v>Hoiuruum/Ladu</v>
      </c>
      <c r="E43" s="58">
        <f>IF(Eksplikatsioon!F44=0,"",Eksplikatsioon!F44)</f>
        <v>54.5351</v>
      </c>
      <c r="F43" s="23" t="str">
        <f>IF(Eksplikatsioon!H44=0,"",Eksplikatsioon!H44)</f>
        <v>PÄA 50% ja PPA 50%</v>
      </c>
      <c r="G43" s="23" t="str">
        <f>IF(Eksplikatsioon!J44=0,"",Eksplikatsioon!J44)</f>
        <v>Ühiskasutuses muu pind (muu)</v>
      </c>
      <c r="H43" s="23" t="str">
        <f>IF(Eksplikatsioon!K44=0,"",Eksplikatsioon!K44)</f>
        <v/>
      </c>
      <c r="I43" s="23" t="str">
        <f>IF(Eksplikatsioon!L44=0,"",Eksplikatsioon!L44)</f>
        <v/>
      </c>
      <c r="J43" s="31">
        <f>IFERROR(IF($G43=Tabelid!$L$6,Eksplikatsioon!O44/SUM(Eksplikatsioon!$O44:'Eksplikatsioon'!$AG44),IF($G43=Tabelid!$L$4,IFERROR(SUMIFS($E:$E,$G:$G,Tabelid!$L$1,$C:$C,Tabelid!$J$4,$H:$H,J$2,$A:$A,$A43)/SUMIFS($E:$E,$G:$G,Tabelid!$L$1,$C:$C,Tabelid!$J$4,$A:$A,$A43),0),IF($G43=Tabelid!$L$5,IFERROR(SUMIFS($E:$E,$G:$G,Tabelid!$L$1,$C:$C,Tabelid!$J$4,$H:$H,J$2)/SUMIFS($E:$E,$G:$G,Tabelid!$L$1,$C:$C,Tabelid!$J$4),0),""))),"")</f>
        <v>0.5</v>
      </c>
      <c r="K43" s="31">
        <f>IFERROR(IF($G43=Tabelid!$L$6,Eksplikatsioon!P44/SUM(Eksplikatsioon!$O44:'Eksplikatsioon'!$AG44),IF($G43=Tabelid!$L$4,IFERROR(SUMIFS($E:$E,$G:$G,Tabelid!$L$1,$C:$C,Tabelid!$J$4,$H:$H,K$2,$A:$A,$A43)/SUMIFS($E:$E,$G:$G,Tabelid!$L$1,$C:$C,Tabelid!$J$4,$A:$A,$A43),0),IF($G43=Tabelid!$L$5,IFERROR(SUMIFS($E:$E,$G:$G,Tabelid!$L$1,$C:$C,Tabelid!$J$4,$H:$H,K$2)/SUMIFS($E:$E,$G:$G,Tabelid!$L$1,$C:$C,Tabelid!$J$4),0),""))),"")</f>
        <v>0.5</v>
      </c>
      <c r="L43" s="31">
        <f>IFERROR(IF($G43=Tabelid!$L$6,Eksplikatsioon!Q44/SUM(Eksplikatsioon!$O44:'Eksplikatsioon'!$AG44),IF($G43=Tabelid!$L$4,IFERROR(SUMIFS($E:$E,$G:$G,Tabelid!$L$1,$C:$C,Tabelid!$J$4,$H:$H,L$2,$A:$A,$A43)/SUMIFS($E:$E,$G:$G,Tabelid!$L$1,$C:$C,Tabelid!$J$4,$A:$A,$A43),0),IF($G43=Tabelid!$L$5,IFERROR(SUMIFS($E:$E,$G:$G,Tabelid!$L$1,$C:$C,Tabelid!$J$4,$H:$H,L$2)/SUMIFS($E:$E,$G:$G,Tabelid!$L$1,$C:$C,Tabelid!$J$4),0),""))),"")</f>
        <v>0</v>
      </c>
      <c r="M43" s="31">
        <f>IFERROR(IF($G43=Tabelid!$L$6,Eksplikatsioon!R44/SUM(Eksplikatsioon!$O44:'Eksplikatsioon'!$AG44),IF($G43=Tabelid!$L$4,IFERROR(SUMIFS($E:$E,$G:$G,Tabelid!$L$1,$C:$C,Tabelid!$J$4,$H:$H,M$2,$A:$A,$A43)/SUMIFS($E:$E,$G:$G,Tabelid!$L$1,$C:$C,Tabelid!$J$4,$A:$A,$A43),0),IF($G43=Tabelid!$L$5,IFERROR(SUMIFS($E:$E,$G:$G,Tabelid!$L$1,$C:$C,Tabelid!$J$4,$H:$H,M$2)/SUMIFS($E:$E,$G:$G,Tabelid!$L$1,$C:$C,Tabelid!$J$4),0),""))),"")</f>
        <v>0</v>
      </c>
      <c r="N43" s="31">
        <f>IFERROR(IF($G43=Tabelid!$L$6,Eksplikatsioon!S44/SUM(Eksplikatsioon!$O44:'Eksplikatsioon'!$AG44),IF($G43=Tabelid!$L$4,IFERROR(SUMIFS($E:$E,$G:$G,Tabelid!$L$1,$C:$C,Tabelid!$J$4,$H:$H,N$2,$A:$A,$A43)/SUMIFS($E:$E,$G:$G,Tabelid!$L$1,$C:$C,Tabelid!$J$4,$A:$A,$A43),0),IF($G43=Tabelid!$L$5,IFERROR(SUMIFS($E:$E,$G:$G,Tabelid!$L$1,$C:$C,Tabelid!$J$4,$H:$H,N$2)/SUMIFS($E:$E,$G:$G,Tabelid!$L$1,$C:$C,Tabelid!$J$4),0),""))),"")</f>
        <v>0</v>
      </c>
      <c r="O43" s="31">
        <f>IFERROR(IF($G43=Tabelid!$L$6,Eksplikatsioon!T44/SUM(Eksplikatsioon!$O44:'Eksplikatsioon'!$AG44),IF($G43=Tabelid!$L$4,IFERROR(SUMIFS($E:$E,$G:$G,Tabelid!$L$1,$C:$C,Tabelid!$J$4,$H:$H,O$2,$A:$A,$A43)/SUMIFS($E:$E,$G:$G,Tabelid!$L$1,$C:$C,Tabelid!$J$4,$A:$A,$A43),0),IF($G43=Tabelid!$L$5,IFERROR(SUMIFS($E:$E,$G:$G,Tabelid!$L$1,$C:$C,Tabelid!$J$4,$H:$H,O$2)/SUMIFS($E:$E,$G:$G,Tabelid!$L$1,$C:$C,Tabelid!$J$4),0),""))),"")</f>
        <v>0</v>
      </c>
      <c r="P43" s="31">
        <f>IFERROR(IF($G43=Tabelid!$L$6,Eksplikatsioon!U44/SUM(Eksplikatsioon!$O44:'Eksplikatsioon'!$AG44),IF($G43=Tabelid!$L$4,IFERROR(SUMIFS($E:$E,$G:$G,Tabelid!$L$1,$C:$C,Tabelid!$J$4,$H:$H,P$2,$A:$A,$A43)/SUMIFS($E:$E,$G:$G,Tabelid!$L$1,$C:$C,Tabelid!$J$4,$A:$A,$A43),0),IF($G43=Tabelid!$L$5,IFERROR(SUMIFS($E:$E,$G:$G,Tabelid!$L$1,$C:$C,Tabelid!$J$4,$H:$H,P$2)/SUMIFS($E:$E,$G:$G,Tabelid!$L$1,$C:$C,Tabelid!$J$4),0),""))),"")</f>
        <v>0</v>
      </c>
      <c r="Q43" s="31">
        <f>IFERROR(IF($G43=Tabelid!$L$6,Eksplikatsioon!V44/SUM(Eksplikatsioon!$O44:'Eksplikatsioon'!$AG44),IF($G43=Tabelid!$L$4,IFERROR(SUMIFS($E:$E,$G:$G,Tabelid!$L$1,$C:$C,Tabelid!$J$4,$H:$H,Q$2,$A:$A,$A43)/SUMIFS($E:$E,$G:$G,Tabelid!$L$1,$C:$C,Tabelid!$J$4,$A:$A,$A43),0),IF($G43=Tabelid!$L$5,IFERROR(SUMIFS($E:$E,$G:$G,Tabelid!$L$1,$C:$C,Tabelid!$J$4,$H:$H,Q$2)/SUMIFS($E:$E,$G:$G,Tabelid!$L$1,$C:$C,Tabelid!$J$4),0),""))),"")</f>
        <v>0</v>
      </c>
      <c r="R43" s="31">
        <f>IFERROR(IF($G43=Tabelid!$L$6,Eksplikatsioon!W44/SUM(Eksplikatsioon!$O44:'Eksplikatsioon'!$AG44),IF($G43=Tabelid!$L$4,IFERROR(SUMIFS($E:$E,$G:$G,Tabelid!$L$1,$C:$C,Tabelid!$J$4,$H:$H,R$2,$A:$A,$A43)/SUMIFS($E:$E,$G:$G,Tabelid!$L$1,$C:$C,Tabelid!$J$4,$A:$A,$A43),0),IF($G43=Tabelid!$L$5,IFERROR(SUMIFS($E:$E,$G:$G,Tabelid!$L$1,$C:$C,Tabelid!$J$4,$H:$H,R$2)/SUMIFS($E:$E,$G:$G,Tabelid!$L$1,$C:$C,Tabelid!$J$4),0),""))),"")</f>
        <v>0</v>
      </c>
      <c r="S43" s="31">
        <f>IFERROR(IF($G43=Tabelid!$L$6,Eksplikatsioon!X44/SUM(Eksplikatsioon!$O44:'Eksplikatsioon'!$AG44),IF($G43=Tabelid!$L$4,IFERROR(SUMIFS($E:$E,$G:$G,Tabelid!$L$1,$C:$C,Tabelid!$J$4,$H:$H,S$2,$A:$A,$A43)/SUMIFS($E:$E,$G:$G,Tabelid!$L$1,$C:$C,Tabelid!$J$4,$A:$A,$A43),0),IF($G43=Tabelid!$L$5,IFERROR(SUMIFS($E:$E,$G:$G,Tabelid!$L$1,$C:$C,Tabelid!$J$4,$H:$H,S$2)/SUMIFS($E:$E,$G:$G,Tabelid!$L$1,$C:$C,Tabelid!$J$4),0),""))),"")</f>
        <v>0</v>
      </c>
      <c r="T43" s="31">
        <f>IFERROR(IF($G43=Tabelid!$L$6,Eksplikatsioon!Y44/SUM(Eksplikatsioon!$O44:'Eksplikatsioon'!$AG44),IF($G43=Tabelid!$L$4,IFERROR(SUMIFS($E:$E,$G:$G,Tabelid!$L$1,$C:$C,Tabelid!$J$4,$H:$H,T$2,$A:$A,$A43)/SUMIFS($E:$E,$G:$G,Tabelid!$L$1,$C:$C,Tabelid!$J$4,$A:$A,$A43),0),IF($G43=Tabelid!$L$5,IFERROR(SUMIFS($E:$E,$G:$G,Tabelid!$L$1,$C:$C,Tabelid!$J$4,$H:$H,T$2)/SUMIFS($E:$E,$G:$G,Tabelid!$L$1,$C:$C,Tabelid!$J$4),0),""))),"")</f>
        <v>0</v>
      </c>
      <c r="U43" s="31">
        <f>IFERROR(IF($G43=Tabelid!$L$6,Eksplikatsioon!Z44/SUM(Eksplikatsioon!$O44:'Eksplikatsioon'!$AG44),IF($G43=Tabelid!$L$4,IFERROR(SUMIFS($E:$E,$G:$G,Tabelid!$L$1,$C:$C,Tabelid!$J$4,$H:$H,U$2,$A:$A,$A43)/SUMIFS($E:$E,$G:$G,Tabelid!$L$1,$C:$C,Tabelid!$J$4,$A:$A,$A43),0),IF($G43=Tabelid!$L$5,IFERROR(SUMIFS($E:$E,$G:$G,Tabelid!$L$1,$C:$C,Tabelid!$J$4,$H:$H,U$2)/SUMIFS($E:$E,$G:$G,Tabelid!$L$1,$C:$C,Tabelid!$J$4),0),""))),"")</f>
        <v>0</v>
      </c>
      <c r="V43" s="31">
        <f>IFERROR(IF($G43=Tabelid!$L$6,Eksplikatsioon!AA44/SUM(Eksplikatsioon!$O44:'Eksplikatsioon'!$AG44),IF($G43=Tabelid!$L$4,IFERROR(SUMIFS($E:$E,$G:$G,Tabelid!$L$1,$C:$C,Tabelid!$J$4,$H:$H,V$2,$A:$A,$A43)/SUMIFS($E:$E,$G:$G,Tabelid!$L$1,$C:$C,Tabelid!$J$4,$A:$A,$A43),0),IF($G43=Tabelid!$L$5,IFERROR(SUMIFS($E:$E,$G:$G,Tabelid!$L$1,$C:$C,Tabelid!$J$4,$H:$H,V$2)/SUMIFS($E:$E,$G:$G,Tabelid!$L$1,$C:$C,Tabelid!$J$4),0),""))),"")</f>
        <v>0</v>
      </c>
      <c r="W43" s="31">
        <f>IFERROR(IF($G43=Tabelid!$L$6,Eksplikatsioon!AB44/SUM(Eksplikatsioon!$O44:'Eksplikatsioon'!$AG44),IF($G43=Tabelid!$L$4,IFERROR(SUMIFS($E:$E,$G:$G,Tabelid!$L$1,$C:$C,Tabelid!$J$4,$H:$H,W$2,$A:$A,$A43)/SUMIFS($E:$E,$G:$G,Tabelid!$L$1,$C:$C,Tabelid!$J$4,$A:$A,$A43),0),IF($G43=Tabelid!$L$5,IFERROR(SUMIFS($E:$E,$G:$G,Tabelid!$L$1,$C:$C,Tabelid!$J$4,$H:$H,W$2)/SUMIFS($E:$E,$G:$G,Tabelid!$L$1,$C:$C,Tabelid!$J$4),0),""))),"")</f>
        <v>0</v>
      </c>
      <c r="X43" s="31">
        <f>IFERROR(IF($G43=Tabelid!$L$6,Eksplikatsioon!AC44/SUM(Eksplikatsioon!$O44:'Eksplikatsioon'!$AG44),IF($G43=Tabelid!$L$4,IFERROR(SUMIFS($E:$E,$G:$G,Tabelid!$L$1,$C:$C,Tabelid!$J$4,$H:$H,X$2,$A:$A,$A43)/SUMIFS($E:$E,$G:$G,Tabelid!$L$1,$C:$C,Tabelid!$J$4,$A:$A,$A43),0),IF($G43=Tabelid!$L$5,IFERROR(SUMIFS($E:$E,$G:$G,Tabelid!$L$1,$C:$C,Tabelid!$J$4,$H:$H,X$2)/SUMIFS($E:$E,$G:$G,Tabelid!$L$1,$C:$C,Tabelid!$J$4),0),""))),"")</f>
        <v>0</v>
      </c>
      <c r="Y43" s="31">
        <f>IFERROR(IF($G43=Tabelid!$L$6,Eksplikatsioon!AD44/SUM(Eksplikatsioon!$O44:'Eksplikatsioon'!$AG44),IF($G43=Tabelid!$L$4,IFERROR(SUMIFS($E:$E,$G:$G,Tabelid!$L$1,$C:$C,Tabelid!$J$4,$H:$H,Y$2,$A:$A,$A43)/SUMIFS($E:$E,$G:$G,Tabelid!$L$1,$C:$C,Tabelid!$J$4,$A:$A,$A43),0),IF($G43=Tabelid!$L$5,IFERROR(SUMIFS($E:$E,$G:$G,Tabelid!$L$1,$C:$C,Tabelid!$J$4,$H:$H,Y$2)/SUMIFS($E:$E,$G:$G,Tabelid!$L$1,$C:$C,Tabelid!$J$4),0),""))),"")</f>
        <v>0</v>
      </c>
      <c r="Z43" s="31">
        <f>IFERROR(IF($G43=Tabelid!$L$6,Eksplikatsioon!AE44/SUM(Eksplikatsioon!$O44:'Eksplikatsioon'!$AG44),IF($G43=Tabelid!$L$4,IFERROR(SUMIFS($E:$E,$G:$G,Tabelid!$L$1,$C:$C,Tabelid!$J$4,$H:$H,Z$2,$A:$A,$A43)/SUMIFS($E:$E,$G:$G,Tabelid!$L$1,$C:$C,Tabelid!$J$4,$A:$A,$A43),0),IF($G43=Tabelid!$L$5,IFERROR(SUMIFS($E:$E,$G:$G,Tabelid!$L$1,$C:$C,Tabelid!$J$4,$H:$H,Z$2)/SUMIFS($E:$E,$G:$G,Tabelid!$L$1,$C:$C,Tabelid!$J$4),0),""))),"")</f>
        <v>0</v>
      </c>
      <c r="AA43" s="31">
        <f>IFERROR(IF($G43=Tabelid!$L$6,Eksplikatsioon!AF44/SUM(Eksplikatsioon!$O44:'Eksplikatsioon'!$AG44),IF($G43=Tabelid!$L$4,IFERROR(SUMIFS($E:$E,$G:$G,Tabelid!$L$1,$C:$C,Tabelid!$J$4,$H:$H,AA$2,$A:$A,$A43)/SUMIFS($E:$E,$G:$G,Tabelid!$L$1,$C:$C,Tabelid!$J$4,$A:$A,$A43),0),IF($G43=Tabelid!$L$5,IFERROR(SUMIFS($E:$E,$G:$G,Tabelid!$L$1,$C:$C,Tabelid!$J$4,$H:$H,AA$2)/SUMIFS($E:$E,$G:$G,Tabelid!$L$1,$C:$C,Tabelid!$J$4),0),""))),"")</f>
        <v>0</v>
      </c>
      <c r="AB43" s="31">
        <f>IFERROR(IF($G43=Tabelid!$L$6,Eksplikatsioon!AG44/SUM(Eksplikatsioon!$O44:'Eksplikatsioon'!$AG44),IF($G43=Tabelid!$L$4,IFERROR(SUMIFS($E:$E,$G:$G,Tabelid!$L$1,$C:$C,Tabelid!$J$4,$H:$H,AB$2,$A:$A,$A43)/SUMIFS($E:$E,$G:$G,Tabelid!$L$1,$C:$C,Tabelid!$J$4,$A:$A,$A43),0),IF($G43=Tabelid!$L$5,IFERROR(SUMIFS($E:$E,$G:$G,Tabelid!$L$1,$C:$C,Tabelid!$J$4,$H:$H,AB$2)/SUMIFS($E:$E,$G:$G,Tabelid!$L$1,$C:$C,Tabelid!$J$4),0),""))),"")</f>
        <v>0</v>
      </c>
      <c r="AC43" s="31">
        <f>IFERROR(IF($G43=Tabelid!$L$6,$E43*J43,IFERROR($E43*J43/SUM($J43:$AB43)*(Eksplikatsioon!O44)/SUMPRODUCT($J43:$AB43,Eksplikatsioon!$O44:$AG44),"")),"")</f>
        <v>27.26755</v>
      </c>
      <c r="AD43" s="31">
        <f>IFERROR(IF($G43=Tabelid!$L$6,$E43*K43,IFERROR($E43*K43/SUM($J43:$AB43)*(Eksplikatsioon!P44)/SUMPRODUCT($J43:$AB43,Eksplikatsioon!$O44:$AG44),"")),"")</f>
        <v>27.26755</v>
      </c>
      <c r="AE43" s="31">
        <f>IFERROR(IF($G43=Tabelid!$L$6,$E43*L43,IFERROR($E43*L43/SUM($J43:$AB43)*(Eksplikatsioon!Q44)/SUMPRODUCT($J43:$AB43,Eksplikatsioon!$O44:$AG44),"")),"")</f>
        <v>0</v>
      </c>
      <c r="AF43" s="31">
        <f>IFERROR(IF($G43=Tabelid!$L$6,$E43*M43,IFERROR($E43*M43/SUM($J43:$AB43)*(Eksplikatsioon!R44)/SUMPRODUCT($J43:$AB43,Eksplikatsioon!$O44:$AG44),"")),"")</f>
        <v>0</v>
      </c>
      <c r="AG43" s="31">
        <f>IFERROR(IF($G43=Tabelid!$L$6,$E43*N43,IFERROR($E43*N43/SUM($J43:$AB43)*(Eksplikatsioon!S44)/SUMPRODUCT($J43:$AB43,Eksplikatsioon!$O44:$AG44),"")),"")</f>
        <v>0</v>
      </c>
      <c r="AH43" s="31">
        <f>IFERROR(IF($G43=Tabelid!$L$6,$E43*O43,IFERROR($E43*O43/SUM($J43:$AB43)*(Eksplikatsioon!T44)/SUMPRODUCT($J43:$AB43,Eksplikatsioon!$O44:$AG44),"")),"")</f>
        <v>0</v>
      </c>
      <c r="AI43" s="31">
        <f>IFERROR(IF($G43=Tabelid!$L$6,$E43*P43,IFERROR($E43*P43/SUM($J43:$AB43)*(Eksplikatsioon!U44)/SUMPRODUCT($J43:$AB43,Eksplikatsioon!$O44:$AG44),"")),"")</f>
        <v>0</v>
      </c>
      <c r="AJ43" s="31">
        <f>IFERROR(IF($G43=Tabelid!$L$6,$E43*Q43,IFERROR($E43*Q43/SUM($J43:$AB43)*(Eksplikatsioon!V44)/SUMPRODUCT($J43:$AB43,Eksplikatsioon!$O44:$AG44),"")),"")</f>
        <v>0</v>
      </c>
      <c r="AK43" s="31">
        <f>IFERROR(IF($G43=Tabelid!$L$6,$E43*R43,IFERROR($E43*R43/SUM($J43:$AB43)*(Eksplikatsioon!W44)/SUMPRODUCT($J43:$AB43,Eksplikatsioon!$O44:$AG44),"")),"")</f>
        <v>0</v>
      </c>
      <c r="AL43" s="31">
        <f>IFERROR(IF($G43=Tabelid!$L$6,$E43*S43,IFERROR($E43*S43/SUM($J43:$AB43)*(Eksplikatsioon!X44)/SUMPRODUCT($J43:$AB43,Eksplikatsioon!$O44:$AG44),"")),"")</f>
        <v>0</v>
      </c>
      <c r="AM43" s="31">
        <f>IFERROR(IF($G43=Tabelid!$L$6,$E43*T43,IFERROR($E43*T43/SUM($J43:$AB43)*(Eksplikatsioon!Y44)/SUMPRODUCT($J43:$AB43,Eksplikatsioon!$O44:$AG44),"")),"")</f>
        <v>0</v>
      </c>
      <c r="AN43" s="31">
        <f>IFERROR(IF($G43=Tabelid!$L$6,$E43*U43,IFERROR($E43*U43/SUM($J43:$AB43)*(Eksplikatsioon!Z44)/SUMPRODUCT($J43:$AB43,Eksplikatsioon!$O44:$AG44),"")),"")</f>
        <v>0</v>
      </c>
      <c r="AO43" s="31">
        <f>IFERROR(IF($G43=Tabelid!$L$6,$E43*V43,IFERROR($E43*V43/SUM($J43:$AB43)*(Eksplikatsioon!AA44)/SUMPRODUCT($J43:$AB43,Eksplikatsioon!$O44:$AG44),"")),"")</f>
        <v>0</v>
      </c>
      <c r="AP43" s="31">
        <f>IFERROR(IF($G43=Tabelid!$L$6,$E43*W43,IFERROR($E43*W43/SUM($J43:$AB43)*(Eksplikatsioon!AB44)/SUMPRODUCT($J43:$AB43,Eksplikatsioon!$O44:$AG44),"")),"")</f>
        <v>0</v>
      </c>
      <c r="AQ43" s="31">
        <f>IFERROR(IF($G43=Tabelid!$L$6,$E43*X43,IFERROR($E43*X43/SUM($J43:$AB43)*(Eksplikatsioon!AC44)/SUMPRODUCT($J43:$AB43,Eksplikatsioon!$O44:$AG44),"")),"")</f>
        <v>0</v>
      </c>
      <c r="AR43" s="31">
        <f>IFERROR(IF($G43=Tabelid!$L$6,$E43*Y43,IFERROR($E43*Y43/SUM($J43:$AB43)*(Eksplikatsioon!AD44)/SUMPRODUCT($J43:$AB43,Eksplikatsioon!$O44:$AG44),"")),"")</f>
        <v>0</v>
      </c>
      <c r="AS43" s="31">
        <f>IFERROR(IF($G43=Tabelid!$L$6,$E43*Z43,IFERROR($E43*Z43/SUM($J43:$AB43)*(Eksplikatsioon!AE44)/SUMPRODUCT($J43:$AB43,Eksplikatsioon!$O44:$AG44),"")),"")</f>
        <v>0</v>
      </c>
      <c r="AT43" s="31">
        <f>IFERROR(IF($G43=Tabelid!$L$6,$E43*AA43,IFERROR($E43*AA43/SUM($J43:$AB43)*(Eksplikatsioon!AF44)/SUMPRODUCT($J43:$AB43,Eksplikatsioon!$O44:$AG44),"")),"")</f>
        <v>0</v>
      </c>
      <c r="AU43" s="31">
        <f>IFERROR(IF($G43=Tabelid!$L$6,$E43*AB43,IFERROR($E43*AB43/SUM($J43:$AB43)*(Eksplikatsioon!AG44)/SUMPRODUCT($J43:$AB43,Eksplikatsioon!$O44:$AG44),"")),"")</f>
        <v>0</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136</v>
      </c>
      <c r="C44" s="23" t="str">
        <f>IF(Eksplikatsioon!C45=0,"",Eksplikatsioon!C45)</f>
        <v>ÜÜRITAV PIND</v>
      </c>
      <c r="D44" s="23" t="str">
        <f>IF(Eksplikatsioon!D45=0,"",Eksplikatsioon!D45)</f>
        <v>Töökoda</v>
      </c>
      <c r="E44" s="58">
        <f>IF(Eksplikatsioon!F45=0,"",Eksplikatsioon!F45)</f>
        <v>29.1</v>
      </c>
      <c r="F44" s="23" t="str">
        <f>IF(Eksplikatsioon!H45=0,"",Eksplikatsioon!H45)</f>
        <v>PÄA 50% ja PPA 50%</v>
      </c>
      <c r="G44" s="23" t="str">
        <f>IF(Eksplikatsioon!J45=0,"",Eksplikatsioon!J45)</f>
        <v>Ühiskasutuses muu pind (muu)</v>
      </c>
      <c r="H44" s="23" t="str">
        <f>IF(Eksplikatsioon!K45=0,"",Eksplikatsioon!K45)</f>
        <v/>
      </c>
      <c r="I44" s="23" t="str">
        <f>IF(Eksplikatsioon!L45=0,"",Eksplikatsioon!L45)</f>
        <v/>
      </c>
      <c r="J44" s="31">
        <f>IFERROR(IF($G44=Tabelid!$L$6,Eksplikatsioon!O45/SUM(Eksplikatsioon!$O45:'Eksplikatsioon'!$AG45),IF($G44=Tabelid!$L$4,IFERROR(SUMIFS($E:$E,$G:$G,Tabelid!$L$1,$C:$C,Tabelid!$J$4,$H:$H,J$2,$A:$A,$A44)/SUMIFS($E:$E,$G:$G,Tabelid!$L$1,$C:$C,Tabelid!$J$4,$A:$A,$A44),0),IF($G44=Tabelid!$L$5,IFERROR(SUMIFS($E:$E,$G:$G,Tabelid!$L$1,$C:$C,Tabelid!$J$4,$H:$H,J$2)/SUMIFS($E:$E,$G:$G,Tabelid!$L$1,$C:$C,Tabelid!$J$4),0),""))),"")</f>
        <v>0.5</v>
      </c>
      <c r="K44" s="31">
        <f>IFERROR(IF($G44=Tabelid!$L$6,Eksplikatsioon!P45/SUM(Eksplikatsioon!$O45:'Eksplikatsioon'!$AG45),IF($G44=Tabelid!$L$4,IFERROR(SUMIFS($E:$E,$G:$G,Tabelid!$L$1,$C:$C,Tabelid!$J$4,$H:$H,K$2,$A:$A,$A44)/SUMIFS($E:$E,$G:$G,Tabelid!$L$1,$C:$C,Tabelid!$J$4,$A:$A,$A44),0),IF($G44=Tabelid!$L$5,IFERROR(SUMIFS($E:$E,$G:$G,Tabelid!$L$1,$C:$C,Tabelid!$J$4,$H:$H,K$2)/SUMIFS($E:$E,$G:$G,Tabelid!$L$1,$C:$C,Tabelid!$J$4),0),""))),"")</f>
        <v>0.5</v>
      </c>
      <c r="L44" s="31">
        <f>IFERROR(IF($G44=Tabelid!$L$6,Eksplikatsioon!Q45/SUM(Eksplikatsioon!$O45:'Eksplikatsioon'!$AG45),IF($G44=Tabelid!$L$4,IFERROR(SUMIFS($E:$E,$G:$G,Tabelid!$L$1,$C:$C,Tabelid!$J$4,$H:$H,L$2,$A:$A,$A44)/SUMIFS($E:$E,$G:$G,Tabelid!$L$1,$C:$C,Tabelid!$J$4,$A:$A,$A44),0),IF($G44=Tabelid!$L$5,IFERROR(SUMIFS($E:$E,$G:$G,Tabelid!$L$1,$C:$C,Tabelid!$J$4,$H:$H,L$2)/SUMIFS($E:$E,$G:$G,Tabelid!$L$1,$C:$C,Tabelid!$J$4),0),""))),"")</f>
        <v>0</v>
      </c>
      <c r="M44" s="31">
        <f>IFERROR(IF($G44=Tabelid!$L$6,Eksplikatsioon!R45/SUM(Eksplikatsioon!$O45:'Eksplikatsioon'!$AG45),IF($G44=Tabelid!$L$4,IFERROR(SUMIFS($E:$E,$G:$G,Tabelid!$L$1,$C:$C,Tabelid!$J$4,$H:$H,M$2,$A:$A,$A44)/SUMIFS($E:$E,$G:$G,Tabelid!$L$1,$C:$C,Tabelid!$J$4,$A:$A,$A44),0),IF($G44=Tabelid!$L$5,IFERROR(SUMIFS($E:$E,$G:$G,Tabelid!$L$1,$C:$C,Tabelid!$J$4,$H:$H,M$2)/SUMIFS($E:$E,$G:$G,Tabelid!$L$1,$C:$C,Tabelid!$J$4),0),""))),"")</f>
        <v>0</v>
      </c>
      <c r="N44" s="31">
        <f>IFERROR(IF($G44=Tabelid!$L$6,Eksplikatsioon!S45/SUM(Eksplikatsioon!$O45:'Eksplikatsioon'!$AG45),IF($G44=Tabelid!$L$4,IFERROR(SUMIFS($E:$E,$G:$G,Tabelid!$L$1,$C:$C,Tabelid!$J$4,$H:$H,N$2,$A:$A,$A44)/SUMIFS($E:$E,$G:$G,Tabelid!$L$1,$C:$C,Tabelid!$J$4,$A:$A,$A44),0),IF($G44=Tabelid!$L$5,IFERROR(SUMIFS($E:$E,$G:$G,Tabelid!$L$1,$C:$C,Tabelid!$J$4,$H:$H,N$2)/SUMIFS($E:$E,$G:$G,Tabelid!$L$1,$C:$C,Tabelid!$J$4),0),""))),"")</f>
        <v>0</v>
      </c>
      <c r="O44" s="31">
        <f>IFERROR(IF($G44=Tabelid!$L$6,Eksplikatsioon!T45/SUM(Eksplikatsioon!$O45:'Eksplikatsioon'!$AG45),IF($G44=Tabelid!$L$4,IFERROR(SUMIFS($E:$E,$G:$G,Tabelid!$L$1,$C:$C,Tabelid!$J$4,$H:$H,O$2,$A:$A,$A44)/SUMIFS($E:$E,$G:$G,Tabelid!$L$1,$C:$C,Tabelid!$J$4,$A:$A,$A44),0),IF($G44=Tabelid!$L$5,IFERROR(SUMIFS($E:$E,$G:$G,Tabelid!$L$1,$C:$C,Tabelid!$J$4,$H:$H,O$2)/SUMIFS($E:$E,$G:$G,Tabelid!$L$1,$C:$C,Tabelid!$J$4),0),""))),"")</f>
        <v>0</v>
      </c>
      <c r="P44" s="31">
        <f>IFERROR(IF($G44=Tabelid!$L$6,Eksplikatsioon!U45/SUM(Eksplikatsioon!$O45:'Eksplikatsioon'!$AG45),IF($G44=Tabelid!$L$4,IFERROR(SUMIFS($E:$E,$G:$G,Tabelid!$L$1,$C:$C,Tabelid!$J$4,$H:$H,P$2,$A:$A,$A44)/SUMIFS($E:$E,$G:$G,Tabelid!$L$1,$C:$C,Tabelid!$J$4,$A:$A,$A44),0),IF($G44=Tabelid!$L$5,IFERROR(SUMIFS($E:$E,$G:$G,Tabelid!$L$1,$C:$C,Tabelid!$J$4,$H:$H,P$2)/SUMIFS($E:$E,$G:$G,Tabelid!$L$1,$C:$C,Tabelid!$J$4),0),""))),"")</f>
        <v>0</v>
      </c>
      <c r="Q44" s="31">
        <f>IFERROR(IF($G44=Tabelid!$L$6,Eksplikatsioon!V45/SUM(Eksplikatsioon!$O45:'Eksplikatsioon'!$AG45),IF($G44=Tabelid!$L$4,IFERROR(SUMIFS($E:$E,$G:$G,Tabelid!$L$1,$C:$C,Tabelid!$J$4,$H:$H,Q$2,$A:$A,$A44)/SUMIFS($E:$E,$G:$G,Tabelid!$L$1,$C:$C,Tabelid!$J$4,$A:$A,$A44),0),IF($G44=Tabelid!$L$5,IFERROR(SUMIFS($E:$E,$G:$G,Tabelid!$L$1,$C:$C,Tabelid!$J$4,$H:$H,Q$2)/SUMIFS($E:$E,$G:$G,Tabelid!$L$1,$C:$C,Tabelid!$J$4),0),""))),"")</f>
        <v>0</v>
      </c>
      <c r="R44" s="31">
        <f>IFERROR(IF($G44=Tabelid!$L$6,Eksplikatsioon!W45/SUM(Eksplikatsioon!$O45:'Eksplikatsioon'!$AG45),IF($G44=Tabelid!$L$4,IFERROR(SUMIFS($E:$E,$G:$G,Tabelid!$L$1,$C:$C,Tabelid!$J$4,$H:$H,R$2,$A:$A,$A44)/SUMIFS($E:$E,$G:$G,Tabelid!$L$1,$C:$C,Tabelid!$J$4,$A:$A,$A44),0),IF($G44=Tabelid!$L$5,IFERROR(SUMIFS($E:$E,$G:$G,Tabelid!$L$1,$C:$C,Tabelid!$J$4,$H:$H,R$2)/SUMIFS($E:$E,$G:$G,Tabelid!$L$1,$C:$C,Tabelid!$J$4),0),""))),"")</f>
        <v>0</v>
      </c>
      <c r="S44" s="31">
        <f>IFERROR(IF($G44=Tabelid!$L$6,Eksplikatsioon!X45/SUM(Eksplikatsioon!$O45:'Eksplikatsioon'!$AG45),IF($G44=Tabelid!$L$4,IFERROR(SUMIFS($E:$E,$G:$G,Tabelid!$L$1,$C:$C,Tabelid!$J$4,$H:$H,S$2,$A:$A,$A44)/SUMIFS($E:$E,$G:$G,Tabelid!$L$1,$C:$C,Tabelid!$J$4,$A:$A,$A44),0),IF($G44=Tabelid!$L$5,IFERROR(SUMIFS($E:$E,$G:$G,Tabelid!$L$1,$C:$C,Tabelid!$J$4,$H:$H,S$2)/SUMIFS($E:$E,$G:$G,Tabelid!$L$1,$C:$C,Tabelid!$J$4),0),""))),"")</f>
        <v>0</v>
      </c>
      <c r="T44" s="31">
        <f>IFERROR(IF($G44=Tabelid!$L$6,Eksplikatsioon!Y45/SUM(Eksplikatsioon!$O45:'Eksplikatsioon'!$AG45),IF($G44=Tabelid!$L$4,IFERROR(SUMIFS($E:$E,$G:$G,Tabelid!$L$1,$C:$C,Tabelid!$J$4,$H:$H,T$2,$A:$A,$A44)/SUMIFS($E:$E,$G:$G,Tabelid!$L$1,$C:$C,Tabelid!$J$4,$A:$A,$A44),0),IF($G44=Tabelid!$L$5,IFERROR(SUMIFS($E:$E,$G:$G,Tabelid!$L$1,$C:$C,Tabelid!$J$4,$H:$H,T$2)/SUMIFS($E:$E,$G:$G,Tabelid!$L$1,$C:$C,Tabelid!$J$4),0),""))),"")</f>
        <v>0</v>
      </c>
      <c r="U44" s="31">
        <f>IFERROR(IF($G44=Tabelid!$L$6,Eksplikatsioon!Z45/SUM(Eksplikatsioon!$O45:'Eksplikatsioon'!$AG45),IF($G44=Tabelid!$L$4,IFERROR(SUMIFS($E:$E,$G:$G,Tabelid!$L$1,$C:$C,Tabelid!$J$4,$H:$H,U$2,$A:$A,$A44)/SUMIFS($E:$E,$G:$G,Tabelid!$L$1,$C:$C,Tabelid!$J$4,$A:$A,$A44),0),IF($G44=Tabelid!$L$5,IFERROR(SUMIFS($E:$E,$G:$G,Tabelid!$L$1,$C:$C,Tabelid!$J$4,$H:$H,U$2)/SUMIFS($E:$E,$G:$G,Tabelid!$L$1,$C:$C,Tabelid!$J$4),0),""))),"")</f>
        <v>0</v>
      </c>
      <c r="V44" s="31">
        <f>IFERROR(IF($G44=Tabelid!$L$6,Eksplikatsioon!AA45/SUM(Eksplikatsioon!$O45:'Eksplikatsioon'!$AG45),IF($G44=Tabelid!$L$4,IFERROR(SUMIFS($E:$E,$G:$G,Tabelid!$L$1,$C:$C,Tabelid!$J$4,$H:$H,V$2,$A:$A,$A44)/SUMIFS($E:$E,$G:$G,Tabelid!$L$1,$C:$C,Tabelid!$J$4,$A:$A,$A44),0),IF($G44=Tabelid!$L$5,IFERROR(SUMIFS($E:$E,$G:$G,Tabelid!$L$1,$C:$C,Tabelid!$J$4,$H:$H,V$2)/SUMIFS($E:$E,$G:$G,Tabelid!$L$1,$C:$C,Tabelid!$J$4),0),""))),"")</f>
        <v>0</v>
      </c>
      <c r="W44" s="31">
        <f>IFERROR(IF($G44=Tabelid!$L$6,Eksplikatsioon!AB45/SUM(Eksplikatsioon!$O45:'Eksplikatsioon'!$AG45),IF($G44=Tabelid!$L$4,IFERROR(SUMIFS($E:$E,$G:$G,Tabelid!$L$1,$C:$C,Tabelid!$J$4,$H:$H,W$2,$A:$A,$A44)/SUMIFS($E:$E,$G:$G,Tabelid!$L$1,$C:$C,Tabelid!$J$4,$A:$A,$A44),0),IF($G44=Tabelid!$L$5,IFERROR(SUMIFS($E:$E,$G:$G,Tabelid!$L$1,$C:$C,Tabelid!$J$4,$H:$H,W$2)/SUMIFS($E:$E,$G:$G,Tabelid!$L$1,$C:$C,Tabelid!$J$4),0),""))),"")</f>
        <v>0</v>
      </c>
      <c r="X44" s="31">
        <f>IFERROR(IF($G44=Tabelid!$L$6,Eksplikatsioon!AC45/SUM(Eksplikatsioon!$O45:'Eksplikatsioon'!$AG45),IF($G44=Tabelid!$L$4,IFERROR(SUMIFS($E:$E,$G:$G,Tabelid!$L$1,$C:$C,Tabelid!$J$4,$H:$H,X$2,$A:$A,$A44)/SUMIFS($E:$E,$G:$G,Tabelid!$L$1,$C:$C,Tabelid!$J$4,$A:$A,$A44),0),IF($G44=Tabelid!$L$5,IFERROR(SUMIFS($E:$E,$G:$G,Tabelid!$L$1,$C:$C,Tabelid!$J$4,$H:$H,X$2)/SUMIFS($E:$E,$G:$G,Tabelid!$L$1,$C:$C,Tabelid!$J$4),0),""))),"")</f>
        <v>0</v>
      </c>
      <c r="Y44" s="31">
        <f>IFERROR(IF($G44=Tabelid!$L$6,Eksplikatsioon!AD45/SUM(Eksplikatsioon!$O45:'Eksplikatsioon'!$AG45),IF($G44=Tabelid!$L$4,IFERROR(SUMIFS($E:$E,$G:$G,Tabelid!$L$1,$C:$C,Tabelid!$J$4,$H:$H,Y$2,$A:$A,$A44)/SUMIFS($E:$E,$G:$G,Tabelid!$L$1,$C:$C,Tabelid!$J$4,$A:$A,$A44),0),IF($G44=Tabelid!$L$5,IFERROR(SUMIFS($E:$E,$G:$G,Tabelid!$L$1,$C:$C,Tabelid!$J$4,$H:$H,Y$2)/SUMIFS($E:$E,$G:$G,Tabelid!$L$1,$C:$C,Tabelid!$J$4),0),""))),"")</f>
        <v>0</v>
      </c>
      <c r="Z44" s="31">
        <f>IFERROR(IF($G44=Tabelid!$L$6,Eksplikatsioon!AE45/SUM(Eksplikatsioon!$O45:'Eksplikatsioon'!$AG45),IF($G44=Tabelid!$L$4,IFERROR(SUMIFS($E:$E,$G:$G,Tabelid!$L$1,$C:$C,Tabelid!$J$4,$H:$H,Z$2,$A:$A,$A44)/SUMIFS($E:$E,$G:$G,Tabelid!$L$1,$C:$C,Tabelid!$J$4,$A:$A,$A44),0),IF($G44=Tabelid!$L$5,IFERROR(SUMIFS($E:$E,$G:$G,Tabelid!$L$1,$C:$C,Tabelid!$J$4,$H:$H,Z$2)/SUMIFS($E:$E,$G:$G,Tabelid!$L$1,$C:$C,Tabelid!$J$4),0),""))),"")</f>
        <v>0</v>
      </c>
      <c r="AA44" s="31">
        <f>IFERROR(IF($G44=Tabelid!$L$6,Eksplikatsioon!AF45/SUM(Eksplikatsioon!$O45:'Eksplikatsioon'!$AG45),IF($G44=Tabelid!$L$4,IFERROR(SUMIFS($E:$E,$G:$G,Tabelid!$L$1,$C:$C,Tabelid!$J$4,$H:$H,AA$2,$A:$A,$A44)/SUMIFS($E:$E,$G:$G,Tabelid!$L$1,$C:$C,Tabelid!$J$4,$A:$A,$A44),0),IF($G44=Tabelid!$L$5,IFERROR(SUMIFS($E:$E,$G:$G,Tabelid!$L$1,$C:$C,Tabelid!$J$4,$H:$H,AA$2)/SUMIFS($E:$E,$G:$G,Tabelid!$L$1,$C:$C,Tabelid!$J$4),0),""))),"")</f>
        <v>0</v>
      </c>
      <c r="AB44" s="31">
        <f>IFERROR(IF($G44=Tabelid!$L$6,Eksplikatsioon!AG45/SUM(Eksplikatsioon!$O45:'Eksplikatsioon'!$AG45),IF($G44=Tabelid!$L$4,IFERROR(SUMIFS($E:$E,$G:$G,Tabelid!$L$1,$C:$C,Tabelid!$J$4,$H:$H,AB$2,$A:$A,$A44)/SUMIFS($E:$E,$G:$G,Tabelid!$L$1,$C:$C,Tabelid!$J$4,$A:$A,$A44),0),IF($G44=Tabelid!$L$5,IFERROR(SUMIFS($E:$E,$G:$G,Tabelid!$L$1,$C:$C,Tabelid!$J$4,$H:$H,AB$2)/SUMIFS($E:$E,$G:$G,Tabelid!$L$1,$C:$C,Tabelid!$J$4),0),""))),"")</f>
        <v>0</v>
      </c>
      <c r="AC44" s="31">
        <f>IFERROR(IF($G44=Tabelid!$L$6,$E44*J44,IFERROR($E44*J44/SUM($J44:$AB44)*(Eksplikatsioon!O45)/SUMPRODUCT($J44:$AB44,Eksplikatsioon!$O45:$AG45),"")),"")</f>
        <v>14.55</v>
      </c>
      <c r="AD44" s="31">
        <f>IFERROR(IF($G44=Tabelid!$L$6,$E44*K44,IFERROR($E44*K44/SUM($J44:$AB44)*(Eksplikatsioon!P45)/SUMPRODUCT($J44:$AB44,Eksplikatsioon!$O45:$AG45),"")),"")</f>
        <v>14.55</v>
      </c>
      <c r="AE44" s="31">
        <f>IFERROR(IF($G44=Tabelid!$L$6,$E44*L44,IFERROR($E44*L44/SUM($J44:$AB44)*(Eksplikatsioon!Q45)/SUMPRODUCT($J44:$AB44,Eksplikatsioon!$O45:$AG45),"")),"")</f>
        <v>0</v>
      </c>
      <c r="AF44" s="31">
        <f>IFERROR(IF($G44=Tabelid!$L$6,$E44*M44,IFERROR($E44*M44/SUM($J44:$AB44)*(Eksplikatsioon!R45)/SUMPRODUCT($J44:$AB44,Eksplikatsioon!$O45:$AG45),"")),"")</f>
        <v>0</v>
      </c>
      <c r="AG44" s="31">
        <f>IFERROR(IF($G44=Tabelid!$L$6,$E44*N44,IFERROR($E44*N44/SUM($J44:$AB44)*(Eksplikatsioon!S45)/SUMPRODUCT($J44:$AB44,Eksplikatsioon!$O45:$AG45),"")),"")</f>
        <v>0</v>
      </c>
      <c r="AH44" s="31">
        <f>IFERROR(IF($G44=Tabelid!$L$6,$E44*O44,IFERROR($E44*O44/SUM($J44:$AB44)*(Eksplikatsioon!T45)/SUMPRODUCT($J44:$AB44,Eksplikatsioon!$O45:$AG45),"")),"")</f>
        <v>0</v>
      </c>
      <c r="AI44" s="31">
        <f>IFERROR(IF($G44=Tabelid!$L$6,$E44*P44,IFERROR($E44*P44/SUM($J44:$AB44)*(Eksplikatsioon!U45)/SUMPRODUCT($J44:$AB44,Eksplikatsioon!$O45:$AG45),"")),"")</f>
        <v>0</v>
      </c>
      <c r="AJ44" s="31">
        <f>IFERROR(IF($G44=Tabelid!$L$6,$E44*Q44,IFERROR($E44*Q44/SUM($J44:$AB44)*(Eksplikatsioon!V45)/SUMPRODUCT($J44:$AB44,Eksplikatsioon!$O45:$AG45),"")),"")</f>
        <v>0</v>
      </c>
      <c r="AK44" s="31">
        <f>IFERROR(IF($G44=Tabelid!$L$6,$E44*R44,IFERROR($E44*R44/SUM($J44:$AB44)*(Eksplikatsioon!W45)/SUMPRODUCT($J44:$AB44,Eksplikatsioon!$O45:$AG45),"")),"")</f>
        <v>0</v>
      </c>
      <c r="AL44" s="31">
        <f>IFERROR(IF($G44=Tabelid!$L$6,$E44*S44,IFERROR($E44*S44/SUM($J44:$AB44)*(Eksplikatsioon!X45)/SUMPRODUCT($J44:$AB44,Eksplikatsioon!$O45:$AG45),"")),"")</f>
        <v>0</v>
      </c>
      <c r="AM44" s="31">
        <f>IFERROR(IF($G44=Tabelid!$L$6,$E44*T44,IFERROR($E44*T44/SUM($J44:$AB44)*(Eksplikatsioon!Y45)/SUMPRODUCT($J44:$AB44,Eksplikatsioon!$O45:$AG45),"")),"")</f>
        <v>0</v>
      </c>
      <c r="AN44" s="31">
        <f>IFERROR(IF($G44=Tabelid!$L$6,$E44*U44,IFERROR($E44*U44/SUM($J44:$AB44)*(Eksplikatsioon!Z45)/SUMPRODUCT($J44:$AB44,Eksplikatsioon!$O45:$AG45),"")),"")</f>
        <v>0</v>
      </c>
      <c r="AO44" s="31">
        <f>IFERROR(IF($G44=Tabelid!$L$6,$E44*V44,IFERROR($E44*V44/SUM($J44:$AB44)*(Eksplikatsioon!AA45)/SUMPRODUCT($J44:$AB44,Eksplikatsioon!$O45:$AG45),"")),"")</f>
        <v>0</v>
      </c>
      <c r="AP44" s="31">
        <f>IFERROR(IF($G44=Tabelid!$L$6,$E44*W44,IFERROR($E44*W44/SUM($J44:$AB44)*(Eksplikatsioon!AB45)/SUMPRODUCT($J44:$AB44,Eksplikatsioon!$O45:$AG45),"")),"")</f>
        <v>0</v>
      </c>
      <c r="AQ44" s="31">
        <f>IFERROR(IF($G44=Tabelid!$L$6,$E44*X44,IFERROR($E44*X44/SUM($J44:$AB44)*(Eksplikatsioon!AC45)/SUMPRODUCT($J44:$AB44,Eksplikatsioon!$O45:$AG45),"")),"")</f>
        <v>0</v>
      </c>
      <c r="AR44" s="31">
        <f>IFERROR(IF($G44=Tabelid!$L$6,$E44*Y44,IFERROR($E44*Y44/SUM($J44:$AB44)*(Eksplikatsioon!AD45)/SUMPRODUCT($J44:$AB44,Eksplikatsioon!$O45:$AG45),"")),"")</f>
        <v>0</v>
      </c>
      <c r="AS44" s="31">
        <f>IFERROR(IF($G44=Tabelid!$L$6,$E44*Z44,IFERROR($E44*Z44/SUM($J44:$AB44)*(Eksplikatsioon!AE45)/SUMPRODUCT($J44:$AB44,Eksplikatsioon!$O45:$AG45),"")),"")</f>
        <v>0</v>
      </c>
      <c r="AT44" s="31">
        <f>IFERROR(IF($G44=Tabelid!$L$6,$E44*AA44,IFERROR($E44*AA44/SUM($J44:$AB44)*(Eksplikatsioon!AF45)/SUMPRODUCT($J44:$AB44,Eksplikatsioon!$O45:$AG45),"")),"")</f>
        <v>0</v>
      </c>
      <c r="AU44" s="31">
        <f>IFERROR(IF($G44=Tabelid!$L$6,$E44*AB44,IFERROR($E44*AB44/SUM($J44:$AB44)*(Eksplikatsioon!AG45)/SUMPRODUCT($J44:$AB44,Eksplikatsioon!$O45:$AG45),"")),"")</f>
        <v>0</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137</v>
      </c>
      <c r="C45" s="23" t="str">
        <f>IF(Eksplikatsioon!C46=0,"",Eksplikatsioon!C46)</f>
        <v>ÜÜRITAV PIND</v>
      </c>
      <c r="D45" s="23" t="str">
        <f>IF(Eksplikatsioon!D46=0,"",Eksplikatsioon!D46)</f>
        <v>Töökoda</v>
      </c>
      <c r="E45" s="58">
        <f>IF(Eksplikatsioon!F46=0,"",Eksplikatsioon!F46)</f>
        <v>395.64890000000003</v>
      </c>
      <c r="F45" s="23" t="str">
        <f>IF(Eksplikatsioon!H46=0,"",Eksplikatsioon!H46)</f>
        <v>PÄA 92,48% ja PPA 7,52%</v>
      </c>
      <c r="G45" s="23" t="str">
        <f>IF(Eksplikatsioon!J46=0,"",Eksplikatsioon!J46)</f>
        <v>Ühiskasutuses muu pind (muu)</v>
      </c>
      <c r="H45" s="23" t="str">
        <f>IF(Eksplikatsioon!K46=0,"",Eksplikatsioon!K46)</f>
        <v/>
      </c>
      <c r="I45" s="23" t="str">
        <f>IF(Eksplikatsioon!L46=0,"",Eksplikatsioon!L46)</f>
        <v/>
      </c>
      <c r="J45" s="31">
        <f>IFERROR(IF($G45=Tabelid!$L$6,Eksplikatsioon!O46/SUM(Eksplikatsioon!$O46:'Eksplikatsioon'!$AG46),IF($G45=Tabelid!$L$4,IFERROR(SUMIFS($E:$E,$G:$G,Tabelid!$L$1,$C:$C,Tabelid!$J$4,$H:$H,J$2,$A:$A,$A45)/SUMIFS($E:$E,$G:$G,Tabelid!$L$1,$C:$C,Tabelid!$J$4,$A:$A,$A45),0),IF($G45=Tabelid!$L$5,IFERROR(SUMIFS($E:$E,$G:$G,Tabelid!$L$1,$C:$C,Tabelid!$J$4,$H:$H,J$2)/SUMIFS($E:$E,$G:$G,Tabelid!$L$1,$C:$C,Tabelid!$J$4),0),""))),"")</f>
        <v>0.92480000000000007</v>
      </c>
      <c r="K45" s="31">
        <f>IFERROR(IF($G45=Tabelid!$L$6,Eksplikatsioon!P46/SUM(Eksplikatsioon!$O46:'Eksplikatsioon'!$AG46),IF($G45=Tabelid!$L$4,IFERROR(SUMIFS($E:$E,$G:$G,Tabelid!$L$1,$C:$C,Tabelid!$J$4,$H:$H,K$2,$A:$A,$A45)/SUMIFS($E:$E,$G:$G,Tabelid!$L$1,$C:$C,Tabelid!$J$4,$A:$A,$A45),0),IF($G45=Tabelid!$L$5,IFERROR(SUMIFS($E:$E,$G:$G,Tabelid!$L$1,$C:$C,Tabelid!$J$4,$H:$H,K$2)/SUMIFS($E:$E,$G:$G,Tabelid!$L$1,$C:$C,Tabelid!$J$4),0),""))),"")</f>
        <v>7.5199999999999989E-2</v>
      </c>
      <c r="L45" s="31">
        <f>IFERROR(IF($G45=Tabelid!$L$6,Eksplikatsioon!Q46/SUM(Eksplikatsioon!$O46:'Eksplikatsioon'!$AG46),IF($G45=Tabelid!$L$4,IFERROR(SUMIFS($E:$E,$G:$G,Tabelid!$L$1,$C:$C,Tabelid!$J$4,$H:$H,L$2,$A:$A,$A45)/SUMIFS($E:$E,$G:$G,Tabelid!$L$1,$C:$C,Tabelid!$J$4,$A:$A,$A45),0),IF($G45=Tabelid!$L$5,IFERROR(SUMIFS($E:$E,$G:$G,Tabelid!$L$1,$C:$C,Tabelid!$J$4,$H:$H,L$2)/SUMIFS($E:$E,$G:$G,Tabelid!$L$1,$C:$C,Tabelid!$J$4),0),""))),"")</f>
        <v>0</v>
      </c>
      <c r="M45" s="31">
        <f>IFERROR(IF($G45=Tabelid!$L$6,Eksplikatsioon!R46/SUM(Eksplikatsioon!$O46:'Eksplikatsioon'!$AG46),IF($G45=Tabelid!$L$4,IFERROR(SUMIFS($E:$E,$G:$G,Tabelid!$L$1,$C:$C,Tabelid!$J$4,$H:$H,M$2,$A:$A,$A45)/SUMIFS($E:$E,$G:$G,Tabelid!$L$1,$C:$C,Tabelid!$J$4,$A:$A,$A45),0),IF($G45=Tabelid!$L$5,IFERROR(SUMIFS($E:$E,$G:$G,Tabelid!$L$1,$C:$C,Tabelid!$J$4,$H:$H,M$2)/SUMIFS($E:$E,$G:$G,Tabelid!$L$1,$C:$C,Tabelid!$J$4),0),""))),"")</f>
        <v>0</v>
      </c>
      <c r="N45" s="31">
        <f>IFERROR(IF($G45=Tabelid!$L$6,Eksplikatsioon!S46/SUM(Eksplikatsioon!$O46:'Eksplikatsioon'!$AG46),IF($G45=Tabelid!$L$4,IFERROR(SUMIFS($E:$E,$G:$G,Tabelid!$L$1,$C:$C,Tabelid!$J$4,$H:$H,N$2,$A:$A,$A45)/SUMIFS($E:$E,$G:$G,Tabelid!$L$1,$C:$C,Tabelid!$J$4,$A:$A,$A45),0),IF($G45=Tabelid!$L$5,IFERROR(SUMIFS($E:$E,$G:$G,Tabelid!$L$1,$C:$C,Tabelid!$J$4,$H:$H,N$2)/SUMIFS($E:$E,$G:$G,Tabelid!$L$1,$C:$C,Tabelid!$J$4),0),""))),"")</f>
        <v>0</v>
      </c>
      <c r="O45" s="31">
        <f>IFERROR(IF($G45=Tabelid!$L$6,Eksplikatsioon!T46/SUM(Eksplikatsioon!$O46:'Eksplikatsioon'!$AG46),IF($G45=Tabelid!$L$4,IFERROR(SUMIFS($E:$E,$G:$G,Tabelid!$L$1,$C:$C,Tabelid!$J$4,$H:$H,O$2,$A:$A,$A45)/SUMIFS($E:$E,$G:$G,Tabelid!$L$1,$C:$C,Tabelid!$J$4,$A:$A,$A45),0),IF($G45=Tabelid!$L$5,IFERROR(SUMIFS($E:$E,$G:$G,Tabelid!$L$1,$C:$C,Tabelid!$J$4,$H:$H,O$2)/SUMIFS($E:$E,$G:$G,Tabelid!$L$1,$C:$C,Tabelid!$J$4),0),""))),"")</f>
        <v>0</v>
      </c>
      <c r="P45" s="31">
        <f>IFERROR(IF($G45=Tabelid!$L$6,Eksplikatsioon!U46/SUM(Eksplikatsioon!$O46:'Eksplikatsioon'!$AG46),IF($G45=Tabelid!$L$4,IFERROR(SUMIFS($E:$E,$G:$G,Tabelid!$L$1,$C:$C,Tabelid!$J$4,$H:$H,P$2,$A:$A,$A45)/SUMIFS($E:$E,$G:$G,Tabelid!$L$1,$C:$C,Tabelid!$J$4,$A:$A,$A45),0),IF($G45=Tabelid!$L$5,IFERROR(SUMIFS($E:$E,$G:$G,Tabelid!$L$1,$C:$C,Tabelid!$J$4,$H:$H,P$2)/SUMIFS($E:$E,$G:$G,Tabelid!$L$1,$C:$C,Tabelid!$J$4),0),""))),"")</f>
        <v>0</v>
      </c>
      <c r="Q45" s="31">
        <f>IFERROR(IF($G45=Tabelid!$L$6,Eksplikatsioon!V46/SUM(Eksplikatsioon!$O46:'Eksplikatsioon'!$AG46),IF($G45=Tabelid!$L$4,IFERROR(SUMIFS($E:$E,$G:$G,Tabelid!$L$1,$C:$C,Tabelid!$J$4,$H:$H,Q$2,$A:$A,$A45)/SUMIFS($E:$E,$G:$G,Tabelid!$L$1,$C:$C,Tabelid!$J$4,$A:$A,$A45),0),IF($G45=Tabelid!$L$5,IFERROR(SUMIFS($E:$E,$G:$G,Tabelid!$L$1,$C:$C,Tabelid!$J$4,$H:$H,Q$2)/SUMIFS($E:$E,$G:$G,Tabelid!$L$1,$C:$C,Tabelid!$J$4),0),""))),"")</f>
        <v>0</v>
      </c>
      <c r="R45" s="31">
        <f>IFERROR(IF($G45=Tabelid!$L$6,Eksplikatsioon!W46/SUM(Eksplikatsioon!$O46:'Eksplikatsioon'!$AG46),IF($G45=Tabelid!$L$4,IFERROR(SUMIFS($E:$E,$G:$G,Tabelid!$L$1,$C:$C,Tabelid!$J$4,$H:$H,R$2,$A:$A,$A45)/SUMIFS($E:$E,$G:$G,Tabelid!$L$1,$C:$C,Tabelid!$J$4,$A:$A,$A45),0),IF($G45=Tabelid!$L$5,IFERROR(SUMIFS($E:$E,$G:$G,Tabelid!$L$1,$C:$C,Tabelid!$J$4,$H:$H,R$2)/SUMIFS($E:$E,$G:$G,Tabelid!$L$1,$C:$C,Tabelid!$J$4),0),""))),"")</f>
        <v>0</v>
      </c>
      <c r="S45" s="31">
        <f>IFERROR(IF($G45=Tabelid!$L$6,Eksplikatsioon!X46/SUM(Eksplikatsioon!$O46:'Eksplikatsioon'!$AG46),IF($G45=Tabelid!$L$4,IFERROR(SUMIFS($E:$E,$G:$G,Tabelid!$L$1,$C:$C,Tabelid!$J$4,$H:$H,S$2,$A:$A,$A45)/SUMIFS($E:$E,$G:$G,Tabelid!$L$1,$C:$C,Tabelid!$J$4,$A:$A,$A45),0),IF($G45=Tabelid!$L$5,IFERROR(SUMIFS($E:$E,$G:$G,Tabelid!$L$1,$C:$C,Tabelid!$J$4,$H:$H,S$2)/SUMIFS($E:$E,$G:$G,Tabelid!$L$1,$C:$C,Tabelid!$J$4),0),""))),"")</f>
        <v>0</v>
      </c>
      <c r="T45" s="31">
        <f>IFERROR(IF($G45=Tabelid!$L$6,Eksplikatsioon!Y46/SUM(Eksplikatsioon!$O46:'Eksplikatsioon'!$AG46),IF($G45=Tabelid!$L$4,IFERROR(SUMIFS($E:$E,$G:$G,Tabelid!$L$1,$C:$C,Tabelid!$J$4,$H:$H,T$2,$A:$A,$A45)/SUMIFS($E:$E,$G:$G,Tabelid!$L$1,$C:$C,Tabelid!$J$4,$A:$A,$A45),0),IF($G45=Tabelid!$L$5,IFERROR(SUMIFS($E:$E,$G:$G,Tabelid!$L$1,$C:$C,Tabelid!$J$4,$H:$H,T$2)/SUMIFS($E:$E,$G:$G,Tabelid!$L$1,$C:$C,Tabelid!$J$4),0),""))),"")</f>
        <v>0</v>
      </c>
      <c r="U45" s="31">
        <f>IFERROR(IF($G45=Tabelid!$L$6,Eksplikatsioon!Z46/SUM(Eksplikatsioon!$O46:'Eksplikatsioon'!$AG46),IF($G45=Tabelid!$L$4,IFERROR(SUMIFS($E:$E,$G:$G,Tabelid!$L$1,$C:$C,Tabelid!$J$4,$H:$H,U$2,$A:$A,$A45)/SUMIFS($E:$E,$G:$G,Tabelid!$L$1,$C:$C,Tabelid!$J$4,$A:$A,$A45),0),IF($G45=Tabelid!$L$5,IFERROR(SUMIFS($E:$E,$G:$G,Tabelid!$L$1,$C:$C,Tabelid!$J$4,$H:$H,U$2)/SUMIFS($E:$E,$G:$G,Tabelid!$L$1,$C:$C,Tabelid!$J$4),0),""))),"")</f>
        <v>0</v>
      </c>
      <c r="V45" s="31">
        <f>IFERROR(IF($G45=Tabelid!$L$6,Eksplikatsioon!AA46/SUM(Eksplikatsioon!$O46:'Eksplikatsioon'!$AG46),IF($G45=Tabelid!$L$4,IFERROR(SUMIFS($E:$E,$G:$G,Tabelid!$L$1,$C:$C,Tabelid!$J$4,$H:$H,V$2,$A:$A,$A45)/SUMIFS($E:$E,$G:$G,Tabelid!$L$1,$C:$C,Tabelid!$J$4,$A:$A,$A45),0),IF($G45=Tabelid!$L$5,IFERROR(SUMIFS($E:$E,$G:$G,Tabelid!$L$1,$C:$C,Tabelid!$J$4,$H:$H,V$2)/SUMIFS($E:$E,$G:$G,Tabelid!$L$1,$C:$C,Tabelid!$J$4),0),""))),"")</f>
        <v>0</v>
      </c>
      <c r="W45" s="31">
        <f>IFERROR(IF($G45=Tabelid!$L$6,Eksplikatsioon!AB46/SUM(Eksplikatsioon!$O46:'Eksplikatsioon'!$AG46),IF($G45=Tabelid!$L$4,IFERROR(SUMIFS($E:$E,$G:$G,Tabelid!$L$1,$C:$C,Tabelid!$J$4,$H:$H,W$2,$A:$A,$A45)/SUMIFS($E:$E,$G:$G,Tabelid!$L$1,$C:$C,Tabelid!$J$4,$A:$A,$A45),0),IF($G45=Tabelid!$L$5,IFERROR(SUMIFS($E:$E,$G:$G,Tabelid!$L$1,$C:$C,Tabelid!$J$4,$H:$H,W$2)/SUMIFS($E:$E,$G:$G,Tabelid!$L$1,$C:$C,Tabelid!$J$4),0),""))),"")</f>
        <v>0</v>
      </c>
      <c r="X45" s="31">
        <f>IFERROR(IF($G45=Tabelid!$L$6,Eksplikatsioon!AC46/SUM(Eksplikatsioon!$O46:'Eksplikatsioon'!$AG46),IF($G45=Tabelid!$L$4,IFERROR(SUMIFS($E:$E,$G:$G,Tabelid!$L$1,$C:$C,Tabelid!$J$4,$H:$H,X$2,$A:$A,$A45)/SUMIFS($E:$E,$G:$G,Tabelid!$L$1,$C:$C,Tabelid!$J$4,$A:$A,$A45),0),IF($G45=Tabelid!$L$5,IFERROR(SUMIFS($E:$E,$G:$G,Tabelid!$L$1,$C:$C,Tabelid!$J$4,$H:$H,X$2)/SUMIFS($E:$E,$G:$G,Tabelid!$L$1,$C:$C,Tabelid!$J$4),0),""))),"")</f>
        <v>0</v>
      </c>
      <c r="Y45" s="31">
        <f>IFERROR(IF($G45=Tabelid!$L$6,Eksplikatsioon!AD46/SUM(Eksplikatsioon!$O46:'Eksplikatsioon'!$AG46),IF($G45=Tabelid!$L$4,IFERROR(SUMIFS($E:$E,$G:$G,Tabelid!$L$1,$C:$C,Tabelid!$J$4,$H:$H,Y$2,$A:$A,$A45)/SUMIFS($E:$E,$G:$G,Tabelid!$L$1,$C:$C,Tabelid!$J$4,$A:$A,$A45),0),IF($G45=Tabelid!$L$5,IFERROR(SUMIFS($E:$E,$G:$G,Tabelid!$L$1,$C:$C,Tabelid!$J$4,$H:$H,Y$2)/SUMIFS($E:$E,$G:$G,Tabelid!$L$1,$C:$C,Tabelid!$J$4),0),""))),"")</f>
        <v>0</v>
      </c>
      <c r="Z45" s="31">
        <f>IFERROR(IF($G45=Tabelid!$L$6,Eksplikatsioon!AE46/SUM(Eksplikatsioon!$O46:'Eksplikatsioon'!$AG46),IF($G45=Tabelid!$L$4,IFERROR(SUMIFS($E:$E,$G:$G,Tabelid!$L$1,$C:$C,Tabelid!$J$4,$H:$H,Z$2,$A:$A,$A45)/SUMIFS($E:$E,$G:$G,Tabelid!$L$1,$C:$C,Tabelid!$J$4,$A:$A,$A45),0),IF($G45=Tabelid!$L$5,IFERROR(SUMIFS($E:$E,$G:$G,Tabelid!$L$1,$C:$C,Tabelid!$J$4,$H:$H,Z$2)/SUMIFS($E:$E,$G:$G,Tabelid!$L$1,$C:$C,Tabelid!$J$4),0),""))),"")</f>
        <v>0</v>
      </c>
      <c r="AA45" s="31">
        <f>IFERROR(IF($G45=Tabelid!$L$6,Eksplikatsioon!AF46/SUM(Eksplikatsioon!$O46:'Eksplikatsioon'!$AG46),IF($G45=Tabelid!$L$4,IFERROR(SUMIFS($E:$E,$G:$G,Tabelid!$L$1,$C:$C,Tabelid!$J$4,$H:$H,AA$2,$A:$A,$A45)/SUMIFS($E:$E,$G:$G,Tabelid!$L$1,$C:$C,Tabelid!$J$4,$A:$A,$A45),0),IF($G45=Tabelid!$L$5,IFERROR(SUMIFS($E:$E,$G:$G,Tabelid!$L$1,$C:$C,Tabelid!$J$4,$H:$H,AA$2)/SUMIFS($E:$E,$G:$G,Tabelid!$L$1,$C:$C,Tabelid!$J$4),0),""))),"")</f>
        <v>0</v>
      </c>
      <c r="AB45" s="31">
        <f>IFERROR(IF($G45=Tabelid!$L$6,Eksplikatsioon!AG46/SUM(Eksplikatsioon!$O46:'Eksplikatsioon'!$AG46),IF($G45=Tabelid!$L$4,IFERROR(SUMIFS($E:$E,$G:$G,Tabelid!$L$1,$C:$C,Tabelid!$J$4,$H:$H,AB$2,$A:$A,$A45)/SUMIFS($E:$E,$G:$G,Tabelid!$L$1,$C:$C,Tabelid!$J$4,$A:$A,$A45),0),IF($G45=Tabelid!$L$5,IFERROR(SUMIFS($E:$E,$G:$G,Tabelid!$L$1,$C:$C,Tabelid!$J$4,$H:$H,AB$2)/SUMIFS($E:$E,$G:$G,Tabelid!$L$1,$C:$C,Tabelid!$J$4),0),""))),"")</f>
        <v>0</v>
      </c>
      <c r="AC45" s="31">
        <f>IFERROR(IF($G45=Tabelid!$L$6,$E45*J45,IFERROR($E45*J45/SUM($J45:$AB45)*(Eksplikatsioon!O46)/SUMPRODUCT($J45:$AB45,Eksplikatsioon!$O46:$AG46),"")),"")</f>
        <v>365.89610272000004</v>
      </c>
      <c r="AD45" s="31">
        <f>IFERROR(IF($G45=Tabelid!$L$6,$E45*K45,IFERROR($E45*K45/SUM($J45:$AB45)*(Eksplikatsioon!P46)/SUMPRODUCT($J45:$AB45,Eksplikatsioon!$O46:$AG46),"")),"")</f>
        <v>29.752797279999999</v>
      </c>
      <c r="AE45" s="31">
        <f>IFERROR(IF($G45=Tabelid!$L$6,$E45*L45,IFERROR($E45*L45/SUM($J45:$AB45)*(Eksplikatsioon!Q46)/SUMPRODUCT($J45:$AB45,Eksplikatsioon!$O46:$AG46),"")),"")</f>
        <v>0</v>
      </c>
      <c r="AF45" s="31">
        <f>IFERROR(IF($G45=Tabelid!$L$6,$E45*M45,IFERROR($E45*M45/SUM($J45:$AB45)*(Eksplikatsioon!R46)/SUMPRODUCT($J45:$AB45,Eksplikatsioon!$O46:$AG46),"")),"")</f>
        <v>0</v>
      </c>
      <c r="AG45" s="31">
        <f>IFERROR(IF($G45=Tabelid!$L$6,$E45*N45,IFERROR($E45*N45/SUM($J45:$AB45)*(Eksplikatsioon!S46)/SUMPRODUCT($J45:$AB45,Eksplikatsioon!$O46:$AG46),"")),"")</f>
        <v>0</v>
      </c>
      <c r="AH45" s="31">
        <f>IFERROR(IF($G45=Tabelid!$L$6,$E45*O45,IFERROR($E45*O45/SUM($J45:$AB45)*(Eksplikatsioon!T46)/SUMPRODUCT($J45:$AB45,Eksplikatsioon!$O46:$AG46),"")),"")</f>
        <v>0</v>
      </c>
      <c r="AI45" s="31">
        <f>IFERROR(IF($G45=Tabelid!$L$6,$E45*P45,IFERROR($E45*P45/SUM($J45:$AB45)*(Eksplikatsioon!U46)/SUMPRODUCT($J45:$AB45,Eksplikatsioon!$O46:$AG46),"")),"")</f>
        <v>0</v>
      </c>
      <c r="AJ45" s="31">
        <f>IFERROR(IF($G45=Tabelid!$L$6,$E45*Q45,IFERROR($E45*Q45/SUM($J45:$AB45)*(Eksplikatsioon!V46)/SUMPRODUCT($J45:$AB45,Eksplikatsioon!$O46:$AG46),"")),"")</f>
        <v>0</v>
      </c>
      <c r="AK45" s="31">
        <f>IFERROR(IF($G45=Tabelid!$L$6,$E45*R45,IFERROR($E45*R45/SUM($J45:$AB45)*(Eksplikatsioon!W46)/SUMPRODUCT($J45:$AB45,Eksplikatsioon!$O46:$AG46),"")),"")</f>
        <v>0</v>
      </c>
      <c r="AL45" s="31">
        <f>IFERROR(IF($G45=Tabelid!$L$6,$E45*S45,IFERROR($E45*S45/SUM($J45:$AB45)*(Eksplikatsioon!X46)/SUMPRODUCT($J45:$AB45,Eksplikatsioon!$O46:$AG46),"")),"")</f>
        <v>0</v>
      </c>
      <c r="AM45" s="31">
        <f>IFERROR(IF($G45=Tabelid!$L$6,$E45*T45,IFERROR($E45*T45/SUM($J45:$AB45)*(Eksplikatsioon!Y46)/SUMPRODUCT($J45:$AB45,Eksplikatsioon!$O46:$AG46),"")),"")</f>
        <v>0</v>
      </c>
      <c r="AN45" s="31">
        <f>IFERROR(IF($G45=Tabelid!$L$6,$E45*U45,IFERROR($E45*U45/SUM($J45:$AB45)*(Eksplikatsioon!Z46)/SUMPRODUCT($J45:$AB45,Eksplikatsioon!$O46:$AG46),"")),"")</f>
        <v>0</v>
      </c>
      <c r="AO45" s="31">
        <f>IFERROR(IF($G45=Tabelid!$L$6,$E45*V45,IFERROR($E45*V45/SUM($J45:$AB45)*(Eksplikatsioon!AA46)/SUMPRODUCT($J45:$AB45,Eksplikatsioon!$O46:$AG46),"")),"")</f>
        <v>0</v>
      </c>
      <c r="AP45" s="31">
        <f>IFERROR(IF($G45=Tabelid!$L$6,$E45*W45,IFERROR($E45*W45/SUM($J45:$AB45)*(Eksplikatsioon!AB46)/SUMPRODUCT($J45:$AB45,Eksplikatsioon!$O46:$AG46),"")),"")</f>
        <v>0</v>
      </c>
      <c r="AQ45" s="31">
        <f>IFERROR(IF($G45=Tabelid!$L$6,$E45*X45,IFERROR($E45*X45/SUM($J45:$AB45)*(Eksplikatsioon!AC46)/SUMPRODUCT($J45:$AB45,Eksplikatsioon!$O46:$AG46),"")),"")</f>
        <v>0</v>
      </c>
      <c r="AR45" s="31">
        <f>IFERROR(IF($G45=Tabelid!$L$6,$E45*Y45,IFERROR($E45*Y45/SUM($J45:$AB45)*(Eksplikatsioon!AD46)/SUMPRODUCT($J45:$AB45,Eksplikatsioon!$O46:$AG46),"")),"")</f>
        <v>0</v>
      </c>
      <c r="AS45" s="31">
        <f>IFERROR(IF($G45=Tabelid!$L$6,$E45*Z45,IFERROR($E45*Z45/SUM($J45:$AB45)*(Eksplikatsioon!AE46)/SUMPRODUCT($J45:$AB45,Eksplikatsioon!$O46:$AG46),"")),"")</f>
        <v>0</v>
      </c>
      <c r="AT45" s="31">
        <f>IFERROR(IF($G45=Tabelid!$L$6,$E45*AA45,IFERROR($E45*AA45/SUM($J45:$AB45)*(Eksplikatsioon!AF46)/SUMPRODUCT($J45:$AB45,Eksplikatsioon!$O46:$AG46),"")),"")</f>
        <v>0</v>
      </c>
      <c r="AU45" s="31">
        <f>IFERROR(IF($G45=Tabelid!$L$6,$E45*AB45,IFERROR($E45*AB45/SUM($J45:$AB45)*(Eksplikatsioon!AG46)/SUMPRODUCT($J45:$AB45,Eksplikatsioon!$O46:$AG46),"")),"")</f>
        <v>0</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35">
      <c r="A46" s="23" t="str">
        <f>IF(Eksplikatsioon!A47=0,"",Eksplikatsioon!A47)</f>
        <v>01</v>
      </c>
      <c r="B46" s="60">
        <f>IF(Eksplikatsioon!B47=0,"",Eksplikatsioon!B47)</f>
        <v>138</v>
      </c>
      <c r="C46" s="23" t="str">
        <f>IF(Eksplikatsioon!C47=0,"",Eksplikatsioon!C47)</f>
        <v>ÜÜRITAV PIND</v>
      </c>
      <c r="D46" s="23" t="str">
        <f>IF(Eksplikatsioon!D47=0,"",Eksplikatsioon!D47)</f>
        <v>Töökoda</v>
      </c>
      <c r="E46" s="58">
        <f>IF(Eksplikatsioon!F47=0,"",Eksplikatsioon!F47)</f>
        <v>225.7586</v>
      </c>
      <c r="F46" s="23" t="str">
        <f>IF(Eksplikatsioon!H47=0,"",Eksplikatsioon!H47)</f>
        <v>PÄA 88,81% ja PPA 11,19%</v>
      </c>
      <c r="G46" s="23" t="str">
        <f>IF(Eksplikatsioon!J47=0,"",Eksplikatsioon!J47)</f>
        <v>Ühiskasutuses muu pind (muu)</v>
      </c>
      <c r="H46" s="23" t="str">
        <f>IF(Eksplikatsioon!K47=0,"",Eksplikatsioon!K47)</f>
        <v/>
      </c>
      <c r="I46" s="23" t="str">
        <f>IF(Eksplikatsioon!L47=0,"",Eksplikatsioon!L47)</f>
        <v/>
      </c>
      <c r="J46" s="31">
        <f>IFERROR(IF($G46=Tabelid!$L$6,Eksplikatsioon!O47/SUM(Eksplikatsioon!$O47:'Eksplikatsioon'!$AG47),IF($G46=Tabelid!$L$4,IFERROR(SUMIFS($E:$E,$G:$G,Tabelid!$L$1,$C:$C,Tabelid!$J$4,$H:$H,J$2,$A:$A,$A46)/SUMIFS($E:$E,$G:$G,Tabelid!$L$1,$C:$C,Tabelid!$J$4,$A:$A,$A46),0),IF($G46=Tabelid!$L$5,IFERROR(SUMIFS($E:$E,$G:$G,Tabelid!$L$1,$C:$C,Tabelid!$J$4,$H:$H,J$2)/SUMIFS($E:$E,$G:$G,Tabelid!$L$1,$C:$C,Tabelid!$J$4),0),""))),"")</f>
        <v>0.8881</v>
      </c>
      <c r="K46" s="31">
        <f>IFERROR(IF($G46=Tabelid!$L$6,Eksplikatsioon!P47/SUM(Eksplikatsioon!$O47:'Eksplikatsioon'!$AG47),IF($G46=Tabelid!$L$4,IFERROR(SUMIFS($E:$E,$G:$G,Tabelid!$L$1,$C:$C,Tabelid!$J$4,$H:$H,K$2,$A:$A,$A46)/SUMIFS($E:$E,$G:$G,Tabelid!$L$1,$C:$C,Tabelid!$J$4,$A:$A,$A46),0),IF($G46=Tabelid!$L$5,IFERROR(SUMIFS($E:$E,$G:$G,Tabelid!$L$1,$C:$C,Tabelid!$J$4,$H:$H,K$2)/SUMIFS($E:$E,$G:$G,Tabelid!$L$1,$C:$C,Tabelid!$J$4),0),""))),"")</f>
        <v>0.1119</v>
      </c>
      <c r="L46" s="31">
        <f>IFERROR(IF($G46=Tabelid!$L$6,Eksplikatsioon!Q47/SUM(Eksplikatsioon!$O47:'Eksplikatsioon'!$AG47),IF($G46=Tabelid!$L$4,IFERROR(SUMIFS($E:$E,$G:$G,Tabelid!$L$1,$C:$C,Tabelid!$J$4,$H:$H,L$2,$A:$A,$A46)/SUMIFS($E:$E,$G:$G,Tabelid!$L$1,$C:$C,Tabelid!$J$4,$A:$A,$A46),0),IF($G46=Tabelid!$L$5,IFERROR(SUMIFS($E:$E,$G:$G,Tabelid!$L$1,$C:$C,Tabelid!$J$4,$H:$H,L$2)/SUMIFS($E:$E,$G:$G,Tabelid!$L$1,$C:$C,Tabelid!$J$4),0),""))),"")</f>
        <v>0</v>
      </c>
      <c r="M46" s="31">
        <f>IFERROR(IF($G46=Tabelid!$L$6,Eksplikatsioon!R47/SUM(Eksplikatsioon!$O47:'Eksplikatsioon'!$AG47),IF($G46=Tabelid!$L$4,IFERROR(SUMIFS($E:$E,$G:$G,Tabelid!$L$1,$C:$C,Tabelid!$J$4,$H:$H,M$2,$A:$A,$A46)/SUMIFS($E:$E,$G:$G,Tabelid!$L$1,$C:$C,Tabelid!$J$4,$A:$A,$A46),0),IF($G46=Tabelid!$L$5,IFERROR(SUMIFS($E:$E,$G:$G,Tabelid!$L$1,$C:$C,Tabelid!$J$4,$H:$H,M$2)/SUMIFS($E:$E,$G:$G,Tabelid!$L$1,$C:$C,Tabelid!$J$4),0),""))),"")</f>
        <v>0</v>
      </c>
      <c r="N46" s="31">
        <f>IFERROR(IF($G46=Tabelid!$L$6,Eksplikatsioon!S47/SUM(Eksplikatsioon!$O47:'Eksplikatsioon'!$AG47),IF($G46=Tabelid!$L$4,IFERROR(SUMIFS($E:$E,$G:$G,Tabelid!$L$1,$C:$C,Tabelid!$J$4,$H:$H,N$2,$A:$A,$A46)/SUMIFS($E:$E,$G:$G,Tabelid!$L$1,$C:$C,Tabelid!$J$4,$A:$A,$A46),0),IF($G46=Tabelid!$L$5,IFERROR(SUMIFS($E:$E,$G:$G,Tabelid!$L$1,$C:$C,Tabelid!$J$4,$H:$H,N$2)/SUMIFS($E:$E,$G:$G,Tabelid!$L$1,$C:$C,Tabelid!$J$4),0),""))),"")</f>
        <v>0</v>
      </c>
      <c r="O46" s="31">
        <f>IFERROR(IF($G46=Tabelid!$L$6,Eksplikatsioon!T47/SUM(Eksplikatsioon!$O47:'Eksplikatsioon'!$AG47),IF($G46=Tabelid!$L$4,IFERROR(SUMIFS($E:$E,$G:$G,Tabelid!$L$1,$C:$C,Tabelid!$J$4,$H:$H,O$2,$A:$A,$A46)/SUMIFS($E:$E,$G:$G,Tabelid!$L$1,$C:$C,Tabelid!$J$4,$A:$A,$A46),0),IF($G46=Tabelid!$L$5,IFERROR(SUMIFS($E:$E,$G:$G,Tabelid!$L$1,$C:$C,Tabelid!$J$4,$H:$H,O$2)/SUMIFS($E:$E,$G:$G,Tabelid!$L$1,$C:$C,Tabelid!$J$4),0),""))),"")</f>
        <v>0</v>
      </c>
      <c r="P46" s="31">
        <f>IFERROR(IF($G46=Tabelid!$L$6,Eksplikatsioon!U47/SUM(Eksplikatsioon!$O47:'Eksplikatsioon'!$AG47),IF($G46=Tabelid!$L$4,IFERROR(SUMIFS($E:$E,$G:$G,Tabelid!$L$1,$C:$C,Tabelid!$J$4,$H:$H,P$2,$A:$A,$A46)/SUMIFS($E:$E,$G:$G,Tabelid!$L$1,$C:$C,Tabelid!$J$4,$A:$A,$A46),0),IF($G46=Tabelid!$L$5,IFERROR(SUMIFS($E:$E,$G:$G,Tabelid!$L$1,$C:$C,Tabelid!$J$4,$H:$H,P$2)/SUMIFS($E:$E,$G:$G,Tabelid!$L$1,$C:$C,Tabelid!$J$4),0),""))),"")</f>
        <v>0</v>
      </c>
      <c r="Q46" s="31">
        <f>IFERROR(IF($G46=Tabelid!$L$6,Eksplikatsioon!V47/SUM(Eksplikatsioon!$O47:'Eksplikatsioon'!$AG47),IF($G46=Tabelid!$L$4,IFERROR(SUMIFS($E:$E,$G:$G,Tabelid!$L$1,$C:$C,Tabelid!$J$4,$H:$H,Q$2,$A:$A,$A46)/SUMIFS($E:$E,$G:$G,Tabelid!$L$1,$C:$C,Tabelid!$J$4,$A:$A,$A46),0),IF($G46=Tabelid!$L$5,IFERROR(SUMIFS($E:$E,$G:$G,Tabelid!$L$1,$C:$C,Tabelid!$J$4,$H:$H,Q$2)/SUMIFS($E:$E,$G:$G,Tabelid!$L$1,$C:$C,Tabelid!$J$4),0),""))),"")</f>
        <v>0</v>
      </c>
      <c r="R46" s="31">
        <f>IFERROR(IF($G46=Tabelid!$L$6,Eksplikatsioon!W47/SUM(Eksplikatsioon!$O47:'Eksplikatsioon'!$AG47),IF($G46=Tabelid!$L$4,IFERROR(SUMIFS($E:$E,$G:$G,Tabelid!$L$1,$C:$C,Tabelid!$J$4,$H:$H,R$2,$A:$A,$A46)/SUMIFS($E:$E,$G:$G,Tabelid!$L$1,$C:$C,Tabelid!$J$4,$A:$A,$A46),0),IF($G46=Tabelid!$L$5,IFERROR(SUMIFS($E:$E,$G:$G,Tabelid!$L$1,$C:$C,Tabelid!$J$4,$H:$H,R$2)/SUMIFS($E:$E,$G:$G,Tabelid!$L$1,$C:$C,Tabelid!$J$4),0),""))),"")</f>
        <v>0</v>
      </c>
      <c r="S46" s="31">
        <f>IFERROR(IF($G46=Tabelid!$L$6,Eksplikatsioon!X47/SUM(Eksplikatsioon!$O47:'Eksplikatsioon'!$AG47),IF($G46=Tabelid!$L$4,IFERROR(SUMIFS($E:$E,$G:$G,Tabelid!$L$1,$C:$C,Tabelid!$J$4,$H:$H,S$2,$A:$A,$A46)/SUMIFS($E:$E,$G:$G,Tabelid!$L$1,$C:$C,Tabelid!$J$4,$A:$A,$A46),0),IF($G46=Tabelid!$L$5,IFERROR(SUMIFS($E:$E,$G:$G,Tabelid!$L$1,$C:$C,Tabelid!$J$4,$H:$H,S$2)/SUMIFS($E:$E,$G:$G,Tabelid!$L$1,$C:$C,Tabelid!$J$4),0),""))),"")</f>
        <v>0</v>
      </c>
      <c r="T46" s="31">
        <f>IFERROR(IF($G46=Tabelid!$L$6,Eksplikatsioon!Y47/SUM(Eksplikatsioon!$O47:'Eksplikatsioon'!$AG47),IF($G46=Tabelid!$L$4,IFERROR(SUMIFS($E:$E,$G:$G,Tabelid!$L$1,$C:$C,Tabelid!$J$4,$H:$H,T$2,$A:$A,$A46)/SUMIFS($E:$E,$G:$G,Tabelid!$L$1,$C:$C,Tabelid!$J$4,$A:$A,$A46),0),IF($G46=Tabelid!$L$5,IFERROR(SUMIFS($E:$E,$G:$G,Tabelid!$L$1,$C:$C,Tabelid!$J$4,$H:$H,T$2)/SUMIFS($E:$E,$G:$G,Tabelid!$L$1,$C:$C,Tabelid!$J$4),0),""))),"")</f>
        <v>0</v>
      </c>
      <c r="U46" s="31">
        <f>IFERROR(IF($G46=Tabelid!$L$6,Eksplikatsioon!Z47/SUM(Eksplikatsioon!$O47:'Eksplikatsioon'!$AG47),IF($G46=Tabelid!$L$4,IFERROR(SUMIFS($E:$E,$G:$G,Tabelid!$L$1,$C:$C,Tabelid!$J$4,$H:$H,U$2,$A:$A,$A46)/SUMIFS($E:$E,$G:$G,Tabelid!$L$1,$C:$C,Tabelid!$J$4,$A:$A,$A46),0),IF($G46=Tabelid!$L$5,IFERROR(SUMIFS($E:$E,$G:$G,Tabelid!$L$1,$C:$C,Tabelid!$J$4,$H:$H,U$2)/SUMIFS($E:$E,$G:$G,Tabelid!$L$1,$C:$C,Tabelid!$J$4),0),""))),"")</f>
        <v>0</v>
      </c>
      <c r="V46" s="31">
        <f>IFERROR(IF($G46=Tabelid!$L$6,Eksplikatsioon!AA47/SUM(Eksplikatsioon!$O47:'Eksplikatsioon'!$AG47),IF($G46=Tabelid!$L$4,IFERROR(SUMIFS($E:$E,$G:$G,Tabelid!$L$1,$C:$C,Tabelid!$J$4,$H:$H,V$2,$A:$A,$A46)/SUMIFS($E:$E,$G:$G,Tabelid!$L$1,$C:$C,Tabelid!$J$4,$A:$A,$A46),0),IF($G46=Tabelid!$L$5,IFERROR(SUMIFS($E:$E,$G:$G,Tabelid!$L$1,$C:$C,Tabelid!$J$4,$H:$H,V$2)/SUMIFS($E:$E,$G:$G,Tabelid!$L$1,$C:$C,Tabelid!$J$4),0),""))),"")</f>
        <v>0</v>
      </c>
      <c r="W46" s="31">
        <f>IFERROR(IF($G46=Tabelid!$L$6,Eksplikatsioon!AB47/SUM(Eksplikatsioon!$O47:'Eksplikatsioon'!$AG47),IF($G46=Tabelid!$L$4,IFERROR(SUMIFS($E:$E,$G:$G,Tabelid!$L$1,$C:$C,Tabelid!$J$4,$H:$H,W$2,$A:$A,$A46)/SUMIFS($E:$E,$G:$G,Tabelid!$L$1,$C:$C,Tabelid!$J$4,$A:$A,$A46),0),IF($G46=Tabelid!$L$5,IFERROR(SUMIFS($E:$E,$G:$G,Tabelid!$L$1,$C:$C,Tabelid!$J$4,$H:$H,W$2)/SUMIFS($E:$E,$G:$G,Tabelid!$L$1,$C:$C,Tabelid!$J$4),0),""))),"")</f>
        <v>0</v>
      </c>
      <c r="X46" s="31">
        <f>IFERROR(IF($G46=Tabelid!$L$6,Eksplikatsioon!AC47/SUM(Eksplikatsioon!$O47:'Eksplikatsioon'!$AG47),IF($G46=Tabelid!$L$4,IFERROR(SUMIFS($E:$E,$G:$G,Tabelid!$L$1,$C:$C,Tabelid!$J$4,$H:$H,X$2,$A:$A,$A46)/SUMIFS($E:$E,$G:$G,Tabelid!$L$1,$C:$C,Tabelid!$J$4,$A:$A,$A46),0),IF($G46=Tabelid!$L$5,IFERROR(SUMIFS($E:$E,$G:$G,Tabelid!$L$1,$C:$C,Tabelid!$J$4,$H:$H,X$2)/SUMIFS($E:$E,$G:$G,Tabelid!$L$1,$C:$C,Tabelid!$J$4),0),""))),"")</f>
        <v>0</v>
      </c>
      <c r="Y46" s="31">
        <f>IFERROR(IF($G46=Tabelid!$L$6,Eksplikatsioon!AD47/SUM(Eksplikatsioon!$O47:'Eksplikatsioon'!$AG47),IF($G46=Tabelid!$L$4,IFERROR(SUMIFS($E:$E,$G:$G,Tabelid!$L$1,$C:$C,Tabelid!$J$4,$H:$H,Y$2,$A:$A,$A46)/SUMIFS($E:$E,$G:$G,Tabelid!$L$1,$C:$C,Tabelid!$J$4,$A:$A,$A46),0),IF($G46=Tabelid!$L$5,IFERROR(SUMIFS($E:$E,$G:$G,Tabelid!$L$1,$C:$C,Tabelid!$J$4,$H:$H,Y$2)/SUMIFS($E:$E,$G:$G,Tabelid!$L$1,$C:$C,Tabelid!$J$4),0),""))),"")</f>
        <v>0</v>
      </c>
      <c r="Z46" s="31">
        <f>IFERROR(IF($G46=Tabelid!$L$6,Eksplikatsioon!AE47/SUM(Eksplikatsioon!$O47:'Eksplikatsioon'!$AG47),IF($G46=Tabelid!$L$4,IFERROR(SUMIFS($E:$E,$G:$G,Tabelid!$L$1,$C:$C,Tabelid!$J$4,$H:$H,Z$2,$A:$A,$A46)/SUMIFS($E:$E,$G:$G,Tabelid!$L$1,$C:$C,Tabelid!$J$4,$A:$A,$A46),0),IF($G46=Tabelid!$L$5,IFERROR(SUMIFS($E:$E,$G:$G,Tabelid!$L$1,$C:$C,Tabelid!$J$4,$H:$H,Z$2)/SUMIFS($E:$E,$G:$G,Tabelid!$L$1,$C:$C,Tabelid!$J$4),0),""))),"")</f>
        <v>0</v>
      </c>
      <c r="AA46" s="31">
        <f>IFERROR(IF($G46=Tabelid!$L$6,Eksplikatsioon!AF47/SUM(Eksplikatsioon!$O47:'Eksplikatsioon'!$AG47),IF($G46=Tabelid!$L$4,IFERROR(SUMIFS($E:$E,$G:$G,Tabelid!$L$1,$C:$C,Tabelid!$J$4,$H:$H,AA$2,$A:$A,$A46)/SUMIFS($E:$E,$G:$G,Tabelid!$L$1,$C:$C,Tabelid!$J$4,$A:$A,$A46),0),IF($G46=Tabelid!$L$5,IFERROR(SUMIFS($E:$E,$G:$G,Tabelid!$L$1,$C:$C,Tabelid!$J$4,$H:$H,AA$2)/SUMIFS($E:$E,$G:$G,Tabelid!$L$1,$C:$C,Tabelid!$J$4),0),""))),"")</f>
        <v>0</v>
      </c>
      <c r="AB46" s="31">
        <f>IFERROR(IF($G46=Tabelid!$L$6,Eksplikatsioon!AG47/SUM(Eksplikatsioon!$O47:'Eksplikatsioon'!$AG47),IF($G46=Tabelid!$L$4,IFERROR(SUMIFS($E:$E,$G:$G,Tabelid!$L$1,$C:$C,Tabelid!$J$4,$H:$H,AB$2,$A:$A,$A46)/SUMIFS($E:$E,$G:$G,Tabelid!$L$1,$C:$C,Tabelid!$J$4,$A:$A,$A46),0),IF($G46=Tabelid!$L$5,IFERROR(SUMIFS($E:$E,$G:$G,Tabelid!$L$1,$C:$C,Tabelid!$J$4,$H:$H,AB$2)/SUMIFS($E:$E,$G:$G,Tabelid!$L$1,$C:$C,Tabelid!$J$4),0),""))),"")</f>
        <v>0</v>
      </c>
      <c r="AC46" s="31">
        <f>IFERROR(IF($G46=Tabelid!$L$6,$E46*J46,IFERROR($E46*J46/SUM($J46:$AB46)*(Eksplikatsioon!O47)/SUMPRODUCT($J46:$AB46,Eksplikatsioon!$O47:$AG47),"")),"")</f>
        <v>200.49621266</v>
      </c>
      <c r="AD46" s="31">
        <f>IFERROR(IF($G46=Tabelid!$L$6,$E46*K46,IFERROR($E46*K46/SUM($J46:$AB46)*(Eksplikatsioon!P47)/SUMPRODUCT($J46:$AB46,Eksplikatsioon!$O47:$AG47),"")),"")</f>
        <v>25.26238734</v>
      </c>
      <c r="AE46" s="31">
        <f>IFERROR(IF($G46=Tabelid!$L$6,$E46*L46,IFERROR($E46*L46/SUM($J46:$AB46)*(Eksplikatsioon!Q47)/SUMPRODUCT($J46:$AB46,Eksplikatsioon!$O47:$AG47),"")),"")</f>
        <v>0</v>
      </c>
      <c r="AF46" s="31">
        <f>IFERROR(IF($G46=Tabelid!$L$6,$E46*M46,IFERROR($E46*M46/SUM($J46:$AB46)*(Eksplikatsioon!R47)/SUMPRODUCT($J46:$AB46,Eksplikatsioon!$O47:$AG47),"")),"")</f>
        <v>0</v>
      </c>
      <c r="AG46" s="31">
        <f>IFERROR(IF($G46=Tabelid!$L$6,$E46*N46,IFERROR($E46*N46/SUM($J46:$AB46)*(Eksplikatsioon!S47)/SUMPRODUCT($J46:$AB46,Eksplikatsioon!$O47:$AG47),"")),"")</f>
        <v>0</v>
      </c>
      <c r="AH46" s="31">
        <f>IFERROR(IF($G46=Tabelid!$L$6,$E46*O46,IFERROR($E46*O46/SUM($J46:$AB46)*(Eksplikatsioon!T47)/SUMPRODUCT($J46:$AB46,Eksplikatsioon!$O47:$AG47),"")),"")</f>
        <v>0</v>
      </c>
      <c r="AI46" s="31">
        <f>IFERROR(IF($G46=Tabelid!$L$6,$E46*P46,IFERROR($E46*P46/SUM($J46:$AB46)*(Eksplikatsioon!U47)/SUMPRODUCT($J46:$AB46,Eksplikatsioon!$O47:$AG47),"")),"")</f>
        <v>0</v>
      </c>
      <c r="AJ46" s="31">
        <f>IFERROR(IF($G46=Tabelid!$L$6,$E46*Q46,IFERROR($E46*Q46/SUM($J46:$AB46)*(Eksplikatsioon!V47)/SUMPRODUCT($J46:$AB46,Eksplikatsioon!$O47:$AG47),"")),"")</f>
        <v>0</v>
      </c>
      <c r="AK46" s="31">
        <f>IFERROR(IF($G46=Tabelid!$L$6,$E46*R46,IFERROR($E46*R46/SUM($J46:$AB46)*(Eksplikatsioon!W47)/SUMPRODUCT($J46:$AB46,Eksplikatsioon!$O47:$AG47),"")),"")</f>
        <v>0</v>
      </c>
      <c r="AL46" s="31">
        <f>IFERROR(IF($G46=Tabelid!$L$6,$E46*S46,IFERROR($E46*S46/SUM($J46:$AB46)*(Eksplikatsioon!X47)/SUMPRODUCT($J46:$AB46,Eksplikatsioon!$O47:$AG47),"")),"")</f>
        <v>0</v>
      </c>
      <c r="AM46" s="31">
        <f>IFERROR(IF($G46=Tabelid!$L$6,$E46*T46,IFERROR($E46*T46/SUM($J46:$AB46)*(Eksplikatsioon!Y47)/SUMPRODUCT($J46:$AB46,Eksplikatsioon!$O47:$AG47),"")),"")</f>
        <v>0</v>
      </c>
      <c r="AN46" s="31">
        <f>IFERROR(IF($G46=Tabelid!$L$6,$E46*U46,IFERROR($E46*U46/SUM($J46:$AB46)*(Eksplikatsioon!Z47)/SUMPRODUCT($J46:$AB46,Eksplikatsioon!$O47:$AG47),"")),"")</f>
        <v>0</v>
      </c>
      <c r="AO46" s="31">
        <f>IFERROR(IF($G46=Tabelid!$L$6,$E46*V46,IFERROR($E46*V46/SUM($J46:$AB46)*(Eksplikatsioon!AA47)/SUMPRODUCT($J46:$AB46,Eksplikatsioon!$O47:$AG47),"")),"")</f>
        <v>0</v>
      </c>
      <c r="AP46" s="31">
        <f>IFERROR(IF($G46=Tabelid!$L$6,$E46*W46,IFERROR($E46*W46/SUM($J46:$AB46)*(Eksplikatsioon!AB47)/SUMPRODUCT($J46:$AB46,Eksplikatsioon!$O47:$AG47),"")),"")</f>
        <v>0</v>
      </c>
      <c r="AQ46" s="31">
        <f>IFERROR(IF($G46=Tabelid!$L$6,$E46*X46,IFERROR($E46*X46/SUM($J46:$AB46)*(Eksplikatsioon!AC47)/SUMPRODUCT($J46:$AB46,Eksplikatsioon!$O47:$AG47),"")),"")</f>
        <v>0</v>
      </c>
      <c r="AR46" s="31">
        <f>IFERROR(IF($G46=Tabelid!$L$6,$E46*Y46,IFERROR($E46*Y46/SUM($J46:$AB46)*(Eksplikatsioon!AD47)/SUMPRODUCT($J46:$AB46,Eksplikatsioon!$O47:$AG47),"")),"")</f>
        <v>0</v>
      </c>
      <c r="AS46" s="31">
        <f>IFERROR(IF($G46=Tabelid!$L$6,$E46*Z46,IFERROR($E46*Z46/SUM($J46:$AB46)*(Eksplikatsioon!AE47)/SUMPRODUCT($J46:$AB46,Eksplikatsioon!$O47:$AG47),"")),"")</f>
        <v>0</v>
      </c>
      <c r="AT46" s="31">
        <f>IFERROR(IF($G46=Tabelid!$L$6,$E46*AA46,IFERROR($E46*AA46/SUM($J46:$AB46)*(Eksplikatsioon!AF47)/SUMPRODUCT($J46:$AB46,Eksplikatsioon!$O47:$AG47),"")),"")</f>
        <v>0</v>
      </c>
      <c r="AU46" s="31">
        <f>IFERROR(IF($G46=Tabelid!$L$6,$E46*AB46,IFERROR($E46*AB46/SUM($J46:$AB46)*(Eksplikatsioon!AG47)/SUMPRODUCT($J46:$AB46,Eksplikatsioon!$O47:$AG47),"")),"")</f>
        <v>0</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35">
      <c r="A47" s="23" t="str">
        <f>IF(Eksplikatsioon!A48=0,"",Eksplikatsioon!A48)</f>
        <v>01</v>
      </c>
      <c r="B47" s="60">
        <f>IF(Eksplikatsioon!B48=0,"",Eksplikatsioon!B48)</f>
        <v>139</v>
      </c>
      <c r="C47" s="23" t="str">
        <f>IF(Eksplikatsioon!C48=0,"",Eksplikatsioon!C48)</f>
        <v>ÜÜRITAV PIND</v>
      </c>
      <c r="D47" s="23" t="str">
        <f>IF(Eksplikatsioon!D48=0,"",Eksplikatsioon!D48)</f>
        <v>Klassiruum</v>
      </c>
      <c r="E47" s="58">
        <f>IF(Eksplikatsioon!F48=0,"",Eksplikatsioon!F48)</f>
        <v>59.835599999999999</v>
      </c>
      <c r="F47" s="23" t="str">
        <f>IF(Eksplikatsioon!H48=0,"",Eksplikatsioon!H48)</f>
        <v/>
      </c>
      <c r="G47" s="23" t="str">
        <f>IF(Eksplikatsioon!J48=0,"",Eksplikatsioon!J48)</f>
        <v>Ainukasutuses pind</v>
      </c>
      <c r="H47" s="23" t="str">
        <f>IF(Eksplikatsioon!K48=0,"",Eksplikatsioon!K48)</f>
        <v>PÄÄSTEAMET</v>
      </c>
      <c r="I47" s="23" t="str">
        <f>IF(Eksplikatsioon!L48=0,"",Eksplikatsioon!L48)</f>
        <v>KAARLIMOISATEE4_01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35">
      <c r="A48" s="23" t="str">
        <f>IF(Eksplikatsioon!A49=0,"",Eksplikatsioon!A49)</f>
        <v>01</v>
      </c>
      <c r="B48" s="60" t="str">
        <f>IF(Eksplikatsioon!B49=0,"",Eksplikatsioon!B49)</f>
        <v>139/1</v>
      </c>
      <c r="C48" s="23" t="str">
        <f>IF(Eksplikatsioon!C49=0,"",Eksplikatsioon!C49)</f>
        <v>ÜÜRITAV PIND</v>
      </c>
      <c r="D48" s="23" t="str">
        <f>IF(Eksplikatsioon!D49=0,"",Eksplikatsioon!D49)</f>
        <v>Server</v>
      </c>
      <c r="E48" s="58">
        <f>IF(Eksplikatsioon!F49=0,"",Eksplikatsioon!F49)</f>
        <v>7.1582999999999997</v>
      </c>
      <c r="F48" s="23" t="str">
        <f>IF(Eksplikatsioon!H49=0,"",Eksplikatsioon!H49)</f>
        <v/>
      </c>
      <c r="G48" s="23" t="str">
        <f>IF(Eksplikatsioon!J49=0,"",Eksplikatsioon!J49)</f>
        <v>Ainukasutuses pind</v>
      </c>
      <c r="H48" s="23" t="str">
        <f>IF(Eksplikatsioon!K49=0,"",Eksplikatsioon!K49)</f>
        <v>PÄÄSTEAMET</v>
      </c>
      <c r="I48" s="23" t="str">
        <f>IF(Eksplikatsioon!L49=0,"",Eksplikatsioon!L49)</f>
        <v>KAARLIMOISATEE4_01</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140</v>
      </c>
      <c r="C49" s="23" t="str">
        <f>IF(Eksplikatsioon!C50=0,"",Eksplikatsioon!C50)</f>
        <v>ÜÜRITAV PIND</v>
      </c>
      <c r="D49" s="23" t="str">
        <f>IF(Eksplikatsioon!D50=0,"",Eksplikatsioon!D50)</f>
        <v>Hoiuruum/Ladu</v>
      </c>
      <c r="E49" s="58">
        <f>IF(Eksplikatsioon!F50=0,"",Eksplikatsioon!F50)</f>
        <v>19.8413</v>
      </c>
      <c r="F49" s="23" t="str">
        <f>IF(Eksplikatsioon!H50=0,"",Eksplikatsioon!H50)</f>
        <v/>
      </c>
      <c r="G49" s="23" t="str">
        <f>IF(Eksplikatsioon!J50=0,"",Eksplikatsioon!J50)</f>
        <v>Ainukasutuses pind</v>
      </c>
      <c r="H49" s="23" t="str">
        <f>IF(Eksplikatsioon!K50=0,"",Eksplikatsioon!K50)</f>
        <v>POLITSEI- JA PIIRIVALVEAMET</v>
      </c>
      <c r="I49" s="23" t="str">
        <f>IF(Eksplikatsioon!L50=0,"",Eksplikatsioon!L50)</f>
        <v>KAARLIMOISATEE4_02</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141</v>
      </c>
      <c r="C50" s="23" t="str">
        <f>IF(Eksplikatsioon!C51=0,"",Eksplikatsioon!C51)</f>
        <v>TEHNOPIND</v>
      </c>
      <c r="D50" s="23" t="str">
        <f>IF(Eksplikatsioon!D51=0,"",Eksplikatsioon!D51)</f>
        <v>Soojasõlm</v>
      </c>
      <c r="E50" s="58">
        <f>IF(Eksplikatsioon!F51=0,"",Eksplikatsioon!F51)</f>
        <v>20.8</v>
      </c>
      <c r="F50" s="23" t="str">
        <f>IF(Eksplikatsioon!H51=0,"",Eksplikatsioon!H51)</f>
        <v>Veemõõdusõlmega</v>
      </c>
      <c r="G50" s="23" t="str">
        <f>IF(Eksplikatsioon!J51=0,"",Eksplikatsioon!J51)</f>
        <v/>
      </c>
      <c r="H50" s="23" t="str">
        <f>IF(Eksplikatsioon!K51=0,"",Eksplikatsioon!K51)</f>
        <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142</v>
      </c>
      <c r="C51" s="23" t="str">
        <f>IF(Eksplikatsioon!C52=0,"",Eksplikatsioon!C52)</f>
        <v>ÜÜRITAV PIND</v>
      </c>
      <c r="D51" s="23" t="str">
        <f>IF(Eksplikatsioon!D52=0,"",Eksplikatsioon!D52)</f>
        <v>Pesuruum</v>
      </c>
      <c r="E51" s="58">
        <f>IF(Eksplikatsioon!F52=0,"",Eksplikatsioon!F52)</f>
        <v>14</v>
      </c>
      <c r="F51" s="23" t="str">
        <f>IF(Eksplikatsioon!H52=0,"",Eksplikatsioon!H52)</f>
        <v/>
      </c>
      <c r="G51" s="23" t="str">
        <f>IF(Eksplikatsioon!J52=0,"",Eksplikatsioon!J52)</f>
        <v>Ainukasutuses pind</v>
      </c>
      <c r="H51" s="23" t="str">
        <f>IF(Eksplikatsioon!K52=0,"",Eksplikatsioon!K52)</f>
        <v>POLITSEI- JA PIIRIVALVEAMET</v>
      </c>
      <c r="I51" s="23" t="str">
        <f>IF(Eksplikatsioon!L52=0,"",Eksplikatsioon!L52)</f>
        <v>KAARLIMOISATEE4_02</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143</v>
      </c>
      <c r="C52" s="23" t="str">
        <f>IF(Eksplikatsioon!C53=0,"",Eksplikatsioon!C53)</f>
        <v>ÜÜRITAV PIND</v>
      </c>
      <c r="D52" s="23" t="str">
        <f>IF(Eksplikatsioon!D53=0,"",Eksplikatsioon!D53)</f>
        <v>WC</v>
      </c>
      <c r="E52" s="58">
        <f>IF(Eksplikatsioon!F53=0,"",Eksplikatsioon!F53)</f>
        <v>3.1</v>
      </c>
      <c r="F52" s="23" t="str">
        <f>IF(Eksplikatsioon!H53=0,"",Eksplikatsioon!H53)</f>
        <v/>
      </c>
      <c r="G52" s="23" t="str">
        <f>IF(Eksplikatsioon!J53=0,"",Eksplikatsioon!J53)</f>
        <v>Ainukasutuses pind</v>
      </c>
      <c r="H52" s="23" t="str">
        <f>IF(Eksplikatsioon!K53=0,"",Eksplikatsioon!K53)</f>
        <v>POLITSEI- JA PIIRIVALVEAMET</v>
      </c>
      <c r="I52" s="23" t="str">
        <f>IF(Eksplikatsioon!L53=0,"",Eksplikatsioon!L53)</f>
        <v>KAARLIMOISATEE4_02</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35">
      <c r="A53" s="23" t="str">
        <f>IF(Eksplikatsioon!A54=0,"",Eksplikatsioon!A54)</f>
        <v>01</v>
      </c>
      <c r="B53" s="60">
        <f>IF(Eksplikatsioon!B54=0,"",Eksplikatsioon!B54)</f>
        <v>144</v>
      </c>
      <c r="C53" s="23" t="str">
        <f>IF(Eksplikatsioon!C54=0,"",Eksplikatsioon!C54)</f>
        <v>ÜÜRITAV PIND</v>
      </c>
      <c r="D53" s="23" t="str">
        <f>IF(Eksplikatsioon!D54=0,"",Eksplikatsioon!D54)</f>
        <v>WC</v>
      </c>
      <c r="E53" s="58">
        <f>IF(Eksplikatsioon!F54=0,"",Eksplikatsioon!F54)</f>
        <v>2.1</v>
      </c>
      <c r="F53" s="23" t="str">
        <f>IF(Eksplikatsioon!H54=0,"",Eksplikatsioon!H54)</f>
        <v/>
      </c>
      <c r="G53" s="23" t="str">
        <f>IF(Eksplikatsioon!J54=0,"",Eksplikatsioon!J54)</f>
        <v>Ainukasutuses pind</v>
      </c>
      <c r="H53" s="23" t="str">
        <f>IF(Eksplikatsioon!K54=0,"",Eksplikatsioon!K54)</f>
        <v>POLITSEI- JA PIIRIVALVEAMET</v>
      </c>
      <c r="I53" s="23" t="str">
        <f>IF(Eksplikatsioon!L54=0,"",Eksplikatsioon!L54)</f>
        <v>KAARLIMOISATEE4_02</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145</v>
      </c>
      <c r="C54" s="23" t="str">
        <f>IF(Eksplikatsioon!C55=0,"",Eksplikatsioon!C55)</f>
        <v>ÜÜRITAV PIND</v>
      </c>
      <c r="D54" s="23" t="str">
        <f>IF(Eksplikatsioon!D55=0,"",Eksplikatsioon!D55)</f>
        <v>WC</v>
      </c>
      <c r="E54" s="58">
        <f>IF(Eksplikatsioon!F55=0,"",Eksplikatsioon!F55)</f>
        <v>2.1</v>
      </c>
      <c r="F54" s="23" t="str">
        <f>IF(Eksplikatsioon!H55=0,"",Eksplikatsioon!H55)</f>
        <v/>
      </c>
      <c r="G54" s="23" t="str">
        <f>IF(Eksplikatsioon!J55=0,"",Eksplikatsioon!J55)</f>
        <v>Ainukasutuses pind</v>
      </c>
      <c r="H54" s="23" t="str">
        <f>IF(Eksplikatsioon!K55=0,"",Eksplikatsioon!K55)</f>
        <v>POLITSEI- JA PIIRIVALVEAMET</v>
      </c>
      <c r="I54" s="23" t="str">
        <f>IF(Eksplikatsioon!L55=0,"",Eksplikatsioon!L55)</f>
        <v>KAARLIMOISATEE4_02</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146</v>
      </c>
      <c r="C55" s="23" t="str">
        <f>IF(Eksplikatsioon!C56=0,"",Eksplikatsioon!C56)</f>
        <v>ÜÜRITAV PIND</v>
      </c>
      <c r="D55" s="23" t="str">
        <f>IF(Eksplikatsioon!D56=0,"",Eksplikatsioon!D56)</f>
        <v>Töökoda</v>
      </c>
      <c r="E55" s="58">
        <f>IF(Eksplikatsioon!F56=0,"",Eksplikatsioon!F56)</f>
        <v>230.81309999999999</v>
      </c>
      <c r="F55" s="23" t="str">
        <f>IF(Eksplikatsioon!H56=0,"",Eksplikatsioon!H56)</f>
        <v/>
      </c>
      <c r="G55" s="23" t="str">
        <f>IF(Eksplikatsioon!J56=0,"",Eksplikatsioon!J56)</f>
        <v>Ainukasutuses pind</v>
      </c>
      <c r="H55" s="23" t="str">
        <f>IF(Eksplikatsioon!K56=0,"",Eksplikatsioon!K56)</f>
        <v>POLITSEI- JA PIIRIVALVEAMET</v>
      </c>
      <c r="I55" s="23" t="str">
        <f>IF(Eksplikatsioon!L56=0,"",Eksplikatsioon!L56)</f>
        <v>KAARLIMOISATEE4_02</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f>IF(Eksplikatsioon!B57=0,"",Eksplikatsioon!B57)</f>
        <v>147</v>
      </c>
      <c r="C56" s="23" t="str">
        <f>IF(Eksplikatsioon!C57=0,"",Eksplikatsioon!C57)</f>
        <v>ÜÜRITAV PIND</v>
      </c>
      <c r="D56" s="23" t="str">
        <f>IF(Eksplikatsioon!D57=0,"",Eksplikatsioon!D57)</f>
        <v>Garderoob</v>
      </c>
      <c r="E56" s="58">
        <f>IF(Eksplikatsioon!F57=0,"",Eksplikatsioon!F57)</f>
        <v>57.1</v>
      </c>
      <c r="F56" s="23" t="str">
        <f>IF(Eksplikatsioon!H57=0,"",Eksplikatsioon!H57)</f>
        <v/>
      </c>
      <c r="G56" s="23" t="str">
        <f>IF(Eksplikatsioon!J57=0,"",Eksplikatsioon!J57)</f>
        <v>Ainukasutuses pind</v>
      </c>
      <c r="H56" s="23" t="str">
        <f>IF(Eksplikatsioon!K57=0,"",Eksplikatsioon!K57)</f>
        <v>POLITSEI- JA PIIRIVALVEAMET</v>
      </c>
      <c r="I56" s="23" t="str">
        <f>IF(Eksplikatsioon!L57=0,"",Eksplikatsioon!L57)</f>
        <v>KAARLIMOISATEE4_02</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f>IF(Eksplikatsioon!B58=0,"",Eksplikatsioon!B58)</f>
        <v>148</v>
      </c>
      <c r="C57" s="23" t="str">
        <f>IF(Eksplikatsioon!C58=0,"",Eksplikatsioon!C58)</f>
        <v>ÜÜRITAV PIND</v>
      </c>
      <c r="D57" s="23" t="str">
        <f>IF(Eksplikatsioon!D58=0,"",Eksplikatsioon!D58)</f>
        <v>Eesruum</v>
      </c>
      <c r="E57" s="58">
        <f>IF(Eksplikatsioon!F58=0,"",Eksplikatsioon!F58)</f>
        <v>18</v>
      </c>
      <c r="F57" s="23" t="str">
        <f>IF(Eksplikatsioon!H58=0,"",Eksplikatsioon!H58)</f>
        <v/>
      </c>
      <c r="G57" s="23" t="str">
        <f>IF(Eksplikatsioon!J58=0,"",Eksplikatsioon!J58)</f>
        <v>Ainukasutuses pind</v>
      </c>
      <c r="H57" s="23" t="str">
        <f>IF(Eksplikatsioon!K58=0,"",Eksplikatsioon!K58)</f>
        <v>POLITSEI- JA PIIRIVALVEAMET</v>
      </c>
      <c r="I57" s="23" t="str">
        <f>IF(Eksplikatsioon!L58=0,"",Eksplikatsioon!L58)</f>
        <v>KAARLIMOISATEE4_02</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f>IF(Eksplikatsioon!B59=0,"",Eksplikatsioon!B59)</f>
        <v>149</v>
      </c>
      <c r="C58" s="23" t="str">
        <f>IF(Eksplikatsioon!C59=0,"",Eksplikatsioon!C59)</f>
        <v>ÜÜRITAV PIND</v>
      </c>
      <c r="D58" s="23" t="str">
        <f>IF(Eksplikatsioon!D59=0,"",Eksplikatsioon!D59)</f>
        <v>Klassiruum</v>
      </c>
      <c r="E58" s="58">
        <f>IF(Eksplikatsioon!F59=0,"",Eksplikatsioon!F59)</f>
        <v>64.7</v>
      </c>
      <c r="F58" s="23" t="str">
        <f>IF(Eksplikatsioon!H59=0,"",Eksplikatsioon!H59)</f>
        <v/>
      </c>
      <c r="G58" s="23" t="str">
        <f>IF(Eksplikatsioon!J59=0,"",Eksplikatsioon!J59)</f>
        <v>Ainukasutuses pind</v>
      </c>
      <c r="H58" s="23" t="str">
        <f>IF(Eksplikatsioon!K59=0,"",Eksplikatsioon!K59)</f>
        <v>POLITSEI- JA PIIRIVALVEAMET</v>
      </c>
      <c r="I58" s="23" t="str">
        <f>IF(Eksplikatsioon!L59=0,"",Eksplikatsioon!L59)</f>
        <v>KAARLIMOISATEE4_02</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f>IF(Eksplikatsioon!B60=0,"",Eksplikatsioon!B60)</f>
        <v>150</v>
      </c>
      <c r="C59" s="23" t="str">
        <f>IF(Eksplikatsioon!C60=0,"",Eksplikatsioon!C60)</f>
        <v>ÜÜRITAV PIND</v>
      </c>
      <c r="D59" s="23" t="str">
        <f>IF(Eksplikatsioon!D60=0,"",Eksplikatsioon!D60)</f>
        <v>Klassiruum</v>
      </c>
      <c r="E59" s="58">
        <f>IF(Eksplikatsioon!F60=0,"",Eksplikatsioon!F60)</f>
        <v>68.430400000000006</v>
      </c>
      <c r="F59" s="23" t="str">
        <f>IF(Eksplikatsioon!H60=0,"",Eksplikatsioon!H60)</f>
        <v/>
      </c>
      <c r="G59" s="23" t="str">
        <f>IF(Eksplikatsioon!J60=0,"",Eksplikatsioon!J60)</f>
        <v>Ainukasutuses pind</v>
      </c>
      <c r="H59" s="23" t="str">
        <f>IF(Eksplikatsioon!K60=0,"",Eksplikatsioon!K60)</f>
        <v>POLITSEI- JA PIIRIVALVEAMET</v>
      </c>
      <c r="I59" s="23" t="str">
        <f>IF(Eksplikatsioon!L60=0,"",Eksplikatsioon!L60)</f>
        <v>KAARLIMOISATEE4_02</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f>IF(Eksplikatsioon!B61=0,"",Eksplikatsioon!B61)</f>
        <v>152</v>
      </c>
      <c r="C60" s="23" t="str">
        <f>IF(Eksplikatsioon!C61=0,"",Eksplikatsioon!C61)</f>
        <v>ÜÜRITAV PIND</v>
      </c>
      <c r="D60" s="23" t="str">
        <f>IF(Eksplikatsioon!D61=0,"",Eksplikatsioon!D61)</f>
        <v>Klassiruum</v>
      </c>
      <c r="E60" s="58">
        <f>IF(Eksplikatsioon!F61=0,"",Eksplikatsioon!F61)</f>
        <v>83.586299999999994</v>
      </c>
      <c r="F60" s="23" t="str">
        <f>IF(Eksplikatsioon!H61=0,"",Eksplikatsioon!H61)</f>
        <v/>
      </c>
      <c r="G60" s="23" t="str">
        <f>IF(Eksplikatsioon!J61=0,"",Eksplikatsioon!J61)</f>
        <v>Ainukasutuses pind</v>
      </c>
      <c r="H60" s="23" t="str">
        <f>IF(Eksplikatsioon!K61=0,"",Eksplikatsioon!K61)</f>
        <v>POLITSEI- JA PIIRIVALVEAMET</v>
      </c>
      <c r="I60" s="23" t="str">
        <f>IF(Eksplikatsioon!L61=0,"",Eksplikatsioon!L61)</f>
        <v>KAARLIMOISATEE4_02</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f>IF(Eksplikatsioon!B62=0,"",Eksplikatsioon!B62)</f>
        <v>153</v>
      </c>
      <c r="C61" s="23" t="str">
        <f>IF(Eksplikatsioon!C62=0,"",Eksplikatsioon!C62)</f>
        <v>TEHNOPIND</v>
      </c>
      <c r="D61" s="23" t="str">
        <f>IF(Eksplikatsioon!D62=0,"",Eksplikatsioon!D62)</f>
        <v>Vent ruum</v>
      </c>
      <c r="E61" s="58">
        <f>IF(Eksplikatsioon!F62=0,"",Eksplikatsioon!F62)</f>
        <v>30.8</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154</v>
      </c>
      <c r="C62" s="23" t="str">
        <f>IF(Eksplikatsioon!C63=0,"",Eksplikatsioon!C63)</f>
        <v>ÜÜRITAV PIND</v>
      </c>
      <c r="D62" s="23" t="str">
        <f>IF(Eksplikatsioon!D63=0,"",Eksplikatsioon!D63)</f>
        <v>Hoiuruum/Ladu</v>
      </c>
      <c r="E62" s="58">
        <f>IF(Eksplikatsioon!F63=0,"",Eksplikatsioon!F63)</f>
        <v>71.7</v>
      </c>
      <c r="F62" s="23" t="str">
        <f>IF(Eksplikatsioon!H63=0,"",Eksplikatsioon!H63)</f>
        <v/>
      </c>
      <c r="G62" s="23" t="str">
        <f>IF(Eksplikatsioon!J63=0,"",Eksplikatsioon!J63)</f>
        <v>Ainukasutuses pind</v>
      </c>
      <c r="H62" s="23" t="str">
        <f>IF(Eksplikatsioon!K63=0,"",Eksplikatsioon!K63)</f>
        <v>POLITSEI- JA PIIRIVALVEAMET</v>
      </c>
      <c r="I62" s="23" t="str">
        <f>IF(Eksplikatsioon!L63=0,"",Eksplikatsioon!L63)</f>
        <v>KAARLIMOISATEE4_02</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f>IF(Eksplikatsioon!B64=0,"",Eksplikatsioon!B64)</f>
        <v>155</v>
      </c>
      <c r="C63" s="23" t="str">
        <f>IF(Eksplikatsioon!C64=0,"",Eksplikatsioon!C64)</f>
        <v>ÜÜRITAV PIND</v>
      </c>
      <c r="D63" s="23" t="str">
        <f>IF(Eksplikatsioon!D64=0,"",Eksplikatsioon!D64)</f>
        <v>Koridor</v>
      </c>
      <c r="E63" s="58">
        <f>IF(Eksplikatsioon!F64=0,"",Eksplikatsioon!F64)</f>
        <v>48.646900000000002</v>
      </c>
      <c r="F63" s="23" t="str">
        <f>IF(Eksplikatsioon!H64=0,"",Eksplikatsioon!H64)</f>
        <v/>
      </c>
      <c r="G63" s="23" t="str">
        <f>IF(Eksplikatsioon!J64=0,"",Eksplikatsioon!J64)</f>
        <v>Ainukasutuses pind</v>
      </c>
      <c r="H63" s="23" t="str">
        <f>IF(Eksplikatsioon!K64=0,"",Eksplikatsioon!K64)</f>
        <v>POLITSEI- JA PIIRIVALVEAMET</v>
      </c>
      <c r="I63" s="23" t="str">
        <f>IF(Eksplikatsioon!L64=0,"",Eksplikatsioon!L64)</f>
        <v>KAARLIMOISATEE4_02</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35">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35">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35">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35">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35">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35">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35">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3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3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3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3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3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3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3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3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3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3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3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3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3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3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3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3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3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3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3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3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3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3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3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3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3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3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3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3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3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3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3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3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3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3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3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3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3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3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3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3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3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3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3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3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3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3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3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3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3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3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3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B8h90kXQcgY2WbgvDyvX6EFlcZ94/S9xTHwrvrJxc1Xo1gySjiZW/OZ51vCLD7LUvf0F0Gy/lfgA4P/K6SG8Fw==" saltValue="MajKyxwAcXyDo29FB0659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31" sqref="B31"/>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16</v>
      </c>
      <c r="B1" s="49" t="s">
        <v>17</v>
      </c>
    </row>
    <row r="2" spans="1:3" x14ac:dyDescent="0.35">
      <c r="A2" s="8" t="s">
        <v>18</v>
      </c>
      <c r="B2" s="49" t="s">
        <v>19</v>
      </c>
    </row>
    <row r="3" spans="1:3" x14ac:dyDescent="0.35">
      <c r="A3" s="8" t="s">
        <v>20</v>
      </c>
      <c r="B3" s="49" t="s">
        <v>21</v>
      </c>
    </row>
    <row r="4" spans="1:3" x14ac:dyDescent="0.35">
      <c r="A4" s="8" t="s">
        <v>22</v>
      </c>
      <c r="B4" s="65"/>
    </row>
    <row r="5" spans="1:3" x14ac:dyDescent="0.35">
      <c r="A5" s="8" t="s">
        <v>23</v>
      </c>
      <c r="B5" s="49" t="s">
        <v>24</v>
      </c>
    </row>
    <row r="6" spans="1:3" x14ac:dyDescent="0.35">
      <c r="A6" s="8" t="s">
        <v>25</v>
      </c>
      <c r="B6" s="49" t="s">
        <v>26</v>
      </c>
    </row>
    <row r="7" spans="1:3" x14ac:dyDescent="0.35">
      <c r="A7" s="8" t="s">
        <v>27</v>
      </c>
      <c r="B7" s="50">
        <v>43220</v>
      </c>
      <c r="C7" s="26"/>
    </row>
    <row r="11" spans="1:3" x14ac:dyDescent="0.35">
      <c r="A11" s="10" t="s">
        <v>28</v>
      </c>
      <c r="B11" s="10" t="s">
        <v>29</v>
      </c>
      <c r="C11" s="11"/>
    </row>
    <row r="12" spans="1:3" ht="16.5" x14ac:dyDescent="0.35">
      <c r="A12" s="11" t="s">
        <v>30</v>
      </c>
      <c r="B12" s="51">
        <f>Eksplikatsioon_summad!B4</f>
        <v>3564.6</v>
      </c>
      <c r="C12" s="11"/>
    </row>
    <row r="13" spans="1:3" ht="16.5" x14ac:dyDescent="0.35">
      <c r="A13" s="11" t="s">
        <v>31</v>
      </c>
      <c r="B13" s="51">
        <f>Eksplikatsioon_summad!B5</f>
        <v>3418.2256999999991</v>
      </c>
      <c r="C13" s="11"/>
    </row>
    <row r="14" spans="1:3" ht="16.5" x14ac:dyDescent="0.35">
      <c r="A14" s="11" t="s">
        <v>32</v>
      </c>
      <c r="B14" s="51">
        <f>Eksplikatsioon_summad!B6</f>
        <v>3353.5</v>
      </c>
      <c r="C14" s="11"/>
    </row>
    <row r="15" spans="1:3" ht="16.5" x14ac:dyDescent="0.35">
      <c r="A15" s="11" t="s">
        <v>33</v>
      </c>
      <c r="B15" s="51">
        <f>Eksplikatsioon_summad!B7</f>
        <v>3321.825699999999</v>
      </c>
      <c r="C15" s="11"/>
    </row>
    <row r="16" spans="1:3" ht="16.5" x14ac:dyDescent="0.35">
      <c r="A16" s="11" t="s">
        <v>34</v>
      </c>
      <c r="B16" s="54">
        <f>Eksplikatsioon_summad!B8</f>
        <v>3484</v>
      </c>
    </row>
    <row r="17" spans="1:2" ht="16.5" x14ac:dyDescent="0.35">
      <c r="A17" s="11" t="s">
        <v>35</v>
      </c>
      <c r="B17" s="54">
        <f>Eksplikatsioon_summad!B9</f>
        <v>3564.6</v>
      </c>
    </row>
    <row r="18" spans="1:2" ht="16.5" x14ac:dyDescent="0.35">
      <c r="A18" s="48" t="s">
        <v>36</v>
      </c>
      <c r="B18" s="54">
        <f>Eksplikatsioon_summad!B10</f>
        <v>21672.799999999999</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election activeCell="A27" sqref="A27"/>
    </sheetView>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18</v>
      </c>
      <c r="B1" s="55" t="str">
        <f>IF('Hoone üldandmed'!B2="","",'Hoone üldandmed'!B2)</f>
        <v xml:space="preserve">Jõgeva maakond, Põltsamaa vald, Väike-Kamari küla, Kaarlimõisa tee 4 </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31" x14ac:dyDescent="0.35">
      <c r="A3" s="10" t="s">
        <v>38</v>
      </c>
    </row>
    <row r="4" spans="1:31" x14ac:dyDescent="0.35">
      <c r="A4" s="21" t="s">
        <v>39</v>
      </c>
      <c r="B4" s="56">
        <v>3564.6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40</v>
      </c>
      <c r="B5" s="51">
        <f>SUMIF(A:A,"Korruse netopind (KNP):",B:B)</f>
        <v>3418.2256999999991</v>
      </c>
    </row>
    <row r="6" spans="1:31" x14ac:dyDescent="0.35">
      <c r="A6" s="21" t="s">
        <v>41</v>
      </c>
      <c r="B6" s="51">
        <f>SUMIF(A:A,"Korruse suletud netopind (KSNP):",B:B)</f>
        <v>3353.5</v>
      </c>
    </row>
    <row r="7" spans="1:31" x14ac:dyDescent="0.35">
      <c r="A7" s="21" t="s">
        <v>42</v>
      </c>
      <c r="B7" s="51">
        <f>SUMIF(A:A,"Korruse üüritav pind (KÜP):",B:B)</f>
        <v>3321.825699999999</v>
      </c>
    </row>
    <row r="8" spans="1:31" x14ac:dyDescent="0.35">
      <c r="A8" s="21" t="s">
        <v>43</v>
      </c>
      <c r="B8" s="51">
        <f>SUMIF(A:A,"Korruse kasulik pind (KKP):",B:B)</f>
        <v>3484</v>
      </c>
    </row>
    <row r="9" spans="1:31" x14ac:dyDescent="0.35">
      <c r="A9" s="21" t="s">
        <v>44</v>
      </c>
      <c r="B9" s="51">
        <f>SUMIF(A:A,"Korruse brutopind (KBP):",B:B)</f>
        <v>3564.6</v>
      </c>
    </row>
    <row r="10" spans="1:31" x14ac:dyDescent="0.35">
      <c r="A10" s="21" t="s">
        <v>45</v>
      </c>
      <c r="B10" s="56">
        <v>21672.799999999999</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1. Korrus</v>
      </c>
      <c r="AC13" s="23">
        <f>IFERROR(IF(FIND(".",A13)=3,LEFT(A13,2),LEFT(A13,1))*1,"")</f>
        <v>1</v>
      </c>
      <c r="AE13" s="20"/>
    </row>
    <row r="14" spans="1:31" x14ac:dyDescent="0.35">
      <c r="A14" s="21" t="str">
        <f>IF(A13="","",Tabelid!D2)</f>
        <v>Korruse üüritav pind (KÜP):</v>
      </c>
      <c r="B14" s="51">
        <f>IF(A14="","",SUMIFS(Eksplikatsioon!F:F,Eksplikatsioon!A:A,AC14,Eksplikatsioon!C:C,Tabelid!E2))</f>
        <v>3321.825699999999</v>
      </c>
      <c r="AC14" s="23">
        <f>AC13</f>
        <v>1</v>
      </c>
    </row>
    <row r="15" spans="1:31" x14ac:dyDescent="0.35">
      <c r="A15" s="21" t="str">
        <f>IF(A14="","",Tabelid!D3)</f>
        <v>Korruse vertikaalsete ühendusteede pind (KÜTP):</v>
      </c>
      <c r="B15" s="51">
        <f>IF(A15="","",SUMIFS(Eksplikatsioon!F:F,Eksplikatsioon!A:A,AC15,Eksplikatsioon!C:C,Tabelid!E3))</f>
        <v>0</v>
      </c>
      <c r="D15" s="41"/>
      <c r="AC15" s="23">
        <f t="shared" ref="AC15:AC22" si="0">AC14</f>
        <v>1</v>
      </c>
    </row>
    <row r="16" spans="1:31" x14ac:dyDescent="0.35">
      <c r="A16" s="21" t="str">
        <f>IF(A15="","",Tabelid!D4)</f>
        <v>Korruse tehnopind (KTRP):</v>
      </c>
      <c r="B16" s="51">
        <f>IF(A16="","",SUMIFS(Eksplikatsioon!F:F,Eksplikatsioon!A:A,AC16,Eksplikatsioon!C:C,Tabelid!E4))</f>
        <v>96.4</v>
      </c>
      <c r="D16" s="41"/>
      <c r="AC16" s="23">
        <f t="shared" si="0"/>
        <v>1</v>
      </c>
    </row>
    <row r="17" spans="1:29" x14ac:dyDescent="0.35">
      <c r="A17" s="21" t="str">
        <f>IF(A16="","",Tabelid!D5)</f>
        <v>Korruse netopind (KNP):</v>
      </c>
      <c r="B17" s="51">
        <f>IF(A17="","",SUM(B14:B16)+B22)</f>
        <v>3418.2256999999991</v>
      </c>
      <c r="D17" s="41"/>
      <c r="E17" s="28"/>
      <c r="AC17" s="23">
        <f t="shared" si="0"/>
        <v>1</v>
      </c>
    </row>
    <row r="18" spans="1:29" x14ac:dyDescent="0.35">
      <c r="A18" s="21" t="str">
        <f>IF(A17="","",Tabelid!D6)</f>
        <v>Korruse suletud netopind (KSNP):</v>
      </c>
      <c r="B18" s="51">
        <f>IF(A18="","",SUMIFS(Eksplikatsioon!G:G,Eksplikatsioon!A:A,AC18))</f>
        <v>3353.5</v>
      </c>
      <c r="D18" s="41"/>
      <c r="AC18" s="23">
        <f>AC17</f>
        <v>1</v>
      </c>
    </row>
    <row r="19" spans="1:29" x14ac:dyDescent="0.35">
      <c r="A19" s="21" t="str">
        <f>IF(A17="","",Tabelid!D7)</f>
        <v>Korruse kasulik pind (KKP):</v>
      </c>
      <c r="B19" s="56">
        <v>3484</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35">
      <c r="A20" s="21" t="str">
        <f>IF(A19="","",Tabelid!D8)</f>
        <v>Korruse brutopind (KBP):</v>
      </c>
      <c r="B20" s="56">
        <v>3564.6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35">
      <c r="A21" s="21" t="str">
        <f>IF(A20="","",Tabelid!D9)</f>
        <v>Korruse avatud netopind (KANP):</v>
      </c>
      <c r="B21" s="51">
        <f>IF(A21="","",SUMIFS(Eksplikatsioon!F:F,Eksplikatsioon!A:A,AC21,Eksplikatsioon!C:C,Tabelid!E9))</f>
        <v>0</v>
      </c>
      <c r="D21" s="41"/>
      <c r="AC21" s="23">
        <f t="shared" si="0"/>
        <v>1</v>
      </c>
    </row>
    <row r="22" spans="1:29" x14ac:dyDescent="0.35">
      <c r="A22" s="21" t="str">
        <f>IF(A21="","",Tabelid!D10)</f>
        <v>Korruse passiivne vakantsus (KPV):</v>
      </c>
      <c r="B22" s="51">
        <f>IF(A22="","",SUMIFS(Eksplikatsioon!F:F,Eksplikatsioon!A:A,AC22,Eksplikatsioon!C:C,Tabelid!E10))</f>
        <v>0</v>
      </c>
      <c r="D22" s="41"/>
      <c r="AC22" s="23">
        <f t="shared" si="0"/>
        <v>1</v>
      </c>
    </row>
    <row r="23" spans="1:29" x14ac:dyDescent="0.35">
      <c r="A23" s="10" t="str">
        <f>IF(COUNTIF(Tabelid!G:G,TRUE)/10-Tabelid!H11&gt;0,MIN(Tabelid!F:F)+Tabelid!H11&amp;"."&amp;" Korrus","")</f>
        <v/>
      </c>
      <c r="D23" s="41"/>
      <c r="AC23" s="23" t="str">
        <f>IFERROR(IF(FIND(".",A23)=3,LEFT(A23,2),LEFT(A23,1))*1,"")</f>
        <v/>
      </c>
    </row>
    <row r="24" spans="1:29" x14ac:dyDescent="0.35">
      <c r="A24" s="21" t="str">
        <f>IF(A23="","",Tabelid!D12)</f>
        <v/>
      </c>
      <c r="B24" s="51" t="str">
        <f>IF(A24="","",SUMIFS(Eksplikatsioon!F:F,Eksplikatsioon!A:A,AC24,Eksplikatsioon!C:C,Tabelid!E12))</f>
        <v/>
      </c>
      <c r="D24" s="41"/>
      <c r="AC24" s="23" t="str">
        <f>AC23</f>
        <v/>
      </c>
    </row>
    <row r="25" spans="1:29" x14ac:dyDescent="0.35">
      <c r="A25" s="21" t="str">
        <f>IF(A24="","",Tabelid!D13)</f>
        <v/>
      </c>
      <c r="B25" s="51" t="str">
        <f>IF(A25="","",SUMIFS(Eksplikatsioon!F:F,Eksplikatsioon!A:A,AC25,Eksplikatsioon!C:C,Tabelid!E13))</f>
        <v/>
      </c>
      <c r="D25" s="41"/>
      <c r="AC25" s="23" t="str">
        <f t="shared" ref="AC25:AC32" si="1">AC24</f>
        <v/>
      </c>
    </row>
    <row r="26" spans="1:29" x14ac:dyDescent="0.35">
      <c r="A26" s="21" t="str">
        <f>IF(A25="","",Tabelid!D14)</f>
        <v/>
      </c>
      <c r="B26" s="51" t="str">
        <f>IF(A26="","",SUMIFS(Eksplikatsioon!F:F,Eksplikatsioon!A:A,AC26,Eksplikatsioon!C:C,Tabelid!E14))</f>
        <v/>
      </c>
      <c r="D26" s="41"/>
      <c r="AC26" s="23" t="str">
        <f t="shared" si="1"/>
        <v/>
      </c>
    </row>
    <row r="27" spans="1:29" x14ac:dyDescent="0.35">
      <c r="A27" s="21" t="str">
        <f>IF(A26="","",Tabelid!D15)</f>
        <v/>
      </c>
      <c r="B27" s="51" t="str">
        <f>IF(A27="","",SUM(B24:B26)+B32)</f>
        <v/>
      </c>
      <c r="D27" s="41"/>
      <c r="AC27" s="23" t="str">
        <f t="shared" si="1"/>
        <v/>
      </c>
    </row>
    <row r="28" spans="1:29" x14ac:dyDescent="0.35">
      <c r="A28" s="21" t="str">
        <f>IF(A27="","",Tabelid!D16)</f>
        <v/>
      </c>
      <c r="B28" s="51" t="str">
        <f>IF(A28="","",SUMIFS(Eksplikatsioon!G:G,Eksplikatsioon!A:A,AC28))</f>
        <v/>
      </c>
      <c r="D28" s="41"/>
      <c r="AC28" s="23" t="str">
        <f>AC27</f>
        <v/>
      </c>
    </row>
    <row r="29" spans="1:29" x14ac:dyDescent="0.35">
      <c r="A29" s="21" t="str">
        <f>IF(A27="","",Tabelid!D17)</f>
        <v/>
      </c>
      <c r="B29" s="56"/>
      <c r="D29" s="22"/>
      <c r="E29" s="22"/>
      <c r="F29" s="22"/>
      <c r="G29" s="22"/>
      <c r="H29" s="22"/>
      <c r="I29" s="22"/>
      <c r="J29" s="22"/>
      <c r="K29" s="22"/>
      <c r="L29" s="22"/>
      <c r="M29" s="22"/>
      <c r="N29" s="22"/>
      <c r="O29" s="22"/>
      <c r="P29" s="22"/>
      <c r="Q29" s="22"/>
      <c r="R29" s="22"/>
      <c r="S29" s="22"/>
      <c r="T29" s="22"/>
      <c r="U29" s="22"/>
      <c r="V29" s="22"/>
      <c r="W29" s="22"/>
      <c r="X29" s="22"/>
      <c r="Y29" s="22"/>
      <c r="Z29" s="22"/>
      <c r="AA29" s="22"/>
      <c r="AC29" s="23" t="str">
        <f>AC27</f>
        <v/>
      </c>
    </row>
    <row r="30" spans="1:29" x14ac:dyDescent="0.35">
      <c r="A30" s="21" t="str">
        <f>IF(A29="","",Tabelid!D18)</f>
        <v/>
      </c>
      <c r="B30" s="56"/>
      <c r="D30" s="22"/>
      <c r="E30" s="22"/>
      <c r="F30" s="22"/>
      <c r="G30" s="22"/>
      <c r="H30" s="22"/>
      <c r="I30" s="22"/>
      <c r="J30" s="22"/>
      <c r="K30" s="22"/>
      <c r="L30" s="22"/>
      <c r="M30" s="22"/>
      <c r="N30" s="22"/>
      <c r="O30" s="22"/>
      <c r="P30" s="22"/>
      <c r="Q30" s="22"/>
      <c r="R30" s="22"/>
      <c r="S30" s="22"/>
      <c r="T30" s="22"/>
      <c r="U30" s="22"/>
      <c r="V30" s="22"/>
      <c r="W30" s="22"/>
      <c r="X30" s="22"/>
      <c r="Y30" s="22"/>
      <c r="Z30" s="22"/>
      <c r="AA30" s="22"/>
      <c r="AC30" s="23" t="str">
        <f t="shared" si="1"/>
        <v/>
      </c>
    </row>
    <row r="31" spans="1:29" x14ac:dyDescent="0.35">
      <c r="A31" s="21" t="str">
        <f>IF(A30="","",Tabelid!D19)</f>
        <v/>
      </c>
      <c r="B31" s="51" t="str">
        <f>IF(A31="","",SUMIFS(Eksplikatsioon!F:F,Eksplikatsioon!A:A,AC31,Eksplikatsioon!C:C,Tabelid!E19))</f>
        <v/>
      </c>
      <c r="AC31" s="23" t="str">
        <f t="shared" si="1"/>
        <v/>
      </c>
    </row>
    <row r="32" spans="1:29" x14ac:dyDescent="0.35">
      <c r="A32" s="21" t="str">
        <f>IF(A31="","",Tabelid!D20)</f>
        <v/>
      </c>
      <c r="B32" s="51" t="str">
        <f>IF(A32="","",SUMIFS(Eksplikatsioon!F:F,Eksplikatsioon!A:A,AC32,Eksplikatsioon!C:C,Tabelid!E20))</f>
        <v/>
      </c>
      <c r="AC32" s="23" t="str">
        <f t="shared" si="1"/>
        <v/>
      </c>
    </row>
    <row r="33" spans="1:29" x14ac:dyDescent="0.35">
      <c r="A33" s="10" t="str">
        <f>IF(COUNTIF(Tabelid!G:G,TRUE)/10-Tabelid!H21&gt;0,MIN(Tabelid!F:F)+Tabelid!H21&amp;"."&amp;" Korrus","")</f>
        <v/>
      </c>
      <c r="AC33" s="23" t="str">
        <f>IFERROR(IF(FIND(".",A33)=3,LEFT(A33,2),LEFT(A33,1))*1,"")</f>
        <v/>
      </c>
    </row>
    <row r="34" spans="1:29" x14ac:dyDescent="0.35">
      <c r="A34" s="21" t="str">
        <f>IF(A33="","",Tabelid!D22)</f>
        <v/>
      </c>
      <c r="B34" s="51" t="str">
        <f>IF(A34="","",SUMIFS(Eksplikatsioon!F:F,Eksplikatsioon!A:A,AC34,Eksplikatsioon!C:C,Tabelid!E22))</f>
        <v/>
      </c>
      <c r="AC34" s="23" t="str">
        <f>AC33</f>
        <v/>
      </c>
    </row>
    <row r="35" spans="1:29" x14ac:dyDescent="0.35">
      <c r="A35" s="21" t="str">
        <f>IF(A34="","",Tabelid!D23)</f>
        <v/>
      </c>
      <c r="B35" s="51" t="str">
        <f>IF(A35="","",SUMIFS(Eksplikatsioon!F:F,Eksplikatsioon!A:A,AC35,Eksplikatsioon!C:C,Tabelid!E23))</f>
        <v/>
      </c>
      <c r="AC35" s="23" t="str">
        <f t="shared" ref="AC35:AC42" si="2">AC34</f>
        <v/>
      </c>
    </row>
    <row r="36" spans="1:29" x14ac:dyDescent="0.35">
      <c r="A36" s="21" t="str">
        <f>IF(A35="","",Tabelid!D24)</f>
        <v/>
      </c>
      <c r="B36" s="51" t="str">
        <f>IF(A36="","",SUMIFS(Eksplikatsioon!F:F,Eksplikatsioon!A:A,AC36,Eksplikatsioon!C:C,Tabelid!E24))</f>
        <v/>
      </c>
      <c r="AC36" s="23" t="str">
        <f t="shared" si="2"/>
        <v/>
      </c>
    </row>
    <row r="37" spans="1:29" x14ac:dyDescent="0.35">
      <c r="A37" s="21" t="str">
        <f>IF(A36="","",Tabelid!D25)</f>
        <v/>
      </c>
      <c r="B37" s="51" t="str">
        <f>IF(A37="","",SUM(B34:B36)+B42)</f>
        <v/>
      </c>
      <c r="AC37" s="23" t="str">
        <f t="shared" si="2"/>
        <v/>
      </c>
    </row>
    <row r="38" spans="1:29" x14ac:dyDescent="0.35">
      <c r="A38" s="21" t="str">
        <f>IF(A37="","",Tabelid!D26)</f>
        <v/>
      </c>
      <c r="B38" s="51" t="str">
        <f>IF(A38="","",SUMIFS(Eksplikatsioon!G:G,Eksplikatsioon!A:A,AC38))</f>
        <v/>
      </c>
      <c r="AC38" s="23" t="str">
        <f>AC37</f>
        <v/>
      </c>
    </row>
    <row r="39" spans="1:29" x14ac:dyDescent="0.35">
      <c r="A39" s="21" t="str">
        <f>IF(A37="","",Tabelid!D27)</f>
        <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t="str">
        <f>AC37</f>
        <v/>
      </c>
    </row>
    <row r="40" spans="1:29" x14ac:dyDescent="0.35">
      <c r="A40" s="21" t="str">
        <f>IF(A39="","",Tabelid!D28)</f>
        <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t="str">
        <f t="shared" si="2"/>
        <v/>
      </c>
    </row>
    <row r="41" spans="1:29" x14ac:dyDescent="0.35">
      <c r="A41" s="21" t="str">
        <f>IF(A40="","",Tabelid!D29)</f>
        <v/>
      </c>
      <c r="B41" s="51" t="str">
        <f>IF(A41="","",SUMIFS(Eksplikatsioon!F:F,Eksplikatsioon!A:A,AC41,Eksplikatsioon!C:C,Tabelid!E29))</f>
        <v/>
      </c>
      <c r="AC41" s="23" t="str">
        <f t="shared" si="2"/>
        <v/>
      </c>
    </row>
    <row r="42" spans="1:29" x14ac:dyDescent="0.35">
      <c r="A42" s="21" t="str">
        <f>IF(A41="","",Tabelid!D30)</f>
        <v/>
      </c>
      <c r="B42" s="51" t="str">
        <f>IF(A42="","",SUMIFS(Eksplikatsioon!F:F,Eksplikatsioon!A:A,AC42,Eksplikatsioon!C:C,Tabelid!E30))</f>
        <v/>
      </c>
      <c r="AC42" s="23" t="str">
        <f t="shared" si="2"/>
        <v/>
      </c>
    </row>
    <row r="43" spans="1:29" x14ac:dyDescent="0.35">
      <c r="A43" s="10" t="str">
        <f>IF(COUNTIF(Tabelid!G:G,TRUE)/10-Tabelid!H31&gt;0,MIN(Tabelid!F:F)+Tabelid!H31&amp;"."&amp;" Korrus","")</f>
        <v/>
      </c>
      <c r="AC43" s="23" t="str">
        <f>IFERROR(IF(FIND(".",A43)=3,LEFT(A43,2),LEFT(A43,1))*1,"")</f>
        <v/>
      </c>
    </row>
    <row r="44" spans="1:29" x14ac:dyDescent="0.35">
      <c r="A44" s="21" t="str">
        <f>IF(A43="","",Tabelid!D32)</f>
        <v/>
      </c>
      <c r="B44" s="51" t="str">
        <f>IF(A44="","",SUMIFS(Eksplikatsioon!F:F,Eksplikatsioon!A:A,AC44,Eksplikatsioon!C:C,Tabelid!E32))</f>
        <v/>
      </c>
      <c r="AC44" s="23" t="str">
        <f>AC43</f>
        <v/>
      </c>
    </row>
    <row r="45" spans="1:29" x14ac:dyDescent="0.35">
      <c r="A45" s="21" t="str">
        <f>IF(A44="","",Tabelid!D33)</f>
        <v/>
      </c>
      <c r="B45" s="51" t="str">
        <f>IF(A45="","",SUMIFS(Eksplikatsioon!F:F,Eksplikatsioon!A:A,AC45,Eksplikatsioon!C:C,Tabelid!E33))</f>
        <v/>
      </c>
      <c r="AC45" s="23" t="str">
        <f t="shared" ref="AC45:AC52" si="3">AC44</f>
        <v/>
      </c>
    </row>
    <row r="46" spans="1:29" x14ac:dyDescent="0.35">
      <c r="A46" s="21" t="str">
        <f>IF(A45="","",Tabelid!D34)</f>
        <v/>
      </c>
      <c r="B46" s="51" t="str">
        <f>IF(A46="","",SUMIFS(Eksplikatsioon!F:F,Eksplikatsioon!A:A,AC46,Eksplikatsioon!C:C,Tabelid!E34))</f>
        <v/>
      </c>
      <c r="AC46" s="23" t="str">
        <f t="shared" si="3"/>
        <v/>
      </c>
    </row>
    <row r="47" spans="1:29" x14ac:dyDescent="0.35">
      <c r="A47" s="21" t="str">
        <f>IF(A46="","",Tabelid!D35)</f>
        <v/>
      </c>
      <c r="B47" s="51" t="str">
        <f>IF(A47="","",SUM(B44:B46)+B52)</f>
        <v/>
      </c>
      <c r="AC47" s="23" t="str">
        <f t="shared" si="3"/>
        <v/>
      </c>
    </row>
    <row r="48" spans="1:29" x14ac:dyDescent="0.35">
      <c r="A48" s="21" t="str">
        <f>IF(A47="","",Tabelid!D36)</f>
        <v/>
      </c>
      <c r="B48" s="51" t="str">
        <f>IF(A48="","",SUMIFS(Eksplikatsioon!G:G,Eksplikatsioon!A:A,AC48))</f>
        <v/>
      </c>
      <c r="AC48" s="23" t="str">
        <f>AC47</f>
        <v/>
      </c>
    </row>
    <row r="49" spans="1:29" x14ac:dyDescent="0.3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3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35">
      <c r="A51" s="21" t="str">
        <f>IF(A50="","",Tabelid!D39)</f>
        <v/>
      </c>
      <c r="B51" s="51" t="str">
        <f>IF(A51="","",SUMIFS(Eksplikatsioon!F:F,Eksplikatsioon!A:A,AC51,Eksplikatsioon!C:C,Tabelid!E39))</f>
        <v/>
      </c>
      <c r="AC51" s="23" t="str">
        <f t="shared" si="3"/>
        <v/>
      </c>
    </row>
    <row r="52" spans="1:29" x14ac:dyDescent="0.35">
      <c r="A52" s="21" t="str">
        <f>IF(A51="","",Tabelid!D40)</f>
        <v/>
      </c>
      <c r="B52" s="51" t="str">
        <f>IF(A52="","",SUMIFS(Eksplikatsioon!F:F,Eksplikatsioon!A:A,AC52,Eksplikatsioon!C:C,Tabelid!E40))</f>
        <v/>
      </c>
      <c r="AC52" s="23" t="str">
        <f t="shared" si="3"/>
        <v/>
      </c>
    </row>
    <row r="53" spans="1:29" x14ac:dyDescent="0.35">
      <c r="A53" s="10" t="str">
        <f>IF(COUNTIF(Tabelid!G:G,TRUE)/10-Tabelid!H41&gt;0,MIN(Tabelid!F:F)+Tabelid!H41&amp;"."&amp;" Korrus","")</f>
        <v/>
      </c>
      <c r="AC53" s="23" t="str">
        <f>IFERROR(IF(FIND(".",A53)=3,LEFT(A53,2),LEFT(A53,1))*1,"")</f>
        <v/>
      </c>
    </row>
    <row r="54" spans="1:29" x14ac:dyDescent="0.35">
      <c r="A54" s="21" t="str">
        <f>IF(A53="","",Tabelid!D42)</f>
        <v/>
      </c>
      <c r="B54" s="51" t="str">
        <f>IF(A54="","",SUMIFS(Eksplikatsioon!F:F,Eksplikatsioon!A:A,AC54,Eksplikatsioon!C:C,Tabelid!E42))</f>
        <v/>
      </c>
      <c r="AC54" s="23" t="str">
        <f>AC53</f>
        <v/>
      </c>
    </row>
    <row r="55" spans="1:29" x14ac:dyDescent="0.35">
      <c r="A55" s="21" t="str">
        <f>IF(A54="","",Tabelid!D43)</f>
        <v/>
      </c>
      <c r="B55" s="51" t="str">
        <f>IF(A55="","",SUMIFS(Eksplikatsioon!F:F,Eksplikatsioon!A:A,AC55,Eksplikatsioon!C:C,Tabelid!E43))</f>
        <v/>
      </c>
      <c r="AC55" s="23" t="str">
        <f t="shared" ref="AC55:AC62" si="4">AC54</f>
        <v/>
      </c>
    </row>
    <row r="56" spans="1:29" x14ac:dyDescent="0.35">
      <c r="A56" s="21" t="str">
        <f>IF(A55="","",Tabelid!D44)</f>
        <v/>
      </c>
      <c r="B56" s="51" t="str">
        <f>IF(A56="","",SUMIFS(Eksplikatsioon!F:F,Eksplikatsioon!A:A,AC56,Eksplikatsioon!C:C,Tabelid!E44))</f>
        <v/>
      </c>
      <c r="AC56" s="23" t="str">
        <f t="shared" si="4"/>
        <v/>
      </c>
    </row>
    <row r="57" spans="1:29" x14ac:dyDescent="0.35">
      <c r="A57" s="21" t="str">
        <f>IF(A56="","",Tabelid!D45)</f>
        <v/>
      </c>
      <c r="B57" s="51" t="str">
        <f>IF(A57="","",SUM(B54:B56)+B62)</f>
        <v/>
      </c>
      <c r="AC57" s="23" t="str">
        <f t="shared" si="4"/>
        <v/>
      </c>
    </row>
    <row r="58" spans="1:29" x14ac:dyDescent="0.35">
      <c r="A58" s="21" t="str">
        <f>IF(A57="","",Tabelid!D46)</f>
        <v/>
      </c>
      <c r="B58" s="51" t="str">
        <f>IF(A58="","",SUMIFS(Eksplikatsioon!G:G,Eksplikatsioon!A:A,AC58))</f>
        <v/>
      </c>
      <c r="AC58" s="23" t="str">
        <f>AC57</f>
        <v/>
      </c>
    </row>
    <row r="59" spans="1:29" x14ac:dyDescent="0.3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3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35">
      <c r="A61" s="21" t="str">
        <f>IF(A60="","",Tabelid!D49)</f>
        <v/>
      </c>
      <c r="B61" s="51" t="str">
        <f>IF(A61="","",SUMIFS(Eksplikatsioon!F:F,Eksplikatsioon!A:A,AC61,Eksplikatsioon!C:C,Tabelid!E49))</f>
        <v/>
      </c>
      <c r="AC61" s="23" t="str">
        <f t="shared" si="4"/>
        <v/>
      </c>
    </row>
    <row r="62" spans="1:29" x14ac:dyDescent="0.35">
      <c r="A62" s="21" t="str">
        <f>IF(A61="","",Tabelid!D50)</f>
        <v/>
      </c>
      <c r="B62" s="51" t="str">
        <f>IF(A62="","",SUMIFS(Eksplikatsioon!F:F,Eksplikatsioon!A:A,AC62,Eksplikatsioon!C:C,Tabelid!E50))</f>
        <v/>
      </c>
      <c r="AC62" s="23" t="str">
        <f t="shared" si="4"/>
        <v/>
      </c>
    </row>
    <row r="63" spans="1:29" x14ac:dyDescent="0.35">
      <c r="A63" s="10" t="str">
        <f>IF(COUNTIF(Tabelid!G:G,TRUE)/10-Tabelid!H51&gt;0,MIN(Tabelid!F:F)+Tabelid!H51&amp;"."&amp;" Korrus","")</f>
        <v/>
      </c>
      <c r="AC63" s="23" t="str">
        <f>IFERROR(IF(FIND(".",A63)=3,LEFT(A63,2),LEFT(A63,1))*1,"")</f>
        <v/>
      </c>
    </row>
    <row r="64" spans="1:29" x14ac:dyDescent="0.35">
      <c r="A64" s="21" t="str">
        <f>IF(A63="","",Tabelid!D52)</f>
        <v/>
      </c>
      <c r="B64" s="51" t="str">
        <f>IF(A64="","",SUMIFS(Eksplikatsioon!F:F,Eksplikatsioon!A:A,AC64,Eksplikatsioon!C:C,Tabelid!E52))</f>
        <v/>
      </c>
      <c r="AC64" s="23" t="str">
        <f>AC63</f>
        <v/>
      </c>
    </row>
    <row r="65" spans="1:29" x14ac:dyDescent="0.35">
      <c r="A65" s="21" t="str">
        <f>IF(A64="","",Tabelid!D53)</f>
        <v/>
      </c>
      <c r="B65" s="51" t="str">
        <f>IF(A65="","",SUMIFS(Eksplikatsioon!F:F,Eksplikatsioon!A:A,AC65,Eksplikatsioon!C:C,Tabelid!E53))</f>
        <v/>
      </c>
      <c r="AC65" s="23" t="str">
        <f t="shared" ref="AC65:AC72" si="5">AC64</f>
        <v/>
      </c>
    </row>
    <row r="66" spans="1:29" x14ac:dyDescent="0.35">
      <c r="A66" s="21" t="str">
        <f>IF(A65="","",Tabelid!D54)</f>
        <v/>
      </c>
      <c r="B66" s="51" t="str">
        <f>IF(A66="","",SUMIFS(Eksplikatsioon!F:F,Eksplikatsioon!A:A,AC66,Eksplikatsioon!C:C,Tabelid!E54))</f>
        <v/>
      </c>
      <c r="AC66" s="23" t="str">
        <f t="shared" si="5"/>
        <v/>
      </c>
    </row>
    <row r="67" spans="1:29" x14ac:dyDescent="0.35">
      <c r="A67" s="21" t="str">
        <f>IF(A66="","",Tabelid!D55)</f>
        <v/>
      </c>
      <c r="B67" s="51" t="str">
        <f>IF(A67="","",SUM(B64:B66)+B72)</f>
        <v/>
      </c>
      <c r="AC67" s="23" t="str">
        <f t="shared" si="5"/>
        <v/>
      </c>
    </row>
    <row r="68" spans="1:29" x14ac:dyDescent="0.35">
      <c r="A68" s="21" t="str">
        <f>IF(A67="","",Tabelid!D56)</f>
        <v/>
      </c>
      <c r="B68" s="51" t="str">
        <f>IF(A68="","",SUMIFS(Eksplikatsioon!G:G,Eksplikatsioon!A:A,AC68))</f>
        <v/>
      </c>
      <c r="AC68" s="23" t="str">
        <f>AC67</f>
        <v/>
      </c>
    </row>
    <row r="69" spans="1:29" x14ac:dyDescent="0.3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3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35">
      <c r="A71" s="21" t="str">
        <f>IF(A70="","",Tabelid!D59)</f>
        <v/>
      </c>
      <c r="B71" s="51" t="str">
        <f>IF(A71="","",SUMIFS(Eksplikatsioon!F:F,Eksplikatsioon!A:A,AC71,Eksplikatsioon!C:C,Tabelid!E59))</f>
        <v/>
      </c>
      <c r="AC71" s="23" t="str">
        <f t="shared" si="5"/>
        <v/>
      </c>
    </row>
    <row r="72" spans="1:29" x14ac:dyDescent="0.35">
      <c r="A72" s="21" t="str">
        <f>IF(A71="","",Tabelid!D60)</f>
        <v/>
      </c>
      <c r="B72" s="51" t="str">
        <f>IF(A72="","",SUMIFS(Eksplikatsioon!F:F,Eksplikatsioon!A:A,AC72,Eksplikatsioon!C:C,Tabelid!E60))</f>
        <v/>
      </c>
      <c r="AC72" s="23" t="str">
        <f t="shared" si="5"/>
        <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topLeftCell="G1" zoomScaleNormal="100" workbookViewId="0">
      <pane ySplit="3" topLeftCell="A18" activePane="bottomLeft" state="frozen"/>
      <selection pane="bottomLeft" activeCell="H49" sqref="H49"/>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51.453125" style="11" customWidth="1"/>
    <col min="9" max="9" width="13.81640625" style="11" customWidth="1" outlineLevel="1"/>
    <col min="10" max="10" width="30.7265625" style="14" customWidth="1" outlineLevel="1"/>
    <col min="11" max="11" width="50.7265625" style="9" customWidth="1" outlineLevel="1"/>
    <col min="12" max="12" width="25.7265625" style="9" customWidth="1" outlineLevel="1"/>
    <col min="13" max="13" width="22.1796875" style="9" customWidth="1" outlineLevel="1"/>
    <col min="14" max="14" width="26.453125" style="9" customWidth="1" outlineLevel="1"/>
    <col min="15" max="15" width="16.81640625" style="9" customWidth="1" outlineLevel="2"/>
    <col min="16" max="16" width="17.1796875" style="9" customWidth="1" outlineLevel="2"/>
    <col min="17" max="17" width="15.26953125" style="9" customWidth="1" outlineLevel="2"/>
    <col min="18" max="18" width="18.269531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18</v>
      </c>
      <c r="B1" s="13" t="str">
        <f>IF('Hoone üldandmed'!B2="","",'Hoone üldandmed'!B2)</f>
        <v xml:space="preserve">Jõgeva maakond, Põltsamaa vald, Väike-Kamari küla, Kaarlimõisa tee 4 </v>
      </c>
      <c r="H1" s="35"/>
    </row>
    <row r="2" spans="1:37" x14ac:dyDescent="0.35">
      <c r="O2" s="33" t="s">
        <v>46</v>
      </c>
      <c r="P2" s="33"/>
      <c r="Q2" s="33"/>
      <c r="R2" s="33"/>
      <c r="S2" s="33"/>
      <c r="T2" s="33"/>
      <c r="U2" s="33"/>
      <c r="V2" s="33"/>
      <c r="W2" s="33"/>
      <c r="X2" s="33"/>
      <c r="Y2" s="33"/>
      <c r="Z2" s="33"/>
      <c r="AA2" s="33"/>
      <c r="AB2" s="33"/>
      <c r="AC2" s="33"/>
      <c r="AD2" s="33"/>
      <c r="AE2" s="33"/>
      <c r="AF2" s="33"/>
      <c r="AG2" s="33"/>
    </row>
    <row r="3" spans="1:37" ht="43.5" customHeight="1" x14ac:dyDescent="0.35">
      <c r="A3" s="16" t="s">
        <v>47</v>
      </c>
      <c r="B3" s="17" t="s">
        <v>48</v>
      </c>
      <c r="C3" s="16" t="s">
        <v>49</v>
      </c>
      <c r="D3" s="16" t="s">
        <v>50</v>
      </c>
      <c r="E3" s="16" t="s">
        <v>51</v>
      </c>
      <c r="F3" s="52" t="s">
        <v>52</v>
      </c>
      <c r="G3" s="52" t="s">
        <v>53</v>
      </c>
      <c r="H3" s="16" t="s">
        <v>54</v>
      </c>
      <c r="I3" s="16" t="s">
        <v>55</v>
      </c>
      <c r="J3" s="66" t="s">
        <v>56</v>
      </c>
      <c r="K3" s="16" t="s">
        <v>2</v>
      </c>
      <c r="L3" s="16" t="s">
        <v>3</v>
      </c>
      <c r="M3" s="16" t="s">
        <v>57</v>
      </c>
      <c r="N3" s="16"/>
      <c r="O3" s="30" t="str">
        <f ca="1">IF(INDIRECT("'Lepingu lisa'!R"&amp;COLUMN()-10&amp;"C49",FALSE)="","",INDIRECT("'Lepingu lisa'!R"&amp;COLUMN()-12&amp;"C49",FALSE))</f>
        <v>PÄÄSTEAMET</v>
      </c>
      <c r="P3" s="30" t="str">
        <f t="shared" ref="P3:AG3" ca="1" si="0">IF(INDIRECT("'Lepingu lisa'!R"&amp;COLUMN()-10&amp;"C49",FALSE)="","",INDIRECT("'Lepingu lisa'!R"&amp;COLUMN()-12&amp;"C49",FALSE))</f>
        <v>POLITSEI- JA PIIRIVALVEAMET</v>
      </c>
      <c r="Q3" s="30" t="str">
        <f t="shared" ca="1" si="0"/>
        <v>SISEMINISTEERIUMI INFOTEHNOLOOGIA</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21</v>
      </c>
      <c r="B4" s="19">
        <v>101</v>
      </c>
      <c r="C4" s="18" t="s">
        <v>58</v>
      </c>
      <c r="D4" s="18" t="s">
        <v>59</v>
      </c>
      <c r="E4" s="18" t="s">
        <v>60</v>
      </c>
      <c r="F4" s="53">
        <v>94.190600000000003</v>
      </c>
      <c r="G4" s="53">
        <v>90.4</v>
      </c>
      <c r="H4" s="18"/>
      <c r="I4" s="11" t="str">
        <f>LEFT(Tabel1[[#This Row],[Ruumi tüüp (TALO Tüüpruumide nimestik)]],2)</f>
        <v>41</v>
      </c>
      <c r="J4" s="22" t="s">
        <v>4</v>
      </c>
      <c r="K4" s="18" t="s">
        <v>10</v>
      </c>
      <c r="L4" s="11" t="str">
        <f>IFERROR(VLOOKUP(Tabel1[[#This Row],[Üürnik]],'Lepingu lisa'!$AW$3:$AX$22,2,FALSE),"")</f>
        <v>KAARLIMOISATEE4_01</v>
      </c>
      <c r="M4" s="11" t="str">
        <f>IFERROR(VLOOKUP(Tabel1[[#This Row],[Jaotus]],Tabelid!L:M,2,FALSE),"")</f>
        <v>NONE</v>
      </c>
      <c r="N4" s="11"/>
      <c r="O4" s="34"/>
      <c r="P4" s="34"/>
      <c r="Q4" s="34"/>
      <c r="R4" s="34"/>
      <c r="S4" s="34"/>
      <c r="T4" s="34"/>
      <c r="U4" s="34"/>
      <c r="V4" s="34"/>
      <c r="W4" s="34"/>
      <c r="X4" s="34"/>
      <c r="Y4" s="34"/>
      <c r="Z4" s="34"/>
      <c r="AA4" s="34"/>
      <c r="AB4" s="34"/>
      <c r="AC4" s="34"/>
      <c r="AD4" s="34"/>
      <c r="AE4" s="34"/>
      <c r="AF4" s="34"/>
      <c r="AG4" s="34"/>
    </row>
    <row r="5" spans="1:37" x14ac:dyDescent="0.35">
      <c r="A5" s="18" t="s">
        <v>21</v>
      </c>
      <c r="B5" s="19">
        <v>102</v>
      </c>
      <c r="C5" s="18" t="s">
        <v>58</v>
      </c>
      <c r="D5" s="18" t="s">
        <v>61</v>
      </c>
      <c r="E5" s="18" t="s">
        <v>62</v>
      </c>
      <c r="F5" s="53">
        <v>10.1</v>
      </c>
      <c r="G5" s="53">
        <v>8.9</v>
      </c>
      <c r="H5" s="18"/>
      <c r="I5" s="11" t="str">
        <f>LEFT(Tabel1[[#This Row],[Ruumi tüüp (TALO Tüüpruumide nimestik)]],2)</f>
        <v>59</v>
      </c>
      <c r="J5" s="22" t="s">
        <v>4</v>
      </c>
      <c r="K5" s="18" t="s">
        <v>10</v>
      </c>
      <c r="L5" s="11" t="str">
        <f>IFERROR(VLOOKUP(Tabel1[[#This Row],[Üürnik]],'Lepingu lisa'!$AW$3:$AX$22,2,FALSE),"")</f>
        <v>KAARLIMOISATEE4_01</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35">
      <c r="A6" s="18" t="s">
        <v>21</v>
      </c>
      <c r="B6" s="19">
        <v>103</v>
      </c>
      <c r="C6" s="18" t="s">
        <v>58</v>
      </c>
      <c r="D6" s="18" t="s">
        <v>59</v>
      </c>
      <c r="E6" s="18" t="s">
        <v>60</v>
      </c>
      <c r="F6" s="53">
        <v>81.599999999999994</v>
      </c>
      <c r="G6" s="53">
        <v>79.8</v>
      </c>
      <c r="H6" s="18"/>
      <c r="I6" s="11" t="str">
        <f>LEFT(Tabel1[[#This Row],[Ruumi tüüp (TALO Tüüpruumide nimestik)]],2)</f>
        <v>41</v>
      </c>
      <c r="J6" s="22" t="s">
        <v>4</v>
      </c>
      <c r="K6" s="18" t="s">
        <v>10</v>
      </c>
      <c r="L6" s="11" t="str">
        <f>IFERROR(VLOOKUP(Tabel1[[#This Row],[Üürnik]],'Lepingu lisa'!$AW$3:$AX$22,2,FALSE),"")</f>
        <v>KAARLIMOISATEE4_01</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35">
      <c r="A7" s="18" t="s">
        <v>21</v>
      </c>
      <c r="B7" s="19">
        <v>104</v>
      </c>
      <c r="C7" s="18" t="s">
        <v>58</v>
      </c>
      <c r="D7" s="18" t="s">
        <v>63</v>
      </c>
      <c r="E7" s="18" t="s">
        <v>64</v>
      </c>
      <c r="F7" s="53">
        <v>11.5646</v>
      </c>
      <c r="G7" s="53">
        <v>10.6</v>
      </c>
      <c r="H7" s="18"/>
      <c r="I7" s="11" t="str">
        <f>LEFT(Tabel1[[#This Row],[Ruumi tüüp (TALO Tüüpruumide nimestik)]],2)</f>
        <v>91</v>
      </c>
      <c r="J7" s="22" t="s">
        <v>4</v>
      </c>
      <c r="K7" s="18" t="s">
        <v>10</v>
      </c>
      <c r="L7" s="11" t="str">
        <f>IFERROR(VLOOKUP(Tabel1[[#This Row],[Üürnik]],'Lepingu lisa'!$AW$3:$AX$22,2,FALSE),"")</f>
        <v>KAARLIMOISATEE4_01</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35">
      <c r="A8" s="18" t="s">
        <v>21</v>
      </c>
      <c r="B8" s="19">
        <v>105</v>
      </c>
      <c r="C8" s="18" t="s">
        <v>58</v>
      </c>
      <c r="D8" s="18" t="s">
        <v>65</v>
      </c>
      <c r="E8" s="18" t="s">
        <v>66</v>
      </c>
      <c r="F8" s="53">
        <v>7.3958000000000004</v>
      </c>
      <c r="G8" s="53">
        <v>6.8</v>
      </c>
      <c r="H8" s="18"/>
      <c r="I8" s="11" t="str">
        <f>LEFT(Tabel1[[#This Row],[Ruumi tüüp (TALO Tüüpruumide nimestik)]],2)</f>
        <v>21</v>
      </c>
      <c r="J8" s="22" t="s">
        <v>4</v>
      </c>
      <c r="K8" s="18" t="s">
        <v>10</v>
      </c>
      <c r="L8" s="11" t="str">
        <f>IFERROR(VLOOKUP(Tabel1[[#This Row],[Üürnik]],'Lepingu lisa'!$AW$3:$AX$22,2,FALSE),"")</f>
        <v>KAARLIMOISATEE4_01</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35">
      <c r="A9" s="18" t="s">
        <v>21</v>
      </c>
      <c r="B9" s="19">
        <v>106</v>
      </c>
      <c r="C9" s="18" t="s">
        <v>58</v>
      </c>
      <c r="D9" s="18" t="s">
        <v>67</v>
      </c>
      <c r="E9" s="18" t="s">
        <v>68</v>
      </c>
      <c r="F9" s="53">
        <v>52.797499999999999</v>
      </c>
      <c r="G9" s="53">
        <v>51.3</v>
      </c>
      <c r="H9" s="18"/>
      <c r="I9" s="11" t="str">
        <f>LEFT(Tabel1[[#This Row],[Ruumi tüüp (TALO Tüüpruumide nimestik)]],2)</f>
        <v>51</v>
      </c>
      <c r="J9" s="22" t="s">
        <v>4</v>
      </c>
      <c r="K9" s="18" t="s">
        <v>10</v>
      </c>
      <c r="L9" s="11" t="str">
        <f>IFERROR(VLOOKUP(Tabel1[[#This Row],[Üürnik]],'Lepingu lisa'!$AW$3:$AX$22,2,FALSE),"")</f>
        <v>KAARLIMOISATEE4_01</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35">
      <c r="A10" s="18" t="s">
        <v>21</v>
      </c>
      <c r="B10" s="19" t="s">
        <v>69</v>
      </c>
      <c r="C10" s="18" t="s">
        <v>58</v>
      </c>
      <c r="D10" s="18" t="s">
        <v>70</v>
      </c>
      <c r="E10" s="18" t="s">
        <v>71</v>
      </c>
      <c r="F10" s="53">
        <v>12.1</v>
      </c>
      <c r="G10" s="53">
        <v>10.5</v>
      </c>
      <c r="H10" s="18"/>
      <c r="I10" s="11" t="str">
        <f>LEFT(Tabel1[[#This Row],[Ruumi tüüp (TALO Tüüpruumide nimestik)]],2)</f>
        <v>23</v>
      </c>
      <c r="J10" s="22" t="s">
        <v>4</v>
      </c>
      <c r="K10" s="18" t="s">
        <v>10</v>
      </c>
      <c r="L10" s="11" t="str">
        <f>IFERROR(VLOOKUP(Tabel1[[#This Row],[Üürnik]],'Lepingu lisa'!$AW$3:$AX$22,2,FALSE),"")</f>
        <v>KAARLIMOISATEE4_01</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21</v>
      </c>
      <c r="B11" s="19" t="s">
        <v>72</v>
      </c>
      <c r="C11" s="18" t="s">
        <v>58</v>
      </c>
      <c r="D11" s="18" t="s">
        <v>73</v>
      </c>
      <c r="E11" s="18" t="s">
        <v>74</v>
      </c>
      <c r="F11" s="53">
        <v>2.9</v>
      </c>
      <c r="G11" s="53">
        <v>2.2999999999999998</v>
      </c>
      <c r="H11" s="18"/>
      <c r="I11" s="11" t="str">
        <f>LEFT(Tabel1[[#This Row],[Ruumi tüüp (TALO Tüüpruumide nimestik)]],2)</f>
        <v>73</v>
      </c>
      <c r="J11" s="22" t="s">
        <v>4</v>
      </c>
      <c r="K11" s="18" t="s">
        <v>10</v>
      </c>
      <c r="L11" s="11" t="str">
        <f>IFERROR(VLOOKUP(Tabel1[[#This Row],[Üürnik]],'Lepingu lisa'!$AW$3:$AX$22,2,FALSE),"")</f>
        <v>KAARLIMOISATEE4_01</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21</v>
      </c>
      <c r="B12" s="19" t="s">
        <v>75</v>
      </c>
      <c r="C12" s="18" t="s">
        <v>58</v>
      </c>
      <c r="D12" s="18" t="s">
        <v>76</v>
      </c>
      <c r="E12" s="18" t="s">
        <v>77</v>
      </c>
      <c r="F12" s="53">
        <v>4.9000000000000004</v>
      </c>
      <c r="G12" s="53">
        <v>4</v>
      </c>
      <c r="H12" s="18"/>
      <c r="I12" s="11" t="str">
        <f>LEFT(Tabel1[[#This Row],[Ruumi tüüp (TALO Tüüpruumide nimestik)]],2)</f>
        <v>72</v>
      </c>
      <c r="J12" s="22" t="s">
        <v>4</v>
      </c>
      <c r="K12" s="18" t="s">
        <v>10</v>
      </c>
      <c r="L12" s="11" t="str">
        <f>IFERROR(VLOOKUP(Tabel1[[#This Row],[Üürnik]],'Lepingu lisa'!$AW$3:$AX$22,2,FALSE),"")</f>
        <v>KAARLIMOISATEE4_01</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21</v>
      </c>
      <c r="B13" s="19" t="s">
        <v>78</v>
      </c>
      <c r="C13" s="18" t="s">
        <v>58</v>
      </c>
      <c r="D13" s="18" t="s">
        <v>67</v>
      </c>
      <c r="E13" s="18" t="s">
        <v>68</v>
      </c>
      <c r="F13" s="53">
        <v>7.1</v>
      </c>
      <c r="G13" s="53">
        <v>6.1</v>
      </c>
      <c r="H13" s="18"/>
      <c r="I13" s="11" t="str">
        <f>LEFT(Tabel1[[#This Row],[Ruumi tüüp (TALO Tüüpruumide nimestik)]],2)</f>
        <v>51</v>
      </c>
      <c r="J13" s="22" t="s">
        <v>4</v>
      </c>
      <c r="K13" s="18" t="s">
        <v>10</v>
      </c>
      <c r="L13" s="11" t="str">
        <f>IFERROR(VLOOKUP(Tabel1[[#This Row],[Üürnik]],'Lepingu lisa'!$AW$3:$AX$22,2,FALSE),"")</f>
        <v>KAARLIMOISATEE4_01</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21</v>
      </c>
      <c r="B14" s="19" t="s">
        <v>79</v>
      </c>
      <c r="C14" s="18" t="s">
        <v>58</v>
      </c>
      <c r="D14" s="18" t="s">
        <v>76</v>
      </c>
      <c r="E14" s="18" t="s">
        <v>77</v>
      </c>
      <c r="F14" s="53">
        <v>12.543100000000001</v>
      </c>
      <c r="G14" s="53">
        <v>10.9</v>
      </c>
      <c r="H14" s="18"/>
      <c r="I14" s="11" t="str">
        <f>LEFT(Tabel1[[#This Row],[Ruumi tüüp (TALO Tüüpruumide nimestik)]],2)</f>
        <v>72</v>
      </c>
      <c r="J14" s="22" t="s">
        <v>4</v>
      </c>
      <c r="K14" s="18" t="s">
        <v>10</v>
      </c>
      <c r="L14" s="11" t="str">
        <f>IFERROR(VLOOKUP(Tabel1[[#This Row],[Üürnik]],'Lepingu lisa'!$AW$3:$AX$22,2,FALSE),"")</f>
        <v>KAARLIMOISATEE4_01</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21</v>
      </c>
      <c r="B15" s="19">
        <v>107</v>
      </c>
      <c r="C15" s="18" t="s">
        <v>58</v>
      </c>
      <c r="D15" s="18" t="s">
        <v>80</v>
      </c>
      <c r="E15" s="18" t="s">
        <v>81</v>
      </c>
      <c r="F15" s="53">
        <v>336.9837</v>
      </c>
      <c r="G15" s="53">
        <v>333.9</v>
      </c>
      <c r="H15" s="18"/>
      <c r="I15" s="11" t="str">
        <f>LEFT(Tabel1[[#This Row],[Ruumi tüüp (TALO Tüüpruumide nimestik)]],2)</f>
        <v>55</v>
      </c>
      <c r="J15" s="22" t="s">
        <v>4</v>
      </c>
      <c r="K15" s="18" t="s">
        <v>10</v>
      </c>
      <c r="L15" s="11" t="str">
        <f>IFERROR(VLOOKUP(Tabel1[[#This Row],[Üürnik]],'Lepingu lisa'!$AW$3:$AX$22,2,FALSE),"")</f>
        <v>KAARLIMOISATEE4_01</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ht="29.25" customHeight="1" x14ac:dyDescent="0.35">
      <c r="A16" s="18" t="s">
        <v>21</v>
      </c>
      <c r="B16" s="19">
        <v>108</v>
      </c>
      <c r="C16" s="18" t="s">
        <v>58</v>
      </c>
      <c r="D16" s="18" t="s">
        <v>80</v>
      </c>
      <c r="E16" s="18" t="s">
        <v>81</v>
      </c>
      <c r="F16" s="53">
        <v>55.9</v>
      </c>
      <c r="G16" s="53">
        <v>54.5</v>
      </c>
      <c r="H16" s="67" t="s">
        <v>82</v>
      </c>
      <c r="I16" s="11" t="str">
        <f>LEFT(Tabel1[[#This Row],[Ruumi tüüp (TALO Tüüpruumide nimestik)]],2)</f>
        <v>55</v>
      </c>
      <c r="J16" s="22" t="s">
        <v>83</v>
      </c>
      <c r="K16" s="18"/>
      <c r="L16" s="11" t="str">
        <f>IFERROR(VLOOKUP(Tabel1[[#This Row],[Üürnik]],'Lepingu lisa'!$AW$3:$AX$22,2,FALSE),"")</f>
        <v/>
      </c>
      <c r="M16" s="11" t="str">
        <f>IFERROR(VLOOKUP(Tabel1[[#This Row],[Jaotus]],Tabelid!L:M,2,FALSE),"")</f>
        <v>MUU_OTHER</v>
      </c>
      <c r="N16" s="11"/>
      <c r="O16" s="34">
        <v>67.31</v>
      </c>
      <c r="P16" s="34">
        <v>0</v>
      </c>
      <c r="Q16" s="34">
        <v>0</v>
      </c>
      <c r="R16" s="34">
        <v>32.69</v>
      </c>
      <c r="S16" s="34"/>
      <c r="T16" s="34"/>
      <c r="U16" s="34"/>
      <c r="V16" s="34"/>
      <c r="W16" s="34"/>
      <c r="X16" s="34"/>
      <c r="Y16" s="34"/>
      <c r="Z16" s="34"/>
      <c r="AA16" s="34"/>
      <c r="AB16" s="34"/>
      <c r="AC16" s="34"/>
      <c r="AD16" s="34"/>
      <c r="AE16" s="34"/>
      <c r="AF16" s="34"/>
      <c r="AG16" s="34"/>
    </row>
    <row r="17" spans="1:33" x14ac:dyDescent="0.35">
      <c r="A17" s="18" t="s">
        <v>21</v>
      </c>
      <c r="B17" s="19">
        <v>109</v>
      </c>
      <c r="C17" s="18" t="s">
        <v>58</v>
      </c>
      <c r="D17" s="18" t="s">
        <v>80</v>
      </c>
      <c r="E17" s="18" t="s">
        <v>81</v>
      </c>
      <c r="F17" s="53">
        <v>125.9</v>
      </c>
      <c r="G17" s="53">
        <v>122.6</v>
      </c>
      <c r="H17" s="18"/>
      <c r="I17" s="11" t="str">
        <f>LEFT(Tabel1[[#This Row],[Ruumi tüüp (TALO Tüüpruumide nimestik)]],2)</f>
        <v>55</v>
      </c>
      <c r="J17" s="22" t="s">
        <v>4</v>
      </c>
      <c r="K17" s="18" t="s">
        <v>10</v>
      </c>
      <c r="L17" s="11" t="str">
        <f>IFERROR(VLOOKUP(Tabel1[[#This Row],[Üürnik]],'Lepingu lisa'!$AW$3:$AX$22,2,FALSE),"")</f>
        <v>KAARLIMOISATEE4_01</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21</v>
      </c>
      <c r="B18" s="19">
        <v>110</v>
      </c>
      <c r="C18" s="18" t="s">
        <v>58</v>
      </c>
      <c r="D18" s="18" t="s">
        <v>84</v>
      </c>
      <c r="E18" s="18" t="s">
        <v>85</v>
      </c>
      <c r="F18" s="53">
        <v>47.3</v>
      </c>
      <c r="G18" s="53">
        <v>46.5</v>
      </c>
      <c r="H18" s="18"/>
      <c r="I18" s="11" t="str">
        <f>LEFT(Tabel1[[#This Row],[Ruumi tüüp (TALO Tüüpruumide nimestik)]],2)</f>
        <v>85</v>
      </c>
      <c r="J18" s="22" t="s">
        <v>4</v>
      </c>
      <c r="K18" s="18" t="s">
        <v>10</v>
      </c>
      <c r="L18" s="11" t="str">
        <f>IFERROR(VLOOKUP(Tabel1[[#This Row],[Üürnik]],'Lepingu lisa'!$AW$3:$AX$22,2,FALSE),"")</f>
        <v>KAARLIMOISATEE4_01</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21</v>
      </c>
      <c r="B19" s="19">
        <v>111</v>
      </c>
      <c r="C19" s="18" t="s">
        <v>58</v>
      </c>
      <c r="D19" s="18" t="s">
        <v>80</v>
      </c>
      <c r="E19" s="18" t="s">
        <v>81</v>
      </c>
      <c r="F19" s="53">
        <v>16.600000000000001</v>
      </c>
      <c r="G19" s="53">
        <v>16.600000000000001</v>
      </c>
      <c r="H19" s="18"/>
      <c r="I19" s="11" t="str">
        <f>LEFT(Tabel1[[#This Row],[Ruumi tüüp (TALO Tüüpruumide nimestik)]],2)</f>
        <v>55</v>
      </c>
      <c r="J19" s="22" t="s">
        <v>4</v>
      </c>
      <c r="K19" s="18" t="s">
        <v>10</v>
      </c>
      <c r="L19" s="11" t="str">
        <f>IFERROR(VLOOKUP(Tabel1[[#This Row],[Üürnik]],'Lepingu lisa'!$AW$3:$AX$22,2,FALSE),"")</f>
        <v>KAARLIMOISATEE4_01</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35">
      <c r="A20" s="18" t="s">
        <v>21</v>
      </c>
      <c r="B20" s="19">
        <v>112</v>
      </c>
      <c r="C20" s="18" t="s">
        <v>58</v>
      </c>
      <c r="D20" s="18" t="s">
        <v>86</v>
      </c>
      <c r="E20" s="18" t="s">
        <v>87</v>
      </c>
      <c r="F20" s="53">
        <v>11.6</v>
      </c>
      <c r="G20" s="53">
        <v>11.3</v>
      </c>
      <c r="H20" s="18"/>
      <c r="I20" s="11" t="str">
        <f>LEFT(Tabel1[[#This Row],[Ruumi tüüp (TALO Tüüpruumide nimestik)]],2)</f>
        <v>31</v>
      </c>
      <c r="J20" s="22" t="s">
        <v>4</v>
      </c>
      <c r="K20" s="18" t="s">
        <v>10</v>
      </c>
      <c r="L20" s="11" t="str">
        <f>IFERROR(VLOOKUP(Tabel1[[#This Row],[Üürnik]],'Lepingu lisa'!$AW$3:$AX$22,2,FALSE),"")</f>
        <v>KAARLIMOISATEE4_01</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21</v>
      </c>
      <c r="B21" s="19">
        <v>113</v>
      </c>
      <c r="C21" s="18" t="s">
        <v>58</v>
      </c>
      <c r="D21" s="18" t="s">
        <v>61</v>
      </c>
      <c r="E21" s="18" t="s">
        <v>88</v>
      </c>
      <c r="F21" s="53">
        <v>20.3</v>
      </c>
      <c r="G21" s="53">
        <v>19.899999999999999</v>
      </c>
      <c r="H21" s="18"/>
      <c r="I21" s="11" t="str">
        <f>LEFT(Tabel1[[#This Row],[Ruumi tüüp (TALO Tüüpruumide nimestik)]],2)</f>
        <v>52</v>
      </c>
      <c r="J21" s="22" t="s">
        <v>4</v>
      </c>
      <c r="K21" s="18" t="s">
        <v>10</v>
      </c>
      <c r="L21" s="11" t="str">
        <f>IFERROR(VLOOKUP(Tabel1[[#This Row],[Üürnik]],'Lepingu lisa'!$AW$3:$AX$22,2,FALSE),"")</f>
        <v>KAARLIMOISATEE4_01</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35">
      <c r="A22" s="18" t="s">
        <v>21</v>
      </c>
      <c r="B22" s="19">
        <v>114</v>
      </c>
      <c r="C22" s="18" t="s">
        <v>58</v>
      </c>
      <c r="D22" s="18" t="s">
        <v>80</v>
      </c>
      <c r="E22" s="18" t="s">
        <v>81</v>
      </c>
      <c r="F22" s="53">
        <v>438.4425</v>
      </c>
      <c r="G22" s="53">
        <v>438.4</v>
      </c>
      <c r="H22" s="18"/>
      <c r="I22" s="11" t="str">
        <f>LEFT(Tabel1[[#This Row],[Ruumi tüüp (TALO Tüüpruumide nimestik)]],2)</f>
        <v>55</v>
      </c>
      <c r="J22" s="22" t="s">
        <v>4</v>
      </c>
      <c r="K22" s="18" t="s">
        <v>10</v>
      </c>
      <c r="L22" s="11" t="str">
        <f>IFERROR(VLOOKUP(Tabel1[[#This Row],[Üürnik]],'Lepingu lisa'!$AW$3:$AX$22,2,FALSE),"")</f>
        <v>KAARLIMOISATEE4_01</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35">
      <c r="A23" s="18" t="s">
        <v>21</v>
      </c>
      <c r="B23" s="19">
        <v>115</v>
      </c>
      <c r="C23" s="18" t="s">
        <v>58</v>
      </c>
      <c r="D23" s="18" t="s">
        <v>63</v>
      </c>
      <c r="E23" s="18" t="s">
        <v>64</v>
      </c>
      <c r="F23" s="53">
        <v>107.67659999999999</v>
      </c>
      <c r="G23" s="53">
        <v>103.8</v>
      </c>
      <c r="H23" s="18" t="s">
        <v>89</v>
      </c>
      <c r="I23" s="11" t="str">
        <f>LEFT(Tabel1[[#This Row],[Ruumi tüüp (TALO Tüüpruumide nimestik)]],2)</f>
        <v>91</v>
      </c>
      <c r="J23" s="22" t="s">
        <v>83</v>
      </c>
      <c r="K23" s="18"/>
      <c r="L23" s="11" t="str">
        <f>IFERROR(VLOOKUP(Tabel1[[#This Row],[Üürnik]],'Lepingu lisa'!$AW$3:$AX$22,2,FALSE),"")</f>
        <v/>
      </c>
      <c r="M23" s="11" t="str">
        <f>IFERROR(VLOOKUP(Tabel1[[#This Row],[Jaotus]],Tabelid!L:M,2,FALSE),"")</f>
        <v>MUU_OTHER</v>
      </c>
      <c r="N23" s="11"/>
      <c r="O23" s="34">
        <v>80.790000000000006</v>
      </c>
      <c r="P23" s="34">
        <v>0</v>
      </c>
      <c r="Q23" s="34">
        <v>19.21</v>
      </c>
      <c r="R23" s="34">
        <v>0</v>
      </c>
      <c r="S23" s="34"/>
      <c r="T23" s="34"/>
      <c r="U23" s="34"/>
      <c r="V23" s="34"/>
      <c r="W23" s="34"/>
      <c r="X23" s="34"/>
      <c r="Y23" s="34"/>
      <c r="Z23" s="34"/>
      <c r="AA23" s="34"/>
      <c r="AB23" s="34"/>
      <c r="AC23" s="34"/>
      <c r="AD23" s="34"/>
      <c r="AE23" s="34"/>
      <c r="AF23" s="34"/>
      <c r="AG23" s="34"/>
    </row>
    <row r="24" spans="1:33" x14ac:dyDescent="0.35">
      <c r="A24" s="18" t="s">
        <v>21</v>
      </c>
      <c r="B24" s="19">
        <v>118</v>
      </c>
      <c r="C24" s="18" t="s">
        <v>58</v>
      </c>
      <c r="D24" s="18" t="s">
        <v>73</v>
      </c>
      <c r="E24" s="18" t="s">
        <v>74</v>
      </c>
      <c r="F24" s="53">
        <v>2.2000000000000002</v>
      </c>
      <c r="G24" s="53">
        <v>1.6</v>
      </c>
      <c r="H24" s="18"/>
      <c r="I24" s="11" t="str">
        <f>LEFT(Tabel1[[#This Row],[Ruumi tüüp (TALO Tüüpruumide nimestik)]],2)</f>
        <v>73</v>
      </c>
      <c r="J24" s="22" t="s">
        <v>4</v>
      </c>
      <c r="K24" s="18" t="s">
        <v>10</v>
      </c>
      <c r="L24" s="11" t="str">
        <f>IFERROR(VLOOKUP(Tabel1[[#This Row],[Üürnik]],'Lepingu lisa'!$AW$3:$AX$22,2,FALSE),"")</f>
        <v>KAARLIMOISATEE4_01</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21</v>
      </c>
      <c r="B25" s="19">
        <v>119</v>
      </c>
      <c r="C25" s="18" t="s">
        <v>58</v>
      </c>
      <c r="D25" s="18" t="s">
        <v>76</v>
      </c>
      <c r="E25" s="18" t="s">
        <v>77</v>
      </c>
      <c r="F25" s="53">
        <v>11.9</v>
      </c>
      <c r="G25" s="53">
        <v>10.5</v>
      </c>
      <c r="H25" s="18"/>
      <c r="I25" s="11" t="str">
        <f>LEFT(Tabel1[[#This Row],[Ruumi tüüp (TALO Tüüpruumide nimestik)]],2)</f>
        <v>72</v>
      </c>
      <c r="J25" s="22" t="s">
        <v>4</v>
      </c>
      <c r="K25" s="18" t="s">
        <v>10</v>
      </c>
      <c r="L25" s="11" t="str">
        <f>IFERROR(VLOOKUP(Tabel1[[#This Row],[Üürnik]],'Lepingu lisa'!$AW$3:$AX$22,2,FALSE),"")</f>
        <v>KAARLIMOISATEE4_01</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21</v>
      </c>
      <c r="B26" s="19">
        <v>120</v>
      </c>
      <c r="C26" s="18" t="s">
        <v>58</v>
      </c>
      <c r="D26" s="18" t="s">
        <v>76</v>
      </c>
      <c r="E26" s="18" t="s">
        <v>77</v>
      </c>
      <c r="F26" s="53">
        <v>6.3</v>
      </c>
      <c r="G26" s="53">
        <v>5.5</v>
      </c>
      <c r="H26" s="18"/>
      <c r="I26" s="11" t="str">
        <f>LEFT(Tabel1[[#This Row],[Ruumi tüüp (TALO Tüüpruumide nimestik)]],2)</f>
        <v>72</v>
      </c>
      <c r="J26" s="22" t="s">
        <v>4</v>
      </c>
      <c r="K26" s="18" t="s">
        <v>10</v>
      </c>
      <c r="L26" s="11" t="str">
        <f>IFERROR(VLOOKUP(Tabel1[[#This Row],[Üürnik]],'Lepingu lisa'!$AW$3:$AX$22,2,FALSE),"")</f>
        <v>KAARLIMOISATEE4_01</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21</v>
      </c>
      <c r="B27" s="19">
        <v>121</v>
      </c>
      <c r="C27" s="18" t="s">
        <v>58</v>
      </c>
      <c r="D27" s="18" t="s">
        <v>67</v>
      </c>
      <c r="E27" s="18" t="s">
        <v>68</v>
      </c>
      <c r="F27" s="53">
        <v>35.700000000000003</v>
      </c>
      <c r="G27" s="53">
        <v>34</v>
      </c>
      <c r="H27" s="18"/>
      <c r="I27" s="11" t="str">
        <f>LEFT(Tabel1[[#This Row],[Ruumi tüüp (TALO Tüüpruumide nimestik)]],2)</f>
        <v>51</v>
      </c>
      <c r="J27" s="22" t="s">
        <v>4</v>
      </c>
      <c r="K27" s="18" t="s">
        <v>10</v>
      </c>
      <c r="L27" s="11" t="str">
        <f>IFERROR(VLOOKUP(Tabel1[[#This Row],[Üürnik]],'Lepingu lisa'!$AW$3:$AX$22,2,FALSE),"")</f>
        <v>KAARLIMOISATEE4_01</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21</v>
      </c>
      <c r="B28" s="19">
        <v>122</v>
      </c>
      <c r="C28" s="18" t="s">
        <v>58</v>
      </c>
      <c r="D28" s="18" t="s">
        <v>65</v>
      </c>
      <c r="E28" s="18" t="s">
        <v>66</v>
      </c>
      <c r="F28" s="53">
        <v>24.6</v>
      </c>
      <c r="G28" s="53">
        <v>23.7</v>
      </c>
      <c r="H28" s="18"/>
      <c r="I28" s="11" t="str">
        <f>LEFT(Tabel1[[#This Row],[Ruumi tüüp (TALO Tüüpruumide nimestik)]],2)</f>
        <v>21</v>
      </c>
      <c r="J28" s="22" t="s">
        <v>4</v>
      </c>
      <c r="K28" s="18" t="s">
        <v>10</v>
      </c>
      <c r="L28" s="11" t="str">
        <f>IFERROR(VLOOKUP(Tabel1[[#This Row],[Üürnik]],'Lepingu lisa'!$AW$3:$AX$22,2,FALSE),"")</f>
        <v>KAARLIMOISATEE4_01</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21</v>
      </c>
      <c r="B29" s="19">
        <v>123</v>
      </c>
      <c r="C29" s="18" t="s">
        <v>90</v>
      </c>
      <c r="D29" s="18" t="s">
        <v>91</v>
      </c>
      <c r="E29" s="18" t="s">
        <v>92</v>
      </c>
      <c r="F29" s="53">
        <v>39.200000000000003</v>
      </c>
      <c r="G29" s="53">
        <v>39.200000000000003</v>
      </c>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21</v>
      </c>
      <c r="B30" s="19">
        <v>124</v>
      </c>
      <c r="C30" s="18" t="s">
        <v>58</v>
      </c>
      <c r="D30" s="18" t="s">
        <v>93</v>
      </c>
      <c r="E30" s="18" t="s">
        <v>64</v>
      </c>
      <c r="F30" s="53">
        <v>7.8</v>
      </c>
      <c r="G30" s="53">
        <v>7.5</v>
      </c>
      <c r="H30" s="18" t="s">
        <v>94</v>
      </c>
      <c r="I30" s="11" t="str">
        <f>LEFT(Tabel1[[#This Row],[Ruumi tüüp (TALO Tüüpruumide nimestik)]],2)</f>
        <v>91</v>
      </c>
      <c r="J30" s="22" t="s">
        <v>83</v>
      </c>
      <c r="K30" s="18"/>
      <c r="L30" s="11" t="str">
        <f>IFERROR(VLOOKUP(Tabel1[[#This Row],[Üürnik]],'Lepingu lisa'!$AW$3:$AX$22,2,FALSE),"")</f>
        <v/>
      </c>
      <c r="M30" s="11" t="str">
        <f>IFERROR(VLOOKUP(Tabel1[[#This Row],[Jaotus]],Tabelid!L:M,2,FALSE),"")</f>
        <v>MUU_OTHER</v>
      </c>
      <c r="N30" s="11"/>
      <c r="O30" s="34">
        <v>50</v>
      </c>
      <c r="P30" s="34">
        <v>0</v>
      </c>
      <c r="Q30" s="34">
        <v>50</v>
      </c>
      <c r="R30" s="34">
        <v>0</v>
      </c>
      <c r="S30" s="34"/>
      <c r="T30" s="34"/>
      <c r="U30" s="34"/>
      <c r="V30" s="34"/>
      <c r="W30" s="34"/>
      <c r="X30" s="34"/>
      <c r="Y30" s="34"/>
      <c r="Z30" s="34"/>
      <c r="AA30" s="34"/>
      <c r="AB30" s="34"/>
      <c r="AC30" s="34"/>
      <c r="AD30" s="34"/>
      <c r="AE30" s="34"/>
      <c r="AF30" s="34"/>
      <c r="AG30" s="34"/>
    </row>
    <row r="31" spans="1:33" x14ac:dyDescent="0.35">
      <c r="A31" s="18" t="s">
        <v>21</v>
      </c>
      <c r="B31" s="19">
        <v>125</v>
      </c>
      <c r="C31" s="18" t="s">
        <v>58</v>
      </c>
      <c r="D31" s="18" t="s">
        <v>95</v>
      </c>
      <c r="E31" s="18" t="s">
        <v>64</v>
      </c>
      <c r="F31" s="53">
        <v>13.3</v>
      </c>
      <c r="G31" s="53">
        <v>12.8</v>
      </c>
      <c r="H31" s="18" t="s">
        <v>94</v>
      </c>
      <c r="I31" s="11" t="str">
        <f>LEFT(Tabel1[[#This Row],[Ruumi tüüp (TALO Tüüpruumide nimestik)]],2)</f>
        <v>91</v>
      </c>
      <c r="J31" s="22" t="s">
        <v>83</v>
      </c>
      <c r="K31" s="18"/>
      <c r="L31" s="11" t="str">
        <f>IFERROR(VLOOKUP(Tabel1[[#This Row],[Üürnik]],'Lepingu lisa'!$AW$3:$AX$22,2,FALSE),"")</f>
        <v/>
      </c>
      <c r="M31" s="11" t="str">
        <f>IFERROR(VLOOKUP(Tabel1[[#This Row],[Jaotus]],Tabelid!L:M,2,FALSE),"")</f>
        <v>MUU_OTHER</v>
      </c>
      <c r="N31" s="11"/>
      <c r="O31" s="34">
        <v>50</v>
      </c>
      <c r="P31" s="34">
        <v>0</v>
      </c>
      <c r="Q31" s="34">
        <v>50</v>
      </c>
      <c r="R31" s="34">
        <v>0</v>
      </c>
      <c r="S31" s="34"/>
      <c r="T31" s="34"/>
      <c r="U31" s="34"/>
      <c r="V31" s="34"/>
      <c r="W31" s="34"/>
      <c r="X31" s="34"/>
      <c r="Y31" s="34"/>
      <c r="Z31" s="34"/>
      <c r="AA31" s="34"/>
      <c r="AB31" s="34"/>
      <c r="AC31" s="34"/>
      <c r="AD31" s="34"/>
      <c r="AE31" s="34"/>
      <c r="AF31" s="34"/>
      <c r="AG31" s="34"/>
    </row>
    <row r="32" spans="1:33" x14ac:dyDescent="0.35">
      <c r="A32" s="18" t="s">
        <v>21</v>
      </c>
      <c r="B32" s="19">
        <v>126</v>
      </c>
      <c r="C32" s="18" t="s">
        <v>58</v>
      </c>
      <c r="D32" s="18" t="s">
        <v>61</v>
      </c>
      <c r="E32" s="18" t="s">
        <v>62</v>
      </c>
      <c r="F32" s="53">
        <v>36.6</v>
      </c>
      <c r="G32" s="53">
        <v>35.4</v>
      </c>
      <c r="H32" s="18"/>
      <c r="I32" s="11" t="str">
        <f>LEFT(Tabel1[[#This Row],[Ruumi tüüp (TALO Tüüpruumide nimestik)]],2)</f>
        <v>59</v>
      </c>
      <c r="J32" s="22" t="s">
        <v>4</v>
      </c>
      <c r="K32" s="18" t="s">
        <v>10</v>
      </c>
      <c r="L32" s="11" t="str">
        <f>IFERROR(VLOOKUP(Tabel1[[#This Row],[Üürnik]],'Lepingu lisa'!$AW$3:$AX$22,2,FALSE),"")</f>
        <v>KAARLIMOISATEE4_01</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21</v>
      </c>
      <c r="B33" s="19">
        <v>127</v>
      </c>
      <c r="C33" s="18" t="s">
        <v>58</v>
      </c>
      <c r="D33" s="18" t="s">
        <v>61</v>
      </c>
      <c r="E33" s="18" t="s">
        <v>88</v>
      </c>
      <c r="F33" s="53">
        <v>40.1</v>
      </c>
      <c r="G33" s="53">
        <v>40.1</v>
      </c>
      <c r="H33" s="18"/>
      <c r="I33" s="11" t="str">
        <f>LEFT(Tabel1[[#This Row],[Ruumi tüüp (TALO Tüüpruumide nimestik)]],2)</f>
        <v>52</v>
      </c>
      <c r="J33" s="22" t="s">
        <v>4</v>
      </c>
      <c r="K33" s="18" t="s">
        <v>14</v>
      </c>
      <c r="L33" s="11" t="str">
        <f>IFERROR(VLOOKUP(Tabel1[[#This Row],[Üürnik]],'Lepingu lisa'!$AW$3:$AX$22,2,FALSE),"")</f>
        <v>KAARLIMOISATEE4_03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21</v>
      </c>
      <c r="B34" s="19">
        <v>128</v>
      </c>
      <c r="C34" s="18" t="s">
        <v>58</v>
      </c>
      <c r="D34" s="18" t="s">
        <v>96</v>
      </c>
      <c r="E34" s="18" t="s">
        <v>97</v>
      </c>
      <c r="F34" s="53">
        <v>4</v>
      </c>
      <c r="G34" s="53">
        <v>3.6</v>
      </c>
      <c r="H34" s="18"/>
      <c r="I34" s="11" t="str">
        <f>LEFT(Tabel1[[#This Row],[Ruumi tüüp (TALO Tüüpruumide nimestik)]],2)</f>
        <v>86</v>
      </c>
      <c r="J34" s="22" t="s">
        <v>4</v>
      </c>
      <c r="K34" s="18" t="s">
        <v>10</v>
      </c>
      <c r="L34" s="11" t="str">
        <f>IFERROR(VLOOKUP(Tabel1[[#This Row],[Üürnik]],'Lepingu lisa'!$AW$3:$AX$22,2,FALSE),"")</f>
        <v>KAARLIMOISATEE4_01</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35">
      <c r="A35" s="18" t="s">
        <v>21</v>
      </c>
      <c r="B35" s="19">
        <v>129</v>
      </c>
      <c r="C35" s="18" t="s">
        <v>58</v>
      </c>
      <c r="D35" s="18" t="s">
        <v>73</v>
      </c>
      <c r="E35" s="18" t="s">
        <v>74</v>
      </c>
      <c r="F35" s="53">
        <v>6.1</v>
      </c>
      <c r="G35" s="53">
        <v>5.4</v>
      </c>
      <c r="H35" s="18"/>
      <c r="I35" s="11" t="str">
        <f>LEFT(Tabel1[[#This Row],[Ruumi tüüp (TALO Tüüpruumide nimestik)]],2)</f>
        <v>73</v>
      </c>
      <c r="J35" s="22" t="s">
        <v>4</v>
      </c>
      <c r="K35" s="18" t="s">
        <v>10</v>
      </c>
      <c r="L35" s="11" t="str">
        <f>IFERROR(VLOOKUP(Tabel1[[#This Row],[Üürnik]],'Lepingu lisa'!$AW$3:$AX$22,2,FALSE),"")</f>
        <v>KAARLIMOISATEE4_01</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21</v>
      </c>
      <c r="B36" s="19">
        <v>130</v>
      </c>
      <c r="C36" s="18" t="s">
        <v>58</v>
      </c>
      <c r="D36" s="18" t="s">
        <v>73</v>
      </c>
      <c r="E36" s="18" t="s">
        <v>74</v>
      </c>
      <c r="F36" s="53">
        <v>3.2</v>
      </c>
      <c r="G36" s="53">
        <v>2.5</v>
      </c>
      <c r="H36" s="18"/>
      <c r="I36" s="11" t="str">
        <f>LEFT(Tabel1[[#This Row],[Ruumi tüüp (TALO Tüüpruumide nimestik)]],2)</f>
        <v>73</v>
      </c>
      <c r="J36" s="22" t="s">
        <v>4</v>
      </c>
      <c r="K36" s="18" t="s">
        <v>10</v>
      </c>
      <c r="L36" s="11" t="str">
        <f>IFERROR(VLOOKUP(Tabel1[[#This Row],[Üürnik]],'Lepingu lisa'!$AW$3:$AX$22,2,FALSE),"")</f>
        <v>KAARLIMOISATEE4_01</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21</v>
      </c>
      <c r="B37" s="19" t="s">
        <v>98</v>
      </c>
      <c r="C37" s="18" t="s">
        <v>58</v>
      </c>
      <c r="D37" s="18" t="s">
        <v>73</v>
      </c>
      <c r="E37" s="18" t="s">
        <v>74</v>
      </c>
      <c r="F37" s="53">
        <v>2.6</v>
      </c>
      <c r="G37" s="53">
        <v>2.1</v>
      </c>
      <c r="H37" s="18" t="s">
        <v>94</v>
      </c>
      <c r="I37" s="11" t="str">
        <f>LEFT(Tabel1[[#This Row],[Ruumi tüüp (TALO Tüüpruumide nimestik)]],2)</f>
        <v>73</v>
      </c>
      <c r="J37" s="22" t="s">
        <v>83</v>
      </c>
      <c r="K37" s="18"/>
      <c r="L37" s="11" t="str">
        <f>IFERROR(VLOOKUP(Tabel1[[#This Row],[Üürnik]],'Lepingu lisa'!$AW$3:$AX$22,2,FALSE),"")</f>
        <v/>
      </c>
      <c r="M37" s="11" t="str">
        <f>IFERROR(VLOOKUP(Tabel1[[#This Row],[Jaotus]],Tabelid!L:M,2,FALSE),"")</f>
        <v>MUU_OTHER</v>
      </c>
      <c r="N37" s="11"/>
      <c r="O37" s="34">
        <v>50</v>
      </c>
      <c r="P37" s="34">
        <v>0</v>
      </c>
      <c r="Q37" s="34">
        <v>50</v>
      </c>
      <c r="R37" s="34">
        <v>0</v>
      </c>
      <c r="S37" s="34"/>
      <c r="T37" s="34"/>
      <c r="U37" s="34"/>
      <c r="V37" s="34"/>
      <c r="W37" s="34"/>
      <c r="X37" s="34"/>
      <c r="Y37" s="34"/>
      <c r="Z37" s="34"/>
      <c r="AA37" s="34"/>
      <c r="AB37" s="34"/>
      <c r="AC37" s="34"/>
      <c r="AD37" s="34"/>
      <c r="AE37" s="34"/>
      <c r="AF37" s="34"/>
      <c r="AG37" s="34"/>
    </row>
    <row r="38" spans="1:33" x14ac:dyDescent="0.35">
      <c r="A38" s="18" t="s">
        <v>21</v>
      </c>
      <c r="B38" s="19" t="s">
        <v>99</v>
      </c>
      <c r="C38" s="18" t="s">
        <v>58</v>
      </c>
      <c r="D38" s="18" t="s">
        <v>73</v>
      </c>
      <c r="E38" s="18" t="s">
        <v>74</v>
      </c>
      <c r="F38" s="53">
        <v>3</v>
      </c>
      <c r="G38" s="53">
        <v>2.5</v>
      </c>
      <c r="H38" s="18"/>
      <c r="I38" s="11" t="str">
        <f>LEFT(Tabel1[[#This Row],[Ruumi tüüp (TALO Tüüpruumide nimestik)]],2)</f>
        <v>73</v>
      </c>
      <c r="J38" s="22" t="s">
        <v>4</v>
      </c>
      <c r="K38" s="18" t="s">
        <v>10</v>
      </c>
      <c r="L38" s="11" t="str">
        <f>IFERROR(VLOOKUP(Tabel1[[#This Row],[Üürnik]],'Lepingu lisa'!$AW$3:$AX$22,2,FALSE),"")</f>
        <v>KAARLIMOISATEE4_01</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21</v>
      </c>
      <c r="B39" s="19" t="s">
        <v>100</v>
      </c>
      <c r="C39" s="18" t="s">
        <v>58</v>
      </c>
      <c r="D39" s="18" t="s">
        <v>73</v>
      </c>
      <c r="E39" s="18" t="s">
        <v>74</v>
      </c>
      <c r="F39" s="53">
        <v>2.8</v>
      </c>
      <c r="G39" s="53">
        <v>2.1</v>
      </c>
      <c r="H39" s="18"/>
      <c r="I39" s="11" t="str">
        <f>LEFT(Tabel1[[#This Row],[Ruumi tüüp (TALO Tüüpruumide nimestik)]],2)</f>
        <v>73</v>
      </c>
      <c r="J39" s="22" t="s">
        <v>4</v>
      </c>
      <c r="K39" s="18" t="s">
        <v>10</v>
      </c>
      <c r="L39" s="11" t="str">
        <f>IFERROR(VLOOKUP(Tabel1[[#This Row],[Üürnik]],'Lepingu lisa'!$AW$3:$AX$22,2,FALSE),"")</f>
        <v>KAARLIMOISATEE4_01</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21</v>
      </c>
      <c r="B40" s="19">
        <v>131</v>
      </c>
      <c r="C40" s="18" t="s">
        <v>58</v>
      </c>
      <c r="D40" s="18" t="s">
        <v>73</v>
      </c>
      <c r="E40" s="18" t="s">
        <v>74</v>
      </c>
      <c r="F40" s="53">
        <v>2.6</v>
      </c>
      <c r="G40" s="53">
        <v>2.1</v>
      </c>
      <c r="H40" s="18"/>
      <c r="I40" s="11" t="str">
        <f>LEFT(Tabel1[[#This Row],[Ruumi tüüp (TALO Tüüpruumide nimestik)]],2)</f>
        <v>73</v>
      </c>
      <c r="J40" s="22" t="s">
        <v>4</v>
      </c>
      <c r="K40" s="18" t="s">
        <v>10</v>
      </c>
      <c r="L40" s="11" t="str">
        <f>IFERROR(VLOOKUP(Tabel1[[#This Row],[Üürnik]],'Lepingu lisa'!$AW$3:$AX$22,2,FALSE),"")</f>
        <v>KAARLIMOISATEE4_01</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21</v>
      </c>
      <c r="B41" s="19">
        <v>132</v>
      </c>
      <c r="C41" s="18" t="s">
        <v>90</v>
      </c>
      <c r="D41" s="18" t="s">
        <v>101</v>
      </c>
      <c r="E41" s="18" t="s">
        <v>102</v>
      </c>
      <c r="F41" s="53">
        <v>5.6</v>
      </c>
      <c r="G41" s="53">
        <v>5.6</v>
      </c>
      <c r="H41" s="18"/>
      <c r="I41" s="11" t="str">
        <f>LEFT(Tabel1[[#This Row],[Ruumi tüüp (TALO Tüüpruumide nimestik)]],2)</f>
        <v>97</v>
      </c>
      <c r="J41" s="22"/>
      <c r="K41" s="18"/>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21</v>
      </c>
      <c r="B42" s="19">
        <v>133</v>
      </c>
      <c r="C42" s="18" t="s">
        <v>58</v>
      </c>
      <c r="D42" s="18" t="s">
        <v>59</v>
      </c>
      <c r="E42" s="18" t="s">
        <v>60</v>
      </c>
      <c r="F42" s="53">
        <v>116.2118</v>
      </c>
      <c r="G42" s="53">
        <v>115.6</v>
      </c>
      <c r="H42" s="18"/>
      <c r="I42" s="11" t="str">
        <f>LEFT(Tabel1[[#This Row],[Ruumi tüüp (TALO Tüüpruumide nimestik)]],2)</f>
        <v>41</v>
      </c>
      <c r="J42" s="22" t="s">
        <v>4</v>
      </c>
      <c r="K42" s="18" t="s">
        <v>10</v>
      </c>
      <c r="L42" s="11" t="str">
        <f>IFERROR(VLOOKUP(Tabel1[[#This Row],[Üürnik]],'Lepingu lisa'!$AW$3:$AX$22,2,FALSE),"")</f>
        <v>KAARLIMOISATEE4_01</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21</v>
      </c>
      <c r="B43" s="19">
        <v>134</v>
      </c>
      <c r="C43" s="18" t="s">
        <v>58</v>
      </c>
      <c r="D43" s="18" t="s">
        <v>59</v>
      </c>
      <c r="E43" s="18" t="s">
        <v>60</v>
      </c>
      <c r="F43" s="53">
        <v>88.765000000000001</v>
      </c>
      <c r="G43" s="53">
        <v>88.8</v>
      </c>
      <c r="H43" s="18"/>
      <c r="I43" s="11" t="str">
        <f>LEFT(Tabel1[[#This Row],[Ruumi tüüp (TALO Tüüpruumide nimestik)]],2)</f>
        <v>41</v>
      </c>
      <c r="J43" s="22" t="s">
        <v>4</v>
      </c>
      <c r="K43" s="18" t="s">
        <v>10</v>
      </c>
      <c r="L43" s="11" t="str">
        <f>IFERROR(VLOOKUP(Tabel1[[#This Row],[Üürnik]],'Lepingu lisa'!$AW$3:$AX$22,2,FALSE),"")</f>
        <v>KAARLIMOISATEE4_01</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21</v>
      </c>
      <c r="B44" s="19">
        <v>135</v>
      </c>
      <c r="C44" s="18" t="s">
        <v>58</v>
      </c>
      <c r="D44" s="18" t="s">
        <v>61</v>
      </c>
      <c r="E44" s="18" t="s">
        <v>88</v>
      </c>
      <c r="F44" s="53">
        <v>54.5351</v>
      </c>
      <c r="G44" s="53">
        <v>53.1</v>
      </c>
      <c r="H44" s="18" t="s">
        <v>103</v>
      </c>
      <c r="I44" s="11" t="str">
        <f>LEFT(Tabel1[[#This Row],[Ruumi tüüp (TALO Tüüpruumide nimestik)]],2)</f>
        <v>52</v>
      </c>
      <c r="J44" s="22" t="s">
        <v>83</v>
      </c>
      <c r="K44" s="18"/>
      <c r="L44" s="11" t="str">
        <f>IFERROR(VLOOKUP(Tabel1[[#This Row],[Üürnik]],'Lepingu lisa'!$AW$3:$AX$22,2,FALSE),"")</f>
        <v/>
      </c>
      <c r="M44" s="11" t="str">
        <f>IFERROR(VLOOKUP(Tabel1[[#This Row],[Jaotus]],Tabelid!L:M,2,FALSE),"")</f>
        <v>MUU_OTHER</v>
      </c>
      <c r="N44" s="11"/>
      <c r="O44" s="34">
        <v>50</v>
      </c>
      <c r="P44" s="34">
        <v>50</v>
      </c>
      <c r="Q44" s="34">
        <v>0</v>
      </c>
      <c r="R44" s="34">
        <v>0</v>
      </c>
      <c r="S44" s="34"/>
      <c r="T44" s="34"/>
      <c r="U44" s="34"/>
      <c r="V44" s="34"/>
      <c r="W44" s="34"/>
      <c r="X44" s="34"/>
      <c r="Y44" s="34"/>
      <c r="Z44" s="34"/>
      <c r="AA44" s="34"/>
      <c r="AB44" s="34"/>
      <c r="AC44" s="34"/>
      <c r="AD44" s="34"/>
      <c r="AE44" s="34"/>
      <c r="AF44" s="34"/>
      <c r="AG44" s="34"/>
    </row>
    <row r="45" spans="1:33" x14ac:dyDescent="0.35">
      <c r="A45" s="18" t="s">
        <v>21</v>
      </c>
      <c r="B45" s="19">
        <v>136</v>
      </c>
      <c r="C45" s="18" t="s">
        <v>58</v>
      </c>
      <c r="D45" s="18" t="s">
        <v>59</v>
      </c>
      <c r="E45" s="18" t="s">
        <v>60</v>
      </c>
      <c r="F45" s="53">
        <v>29.1</v>
      </c>
      <c r="G45" s="53">
        <v>27.7</v>
      </c>
      <c r="H45" s="18" t="s">
        <v>103</v>
      </c>
      <c r="I45" s="11" t="str">
        <f>LEFT(Tabel1[[#This Row],[Ruumi tüüp (TALO Tüüpruumide nimestik)]],2)</f>
        <v>41</v>
      </c>
      <c r="J45" s="22" t="s">
        <v>83</v>
      </c>
      <c r="K45" s="18"/>
      <c r="L45" s="11" t="str">
        <f>IFERROR(VLOOKUP(Tabel1[[#This Row],[Üürnik]],'Lepingu lisa'!$AW$3:$AX$22,2,FALSE),"")</f>
        <v/>
      </c>
      <c r="M45" s="11" t="str">
        <f>IFERROR(VLOOKUP(Tabel1[[#This Row],[Jaotus]],Tabelid!L:M,2,FALSE),"")</f>
        <v>MUU_OTHER</v>
      </c>
      <c r="N45" s="11"/>
      <c r="O45" s="34">
        <v>50</v>
      </c>
      <c r="P45" s="34">
        <v>50</v>
      </c>
      <c r="Q45" s="34">
        <v>0</v>
      </c>
      <c r="R45" s="34">
        <v>0</v>
      </c>
      <c r="S45" s="34"/>
      <c r="T45" s="34"/>
      <c r="U45" s="34"/>
      <c r="V45" s="34"/>
      <c r="W45" s="34"/>
      <c r="X45" s="34"/>
      <c r="Y45" s="34"/>
      <c r="Z45" s="34"/>
      <c r="AA45" s="34"/>
      <c r="AB45" s="34"/>
      <c r="AC45" s="34"/>
      <c r="AD45" s="34"/>
      <c r="AE45" s="34"/>
      <c r="AF45" s="34"/>
      <c r="AG45" s="34"/>
    </row>
    <row r="46" spans="1:33" x14ac:dyDescent="0.35">
      <c r="A46" s="18" t="s">
        <v>21</v>
      </c>
      <c r="B46" s="19">
        <v>137</v>
      </c>
      <c r="C46" s="18" t="s">
        <v>58</v>
      </c>
      <c r="D46" s="18" t="s">
        <v>59</v>
      </c>
      <c r="E46" s="18" t="s">
        <v>60</v>
      </c>
      <c r="F46" s="53">
        <v>395.64890000000003</v>
      </c>
      <c r="G46" s="53">
        <v>393.6</v>
      </c>
      <c r="H46" s="18" t="s">
        <v>104</v>
      </c>
      <c r="I46" s="11" t="str">
        <f>LEFT(Tabel1[[#This Row],[Ruumi tüüp (TALO Tüüpruumide nimestik)]],2)</f>
        <v>41</v>
      </c>
      <c r="J46" s="22" t="s">
        <v>83</v>
      </c>
      <c r="K46" s="18"/>
      <c r="L46" s="11" t="str">
        <f>IFERROR(VLOOKUP(Tabel1[[#This Row],[Üürnik]],'Lepingu lisa'!$AW$3:$AX$22,2,FALSE),"")</f>
        <v/>
      </c>
      <c r="M46" s="11" t="str">
        <f>IFERROR(VLOOKUP(Tabel1[[#This Row],[Jaotus]],Tabelid!L:M,2,FALSE),"")</f>
        <v>MUU_OTHER</v>
      </c>
      <c r="N46" s="11"/>
      <c r="O46" s="34">
        <v>92.48</v>
      </c>
      <c r="P46" s="34">
        <v>7.52</v>
      </c>
      <c r="Q46" s="34">
        <v>0</v>
      </c>
      <c r="R46" s="34">
        <v>0</v>
      </c>
      <c r="S46" s="34"/>
      <c r="T46" s="34"/>
      <c r="U46" s="34"/>
      <c r="V46" s="34"/>
      <c r="W46" s="34"/>
      <c r="X46" s="34"/>
      <c r="Y46" s="34"/>
      <c r="Z46" s="34"/>
      <c r="AA46" s="34"/>
      <c r="AB46" s="34"/>
      <c r="AC46" s="34"/>
      <c r="AD46" s="34"/>
      <c r="AE46" s="34"/>
      <c r="AF46" s="34"/>
      <c r="AG46" s="34"/>
    </row>
    <row r="47" spans="1:33" x14ac:dyDescent="0.35">
      <c r="A47" s="18" t="s">
        <v>21</v>
      </c>
      <c r="B47" s="19">
        <v>138</v>
      </c>
      <c r="C47" s="18" t="s">
        <v>58</v>
      </c>
      <c r="D47" s="18" t="s">
        <v>59</v>
      </c>
      <c r="E47" s="18" t="s">
        <v>60</v>
      </c>
      <c r="F47" s="53">
        <v>225.7586</v>
      </c>
      <c r="G47" s="53">
        <v>225.8</v>
      </c>
      <c r="H47" s="18" t="s">
        <v>105</v>
      </c>
      <c r="I47" s="11" t="str">
        <f>LEFT(Tabel1[[#This Row],[Ruumi tüüp (TALO Tüüpruumide nimestik)]],2)</f>
        <v>41</v>
      </c>
      <c r="J47" s="22" t="s">
        <v>83</v>
      </c>
      <c r="K47" s="18"/>
      <c r="L47" s="11" t="str">
        <f>IFERROR(VLOOKUP(Tabel1[[#This Row],[Üürnik]],'Lepingu lisa'!$AW$3:$AX$22,2,FALSE),"")</f>
        <v/>
      </c>
      <c r="M47" s="11" t="str">
        <f>IFERROR(VLOOKUP(Tabel1[[#This Row],[Jaotus]],Tabelid!L:M,2,FALSE),"")</f>
        <v>MUU_OTHER</v>
      </c>
      <c r="N47" s="11"/>
      <c r="O47" s="34">
        <v>88.81</v>
      </c>
      <c r="P47" s="34">
        <v>11.19</v>
      </c>
      <c r="Q47" s="34">
        <v>0</v>
      </c>
      <c r="R47" s="34">
        <v>0</v>
      </c>
      <c r="S47" s="34"/>
      <c r="T47" s="34"/>
      <c r="U47" s="34"/>
      <c r="V47" s="34"/>
      <c r="W47" s="34"/>
      <c r="X47" s="34"/>
      <c r="Y47" s="34"/>
      <c r="Z47" s="34"/>
      <c r="AA47" s="34"/>
      <c r="AB47" s="34"/>
      <c r="AC47" s="34"/>
      <c r="AD47" s="34"/>
      <c r="AE47" s="34"/>
      <c r="AF47" s="34"/>
      <c r="AG47" s="34"/>
    </row>
    <row r="48" spans="1:33" x14ac:dyDescent="0.35">
      <c r="A48" s="18" t="s">
        <v>21</v>
      </c>
      <c r="B48" s="19">
        <v>139</v>
      </c>
      <c r="C48" s="18" t="s">
        <v>58</v>
      </c>
      <c r="D48" s="18" t="s">
        <v>86</v>
      </c>
      <c r="E48" s="18" t="s">
        <v>87</v>
      </c>
      <c r="F48" s="53">
        <v>59.835599999999999</v>
      </c>
      <c r="G48" s="53">
        <v>59.3</v>
      </c>
      <c r="H48" s="18"/>
      <c r="I48" s="11" t="str">
        <f>LEFT(Tabel1[[#This Row],[Ruumi tüüp (TALO Tüüpruumide nimestik)]],2)</f>
        <v>31</v>
      </c>
      <c r="J48" s="22" t="s">
        <v>4</v>
      </c>
      <c r="K48" s="18" t="s">
        <v>10</v>
      </c>
      <c r="L48" s="11" t="str">
        <f>IFERROR(VLOOKUP(Tabel1[[#This Row],[Üürnik]],'Lepingu lisa'!$AW$3:$AX$22,2,FALSE),"")</f>
        <v>KAARLIMOISATEE4_01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21</v>
      </c>
      <c r="B49" s="19" t="s">
        <v>106</v>
      </c>
      <c r="C49" s="18" t="s">
        <v>58</v>
      </c>
      <c r="D49" s="18" t="s">
        <v>107</v>
      </c>
      <c r="E49" s="18" t="s">
        <v>71</v>
      </c>
      <c r="F49" s="53">
        <v>7.1582999999999997</v>
      </c>
      <c r="G49" s="53">
        <v>6.7</v>
      </c>
      <c r="H49" s="18"/>
      <c r="I49" s="11" t="str">
        <f>LEFT(Tabel1[[#This Row],[Ruumi tüüp (TALO Tüüpruumide nimestik)]],2)</f>
        <v>23</v>
      </c>
      <c r="J49" s="22" t="s">
        <v>4</v>
      </c>
      <c r="K49" s="18" t="s">
        <v>10</v>
      </c>
      <c r="L49" s="11" t="str">
        <f>IFERROR(VLOOKUP(Tabel1[[#This Row],[Üürnik]],'Lepingu lisa'!$AW$3:$AX$22,2,FALSE),"")</f>
        <v>KAARLIMOISATEE4_01</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21</v>
      </c>
      <c r="B50" s="19">
        <v>140</v>
      </c>
      <c r="C50" s="18" t="s">
        <v>58</v>
      </c>
      <c r="D50" s="18" t="s">
        <v>61</v>
      </c>
      <c r="E50" s="18" t="s">
        <v>62</v>
      </c>
      <c r="F50" s="53">
        <v>19.8413</v>
      </c>
      <c r="G50" s="53">
        <v>19.600000000000001</v>
      </c>
      <c r="H50" s="18"/>
      <c r="I50" s="11" t="str">
        <f>LEFT(Tabel1[[#This Row],[Ruumi tüüp (TALO Tüüpruumide nimestik)]],2)</f>
        <v>59</v>
      </c>
      <c r="J50" s="22" t="s">
        <v>4</v>
      </c>
      <c r="K50" s="18" t="s">
        <v>12</v>
      </c>
      <c r="L50" s="11" t="str">
        <f>IFERROR(VLOOKUP(Tabel1[[#This Row],[Üürnik]],'Lepingu lisa'!$AW$3:$AX$22,2,FALSE),"")</f>
        <v>KAARLIMOISATEE4_02</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21</v>
      </c>
      <c r="B51" s="19">
        <v>141</v>
      </c>
      <c r="C51" s="18" t="s">
        <v>90</v>
      </c>
      <c r="D51" s="18" t="s">
        <v>108</v>
      </c>
      <c r="E51" s="18" t="s">
        <v>109</v>
      </c>
      <c r="F51" s="53">
        <v>20.8</v>
      </c>
      <c r="G51" s="53">
        <v>20.8</v>
      </c>
      <c r="H51" s="18" t="s">
        <v>110</v>
      </c>
      <c r="I51" s="11" t="str">
        <f>LEFT(Tabel1[[#This Row],[Ruumi tüüp (TALO Tüüpruumide nimestik)]],2)</f>
        <v>94</v>
      </c>
      <c r="J51" s="22"/>
      <c r="K51" s="18"/>
      <c r="L51" s="11" t="str">
        <f>IFERROR(VLOOKUP(Tabel1[[#This Row],[Üürnik]],'Lepingu lisa'!$AW$3:$AX$22,2,FALSE),"")</f>
        <v/>
      </c>
      <c r="M51" s="11" t="str">
        <f>IFERROR(VLOOKUP(Tabel1[[#This Row],[Jaotus]],Tabelid!L:M,2,FALSE),"")</f>
        <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21</v>
      </c>
      <c r="B52" s="19">
        <v>142</v>
      </c>
      <c r="C52" s="18" t="s">
        <v>58</v>
      </c>
      <c r="D52" s="18" t="s">
        <v>76</v>
      </c>
      <c r="E52" s="18" t="s">
        <v>77</v>
      </c>
      <c r="F52" s="53">
        <v>14</v>
      </c>
      <c r="G52" s="53">
        <v>13.2</v>
      </c>
      <c r="H52" s="18"/>
      <c r="I52" s="11" t="str">
        <f>LEFT(Tabel1[[#This Row],[Ruumi tüüp (TALO Tüüpruumide nimestik)]],2)</f>
        <v>72</v>
      </c>
      <c r="J52" s="22" t="s">
        <v>4</v>
      </c>
      <c r="K52" s="18" t="s">
        <v>12</v>
      </c>
      <c r="L52" s="11" t="str">
        <f>IFERROR(VLOOKUP(Tabel1[[#This Row],[Üürnik]],'Lepingu lisa'!$AW$3:$AX$22,2,FALSE),"")</f>
        <v>KAARLIMOISATEE4_02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21</v>
      </c>
      <c r="B53" s="19">
        <v>143</v>
      </c>
      <c r="C53" s="18" t="s">
        <v>58</v>
      </c>
      <c r="D53" s="18" t="s">
        <v>73</v>
      </c>
      <c r="E53" s="18" t="s">
        <v>74</v>
      </c>
      <c r="F53" s="53">
        <v>3.1</v>
      </c>
      <c r="G53" s="53">
        <v>2.5</v>
      </c>
      <c r="H53" s="18"/>
      <c r="I53" s="11" t="str">
        <f>LEFT(Tabel1[[#This Row],[Ruumi tüüp (TALO Tüüpruumide nimestik)]],2)</f>
        <v>73</v>
      </c>
      <c r="J53" s="22" t="s">
        <v>4</v>
      </c>
      <c r="K53" s="18" t="s">
        <v>12</v>
      </c>
      <c r="L53" s="11" t="str">
        <f>IFERROR(VLOOKUP(Tabel1[[#This Row],[Üürnik]],'Lepingu lisa'!$AW$3:$AX$22,2,FALSE),"")</f>
        <v>KAARLIMOISATEE4_02</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21</v>
      </c>
      <c r="B54" s="19">
        <v>144</v>
      </c>
      <c r="C54" s="18" t="s">
        <v>58</v>
      </c>
      <c r="D54" s="18" t="s">
        <v>73</v>
      </c>
      <c r="E54" s="18" t="s">
        <v>74</v>
      </c>
      <c r="F54" s="53">
        <v>2.1</v>
      </c>
      <c r="G54" s="53">
        <v>1.7</v>
      </c>
      <c r="H54" s="18"/>
      <c r="I54" s="11" t="str">
        <f>LEFT(Tabel1[[#This Row],[Ruumi tüüp (TALO Tüüpruumide nimestik)]],2)</f>
        <v>73</v>
      </c>
      <c r="J54" s="22" t="s">
        <v>4</v>
      </c>
      <c r="K54" s="18" t="s">
        <v>12</v>
      </c>
      <c r="L54" s="11" t="str">
        <f>IFERROR(VLOOKUP(Tabel1[[#This Row],[Üürnik]],'Lepingu lisa'!$AW$3:$AX$22,2,FALSE),"")</f>
        <v>KAARLIMOISATEE4_02</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21</v>
      </c>
      <c r="B55" s="19">
        <v>145</v>
      </c>
      <c r="C55" s="18" t="s">
        <v>58</v>
      </c>
      <c r="D55" s="18" t="s">
        <v>73</v>
      </c>
      <c r="E55" s="18" t="s">
        <v>74</v>
      </c>
      <c r="F55" s="53">
        <v>2.1</v>
      </c>
      <c r="G55" s="53">
        <v>1.5</v>
      </c>
      <c r="H55" s="18"/>
      <c r="I55" s="11" t="str">
        <f>LEFT(Tabel1[[#This Row],[Ruumi tüüp (TALO Tüüpruumide nimestik)]],2)</f>
        <v>73</v>
      </c>
      <c r="J55" s="22" t="s">
        <v>4</v>
      </c>
      <c r="K55" s="18" t="s">
        <v>12</v>
      </c>
      <c r="L55" s="11" t="str">
        <f>IFERROR(VLOOKUP(Tabel1[[#This Row],[Üürnik]],'Lepingu lisa'!$AW$3:$AX$22,2,FALSE),"")</f>
        <v>KAARLIMOISATEE4_02</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21</v>
      </c>
      <c r="B56" s="19">
        <v>146</v>
      </c>
      <c r="C56" s="18" t="s">
        <v>58</v>
      </c>
      <c r="D56" s="18" t="s">
        <v>59</v>
      </c>
      <c r="E56" s="18" t="s">
        <v>60</v>
      </c>
      <c r="F56" s="53">
        <v>230.81309999999999</v>
      </c>
      <c r="G56" s="53">
        <v>228.7</v>
      </c>
      <c r="H56" s="18"/>
      <c r="I56" s="11" t="str">
        <f>LEFT(Tabel1[[#This Row],[Ruumi tüüp (TALO Tüüpruumide nimestik)]],2)</f>
        <v>41</v>
      </c>
      <c r="J56" s="22" t="s">
        <v>4</v>
      </c>
      <c r="K56" s="18" t="s">
        <v>12</v>
      </c>
      <c r="L56" s="11" t="str">
        <f>IFERROR(VLOOKUP(Tabel1[[#This Row],[Üürnik]],'Lepingu lisa'!$AW$3:$AX$22,2,FALSE),"")</f>
        <v>KAARLIMOISATEE4_02</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21</v>
      </c>
      <c r="B57" s="19">
        <v>147</v>
      </c>
      <c r="C57" s="18" t="s">
        <v>58</v>
      </c>
      <c r="D57" s="18" t="s">
        <v>67</v>
      </c>
      <c r="E57" s="18" t="s">
        <v>68</v>
      </c>
      <c r="F57" s="53">
        <v>57.1</v>
      </c>
      <c r="G57" s="53">
        <v>54.8</v>
      </c>
      <c r="H57" s="18"/>
      <c r="I57" s="11" t="str">
        <f>LEFT(Tabel1[[#This Row],[Ruumi tüüp (TALO Tüüpruumide nimestik)]],2)</f>
        <v>51</v>
      </c>
      <c r="J57" s="22" t="s">
        <v>4</v>
      </c>
      <c r="K57" s="18" t="s">
        <v>12</v>
      </c>
      <c r="L57" s="11" t="str">
        <f>IFERROR(VLOOKUP(Tabel1[[#This Row],[Üürnik]],'Lepingu lisa'!$AW$3:$AX$22,2,FALSE),"")</f>
        <v>KAARLIMOISATEE4_02</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21</v>
      </c>
      <c r="B58" s="19">
        <v>148</v>
      </c>
      <c r="C58" s="18" t="s">
        <v>58</v>
      </c>
      <c r="D58" s="18" t="s">
        <v>93</v>
      </c>
      <c r="E58" s="18" t="s">
        <v>64</v>
      </c>
      <c r="F58" s="53">
        <v>18</v>
      </c>
      <c r="G58" s="53">
        <v>16.3</v>
      </c>
      <c r="H58" s="18"/>
      <c r="I58" s="11" t="str">
        <f>LEFT(Tabel1[[#This Row],[Ruumi tüüp (TALO Tüüpruumide nimestik)]],2)</f>
        <v>91</v>
      </c>
      <c r="J58" s="22" t="s">
        <v>4</v>
      </c>
      <c r="K58" s="18" t="s">
        <v>12</v>
      </c>
      <c r="L58" s="11" t="str">
        <f>IFERROR(VLOOKUP(Tabel1[[#This Row],[Üürnik]],'Lepingu lisa'!$AW$3:$AX$22,2,FALSE),"")</f>
        <v>KAARLIMOISATEE4_02</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21</v>
      </c>
      <c r="B59" s="19">
        <v>149</v>
      </c>
      <c r="C59" s="18" t="s">
        <v>58</v>
      </c>
      <c r="D59" s="18" t="s">
        <v>86</v>
      </c>
      <c r="E59" s="18" t="s">
        <v>87</v>
      </c>
      <c r="F59" s="53">
        <v>64.7</v>
      </c>
      <c r="G59" s="53">
        <v>62.5</v>
      </c>
      <c r="H59" s="18"/>
      <c r="I59" s="11" t="str">
        <f>LEFT(Tabel1[[#This Row],[Ruumi tüüp (TALO Tüüpruumide nimestik)]],2)</f>
        <v>31</v>
      </c>
      <c r="J59" s="22" t="s">
        <v>4</v>
      </c>
      <c r="K59" s="18" t="s">
        <v>12</v>
      </c>
      <c r="L59" s="11" t="str">
        <f>IFERROR(VLOOKUP(Tabel1[[#This Row],[Üürnik]],'Lepingu lisa'!$AW$3:$AX$22,2,FALSE),"")</f>
        <v>KAARLIMOISATEE4_02</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21</v>
      </c>
      <c r="B60" s="19">
        <v>150</v>
      </c>
      <c r="C60" s="18" t="s">
        <v>58</v>
      </c>
      <c r="D60" s="18" t="s">
        <v>86</v>
      </c>
      <c r="E60" s="18" t="s">
        <v>87</v>
      </c>
      <c r="F60" s="53">
        <v>68.430400000000006</v>
      </c>
      <c r="G60" s="53">
        <v>66.900000000000006</v>
      </c>
      <c r="H60" s="18"/>
      <c r="I60" s="11" t="str">
        <f>LEFT(Tabel1[[#This Row],[Ruumi tüüp (TALO Tüüpruumide nimestik)]],2)</f>
        <v>31</v>
      </c>
      <c r="J60" s="22" t="s">
        <v>4</v>
      </c>
      <c r="K60" s="18" t="s">
        <v>12</v>
      </c>
      <c r="L60" s="11" t="str">
        <f>IFERROR(VLOOKUP(Tabel1[[#This Row],[Üürnik]],'Lepingu lisa'!$AW$3:$AX$22,2,FALSE),"")</f>
        <v>KAARLIMOISATEE4_02</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21</v>
      </c>
      <c r="B61" s="19">
        <v>152</v>
      </c>
      <c r="C61" s="18" t="s">
        <v>58</v>
      </c>
      <c r="D61" s="18" t="s">
        <v>86</v>
      </c>
      <c r="E61" s="18" t="s">
        <v>87</v>
      </c>
      <c r="F61" s="53">
        <v>83.586299999999994</v>
      </c>
      <c r="G61" s="53">
        <v>81.900000000000006</v>
      </c>
      <c r="H61" s="18"/>
      <c r="I61" s="11" t="str">
        <f>LEFT(Tabel1[[#This Row],[Ruumi tüüp (TALO Tüüpruumide nimestik)]],2)</f>
        <v>31</v>
      </c>
      <c r="J61" s="22" t="s">
        <v>4</v>
      </c>
      <c r="K61" s="18" t="s">
        <v>12</v>
      </c>
      <c r="L61" s="11" t="str">
        <f>IFERROR(VLOOKUP(Tabel1[[#This Row],[Üürnik]],'Lepingu lisa'!$AW$3:$AX$22,2,FALSE),"")</f>
        <v>KAARLIMOISATEE4_02</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21</v>
      </c>
      <c r="B62" s="19">
        <v>153</v>
      </c>
      <c r="C62" s="18" t="s">
        <v>90</v>
      </c>
      <c r="D62" s="18" t="s">
        <v>91</v>
      </c>
      <c r="E62" s="18" t="s">
        <v>92</v>
      </c>
      <c r="F62" s="53">
        <v>30.8</v>
      </c>
      <c r="G62" s="53">
        <v>30.8</v>
      </c>
      <c r="H62" s="18"/>
      <c r="I62" s="11" t="str">
        <f>LEFT(Tabel1[[#This Row],[Ruumi tüüp (TALO Tüüpruumide nimestik)]],2)</f>
        <v>96</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21</v>
      </c>
      <c r="B63" s="19">
        <v>154</v>
      </c>
      <c r="C63" s="18" t="s">
        <v>58</v>
      </c>
      <c r="D63" s="18" t="s">
        <v>61</v>
      </c>
      <c r="E63" s="18" t="s">
        <v>88</v>
      </c>
      <c r="F63" s="53">
        <v>71.7</v>
      </c>
      <c r="G63" s="53">
        <v>70.099999999999994</v>
      </c>
      <c r="H63" s="18"/>
      <c r="I63" s="11" t="str">
        <f>LEFT(Tabel1[[#This Row],[Ruumi tüüp (TALO Tüüpruumide nimestik)]],2)</f>
        <v>52</v>
      </c>
      <c r="J63" s="22" t="s">
        <v>4</v>
      </c>
      <c r="K63" s="18" t="s">
        <v>12</v>
      </c>
      <c r="L63" s="11" t="str">
        <f>IFERROR(VLOOKUP(Tabel1[[#This Row],[Üürnik]],'Lepingu lisa'!$AW$3:$AX$22,2,FALSE),"")</f>
        <v>KAARLIMOISATEE4_02</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21</v>
      </c>
      <c r="B64" s="19">
        <v>155</v>
      </c>
      <c r="C64" s="18" t="s">
        <v>58</v>
      </c>
      <c r="D64" s="18" t="s">
        <v>63</v>
      </c>
      <c r="E64" s="18" t="s">
        <v>64</v>
      </c>
      <c r="F64" s="53">
        <v>48.646900000000002</v>
      </c>
      <c r="G64" s="53">
        <v>46.3</v>
      </c>
      <c r="H64" s="18"/>
      <c r="I64" s="11" t="str">
        <f>LEFT(Tabel1[[#This Row],[Ruumi tüüp (TALO Tüüpruumide nimestik)]],2)</f>
        <v>91</v>
      </c>
      <c r="J64" s="22" t="s">
        <v>4</v>
      </c>
      <c r="K64" s="18" t="s">
        <v>12</v>
      </c>
      <c r="L64" s="11" t="str">
        <f>IFERROR(VLOOKUP(Tabel1[[#This Row],[Üürnik]],'Lepingu lisa'!$AW$3:$AX$22,2,FALSE),"")</f>
        <v>KAARLIMOISATEE4_02</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50</v>
      </c>
      <c r="B1" s="44" t="s">
        <v>111</v>
      </c>
      <c r="C1" s="44" t="s">
        <v>112</v>
      </c>
      <c r="D1" s="44" t="s">
        <v>113</v>
      </c>
    </row>
    <row r="2" spans="1:4" x14ac:dyDescent="0.35">
      <c r="A2" s="45" t="s">
        <v>114</v>
      </c>
      <c r="B2" s="45" t="s">
        <v>115</v>
      </c>
      <c r="C2" s="45" t="s">
        <v>116</v>
      </c>
      <c r="D2" s="45" t="str">
        <f>C2&amp;A2&amp;B2</f>
        <v>KORRUSE AVATUD NETOPINDRõdu98 Välisruumid</v>
      </c>
    </row>
    <row r="3" spans="1:4" x14ac:dyDescent="0.35">
      <c r="A3" s="45" t="s">
        <v>117</v>
      </c>
      <c r="B3" s="45" t="s">
        <v>115</v>
      </c>
      <c r="C3" s="45" t="s">
        <v>116</v>
      </c>
      <c r="D3" s="45" t="str">
        <f t="shared" ref="D3:D66" si="0">C3&amp;A3&amp;B3</f>
        <v>KORRUSE AVATUD NETOPINDTerrass98 Välisruumid</v>
      </c>
    </row>
    <row r="4" spans="1:4" x14ac:dyDescent="0.35">
      <c r="A4" s="45" t="s">
        <v>118</v>
      </c>
      <c r="B4" s="45" t="s">
        <v>115</v>
      </c>
      <c r="C4" s="45" t="s">
        <v>116</v>
      </c>
      <c r="D4" s="45" t="str">
        <f t="shared" si="0"/>
        <v>KORRUSE AVATUD NETOPINDVarjualune98 Välisruumid</v>
      </c>
    </row>
    <row r="5" spans="1:4" x14ac:dyDescent="0.35">
      <c r="A5" s="45" t="s">
        <v>119</v>
      </c>
      <c r="B5" s="45" t="s">
        <v>102</v>
      </c>
      <c r="C5" s="45" t="s">
        <v>90</v>
      </c>
      <c r="D5" s="45" t="str">
        <f t="shared" si="0"/>
        <v>TEHNOPINDAlajaam/Trafo/Jaotla97 Elektrotehnilised ruumid</v>
      </c>
    </row>
    <row r="6" spans="1:4" x14ac:dyDescent="0.35">
      <c r="A6" s="45" t="s">
        <v>120</v>
      </c>
      <c r="B6" s="45" t="s">
        <v>109</v>
      </c>
      <c r="C6" s="45" t="s">
        <v>90</v>
      </c>
      <c r="D6" s="45" t="str">
        <f t="shared" si="0"/>
        <v>TEHNOPINDBasseini tehniline ruum94 Kütte- ja veehooldusruumid</v>
      </c>
    </row>
    <row r="7" spans="1:4" x14ac:dyDescent="0.35">
      <c r="A7" s="45" t="s">
        <v>121</v>
      </c>
      <c r="B7" s="45" t="s">
        <v>109</v>
      </c>
      <c r="C7" s="45" t="s">
        <v>90</v>
      </c>
      <c r="D7" s="45" t="str">
        <f t="shared" si="0"/>
        <v>TEHNOPINDBoileriruum94 Kütte- ja veehooldusruumid</v>
      </c>
    </row>
    <row r="8" spans="1:4" x14ac:dyDescent="0.35">
      <c r="A8" s="45" t="s">
        <v>101</v>
      </c>
      <c r="B8" s="45" t="s">
        <v>102</v>
      </c>
      <c r="C8" s="45" t="s">
        <v>90</v>
      </c>
      <c r="D8" s="45" t="str">
        <f t="shared" si="0"/>
        <v>TEHNOPINDElektrikilp97 Elektrotehnilised ruumid</v>
      </c>
    </row>
    <row r="9" spans="1:4" x14ac:dyDescent="0.35">
      <c r="A9" s="45" t="s">
        <v>122</v>
      </c>
      <c r="B9" s="45" t="s">
        <v>109</v>
      </c>
      <c r="C9" s="45" t="s">
        <v>90</v>
      </c>
      <c r="D9" s="45" t="str">
        <f t="shared" si="0"/>
        <v>TEHNOPINDGaasiruum94 Kütte- ja veehooldusruumid</v>
      </c>
    </row>
    <row r="10" spans="1:4" x14ac:dyDescent="0.35">
      <c r="A10" s="45" t="s">
        <v>123</v>
      </c>
      <c r="B10" s="45" t="s">
        <v>102</v>
      </c>
      <c r="C10" s="45" t="s">
        <v>90</v>
      </c>
      <c r="D10" s="45" t="str">
        <f t="shared" si="0"/>
        <v>TEHNOPINDGeneraatoriruum97 Elektrotehnilised ruumid</v>
      </c>
    </row>
    <row r="11" spans="1:4" x14ac:dyDescent="0.35">
      <c r="A11" s="45" t="s">
        <v>124</v>
      </c>
      <c r="B11" s="45" t="s">
        <v>125</v>
      </c>
      <c r="C11" s="45" t="s">
        <v>90</v>
      </c>
      <c r="D11" s="45" t="str">
        <f t="shared" si="0"/>
        <v>TEHNOPINDHoolderuum99 Liigitamata liiklus- ja tehnoruumid</v>
      </c>
    </row>
    <row r="12" spans="1:4" x14ac:dyDescent="0.35">
      <c r="A12" s="45" t="s">
        <v>126</v>
      </c>
      <c r="B12" s="45" t="s">
        <v>109</v>
      </c>
      <c r="C12" s="45" t="s">
        <v>90</v>
      </c>
      <c r="D12" s="45" t="str">
        <f t="shared" si="0"/>
        <v>TEHNOPINDJahutusruum94 Kütte- ja veehooldusruumid</v>
      </c>
    </row>
    <row r="13" spans="1:4" x14ac:dyDescent="0.35">
      <c r="A13" s="45" t="s">
        <v>127</v>
      </c>
      <c r="B13" s="45" t="s">
        <v>109</v>
      </c>
      <c r="C13" s="45" t="s">
        <v>90</v>
      </c>
      <c r="D13" s="45" t="str">
        <f t="shared" si="0"/>
        <v>TEHNOPINDKatlaruum94 Kütte- ja veehooldusruumid</v>
      </c>
    </row>
    <row r="14" spans="1:4" x14ac:dyDescent="0.35">
      <c r="A14" s="45" t="s">
        <v>128</v>
      </c>
      <c r="B14" s="45" t="s">
        <v>125</v>
      </c>
      <c r="C14" s="45" t="s">
        <v>90</v>
      </c>
      <c r="D14" s="45" t="str">
        <f t="shared" si="0"/>
        <v>TEHNOPINDKütusehoidla99 Liigitamata liiklus- ja tehnoruumid</v>
      </c>
    </row>
    <row r="15" spans="1:4" x14ac:dyDescent="0.35">
      <c r="A15" s="45" t="s">
        <v>129</v>
      </c>
      <c r="B15" s="45" t="s">
        <v>102</v>
      </c>
      <c r="C15" s="45" t="s">
        <v>90</v>
      </c>
      <c r="D15" s="45" t="str">
        <f t="shared" si="0"/>
        <v>TEHNOPINDLifti masinaruum97 Elektrotehnilised ruumid</v>
      </c>
    </row>
    <row r="16" spans="1:4" x14ac:dyDescent="0.35">
      <c r="A16" s="45" t="s">
        <v>129</v>
      </c>
      <c r="B16" s="45" t="s">
        <v>125</v>
      </c>
      <c r="C16" s="45" t="s">
        <v>90</v>
      </c>
      <c r="D16" s="45" t="str">
        <f t="shared" si="0"/>
        <v>TEHNOPINDLifti masinaruum99 Liigitamata liiklus- ja tehnoruumid</v>
      </c>
    </row>
    <row r="17" spans="1:4" x14ac:dyDescent="0.35">
      <c r="A17" s="45" t="s">
        <v>130</v>
      </c>
      <c r="B17" s="45" t="s">
        <v>102</v>
      </c>
      <c r="C17" s="45" t="s">
        <v>90</v>
      </c>
      <c r="D17" s="45" t="str">
        <f t="shared" si="0"/>
        <v>TEHNOPINDPumpla97 Elektrotehnilised ruumid</v>
      </c>
    </row>
    <row r="18" spans="1:4" x14ac:dyDescent="0.35">
      <c r="A18" s="45" t="s">
        <v>130</v>
      </c>
      <c r="B18" s="45" t="s">
        <v>125</v>
      </c>
      <c r="C18" s="45" t="s">
        <v>90</v>
      </c>
      <c r="D18" s="45" t="str">
        <f t="shared" si="0"/>
        <v>TEHNOPINDPumpla99 Liigitamata liiklus- ja tehnoruumid</v>
      </c>
    </row>
    <row r="19" spans="1:4" x14ac:dyDescent="0.35">
      <c r="A19" s="45" t="s">
        <v>131</v>
      </c>
      <c r="B19" s="45" t="s">
        <v>109</v>
      </c>
      <c r="C19" s="45" t="s">
        <v>90</v>
      </c>
      <c r="D19" s="45" t="str">
        <f t="shared" si="0"/>
        <v>TEHNOPINDSamarõhukamber94 Kütte- ja veehooldusruumid</v>
      </c>
    </row>
    <row r="20" spans="1:4" x14ac:dyDescent="0.35">
      <c r="A20" s="45" t="s">
        <v>131</v>
      </c>
      <c r="B20" s="45" t="s">
        <v>125</v>
      </c>
      <c r="C20" s="45" t="s">
        <v>90</v>
      </c>
      <c r="D20" s="45" t="str">
        <f t="shared" si="0"/>
        <v>TEHNOPINDSamarõhukamber99 Liigitamata liiklus- ja tehnoruumid</v>
      </c>
    </row>
    <row r="21" spans="1:4" x14ac:dyDescent="0.35">
      <c r="A21" s="45" t="s">
        <v>132</v>
      </c>
      <c r="B21" s="45" t="s">
        <v>102</v>
      </c>
      <c r="C21" s="45" t="s">
        <v>90</v>
      </c>
      <c r="D21" s="45" t="str">
        <f t="shared" si="0"/>
        <v>TEHNOPINDSideruum/Nõrkvool97 Elektrotehnilised ruumid</v>
      </c>
    </row>
    <row r="22" spans="1:4" x14ac:dyDescent="0.35">
      <c r="A22" s="45" t="s">
        <v>132</v>
      </c>
      <c r="B22" s="45" t="s">
        <v>125</v>
      </c>
      <c r="C22" s="45" t="s">
        <v>90</v>
      </c>
      <c r="D22" s="45" t="str">
        <f t="shared" si="0"/>
        <v>TEHNOPINDSideruum/Nõrkvool99 Liigitamata liiklus- ja tehnoruumid</v>
      </c>
    </row>
    <row r="23" spans="1:4" x14ac:dyDescent="0.35">
      <c r="A23" s="45" t="s">
        <v>108</v>
      </c>
      <c r="B23" s="45" t="s">
        <v>109</v>
      </c>
      <c r="C23" s="45" t="s">
        <v>90</v>
      </c>
      <c r="D23" s="45" t="str">
        <f t="shared" si="0"/>
        <v>TEHNOPINDSoojasõlm94 Kütte- ja veehooldusruumid</v>
      </c>
    </row>
    <row r="24" spans="1:4" x14ac:dyDescent="0.35">
      <c r="A24" s="45" t="s">
        <v>133</v>
      </c>
      <c r="B24" s="45" t="s">
        <v>109</v>
      </c>
      <c r="C24" s="45" t="s">
        <v>90</v>
      </c>
      <c r="D24" s="45" t="str">
        <f t="shared" si="0"/>
        <v>TEHNOPINDSprinkler/Tuletõrje pump94 Kütte- ja veehooldusruumid</v>
      </c>
    </row>
    <row r="25" spans="1:4" x14ac:dyDescent="0.35">
      <c r="A25" s="45" t="s">
        <v>133</v>
      </c>
      <c r="B25" s="45" t="s">
        <v>125</v>
      </c>
      <c r="C25" s="45" t="s">
        <v>90</v>
      </c>
      <c r="D25" s="45" t="str">
        <f t="shared" si="0"/>
        <v>TEHNOPINDSprinkler/Tuletõrje pump99 Liigitamata liiklus- ja tehnoruumid</v>
      </c>
    </row>
    <row r="26" spans="1:4" x14ac:dyDescent="0.35">
      <c r="A26" s="45" t="s">
        <v>134</v>
      </c>
      <c r="B26" s="45" t="s">
        <v>102</v>
      </c>
      <c r="C26" s="45" t="s">
        <v>90</v>
      </c>
      <c r="D26" s="45" t="str">
        <f t="shared" si="0"/>
        <v>TEHNOPINDUPS-ruum97 Elektrotehnilised ruumid</v>
      </c>
    </row>
    <row r="27" spans="1:4" x14ac:dyDescent="0.35">
      <c r="A27" s="45" t="s">
        <v>134</v>
      </c>
      <c r="B27" s="45" t="s">
        <v>125</v>
      </c>
      <c r="C27" s="45" t="s">
        <v>90</v>
      </c>
      <c r="D27" s="45" t="str">
        <f t="shared" si="0"/>
        <v>TEHNOPINDUPS-ruum99 Liigitamata liiklus- ja tehnoruumid</v>
      </c>
    </row>
    <row r="28" spans="1:4" x14ac:dyDescent="0.35">
      <c r="A28" s="45" t="s">
        <v>135</v>
      </c>
      <c r="B28" s="45" t="s">
        <v>109</v>
      </c>
      <c r="C28" s="45" t="s">
        <v>90</v>
      </c>
      <c r="D28" s="45" t="str">
        <f t="shared" si="0"/>
        <v>TEHNOPINDVeemõõdusõlm94 Kütte- ja veehooldusruumid</v>
      </c>
    </row>
    <row r="29" spans="1:4" x14ac:dyDescent="0.35">
      <c r="A29" s="45" t="s">
        <v>91</v>
      </c>
      <c r="B29" s="45" t="s">
        <v>92</v>
      </c>
      <c r="C29" s="45" t="s">
        <v>90</v>
      </c>
      <c r="D29" s="45" t="str">
        <f t="shared" si="0"/>
        <v>TEHNOPINDVent ruum96 Ventilatsiooniruumid</v>
      </c>
    </row>
    <row r="30" spans="1:4" x14ac:dyDescent="0.35">
      <c r="A30" s="45" t="s">
        <v>136</v>
      </c>
      <c r="B30" s="45" t="s">
        <v>92</v>
      </c>
      <c r="C30" s="45" t="s">
        <v>90</v>
      </c>
      <c r="D30" s="45" t="str">
        <f t="shared" si="0"/>
        <v>TEHNOPINDÕhuvõtukamber96 Ventilatsiooniruumid</v>
      </c>
    </row>
    <row r="31" spans="1:4" x14ac:dyDescent="0.35">
      <c r="A31" s="45" t="s">
        <v>137</v>
      </c>
      <c r="B31" s="45" t="s">
        <v>138</v>
      </c>
      <c r="C31" s="45" t="s">
        <v>139</v>
      </c>
      <c r="D31" s="45" t="str">
        <f t="shared" si="0"/>
        <v>VERTIKAALSETE ÜHENDUSTEEDE PINDLift92 Vertikaalliiklusruumid</v>
      </c>
    </row>
    <row r="32" spans="1:4" x14ac:dyDescent="0.35">
      <c r="A32" s="45" t="s">
        <v>140</v>
      </c>
      <c r="B32" s="45" t="s">
        <v>138</v>
      </c>
      <c r="C32" s="45" t="s">
        <v>139</v>
      </c>
      <c r="D32" s="45" t="str">
        <f t="shared" si="0"/>
        <v>VERTIKAALSETE ÜHENDUSTEEDE PINDŠaht92 Vertikaalliiklusruumid</v>
      </c>
    </row>
    <row r="33" spans="1:4" x14ac:dyDescent="0.35">
      <c r="A33" s="45" t="s">
        <v>141</v>
      </c>
      <c r="B33" s="45" t="s">
        <v>138</v>
      </c>
      <c r="C33" s="45" t="s">
        <v>139</v>
      </c>
      <c r="D33" s="45" t="str">
        <f t="shared" si="0"/>
        <v>VERTIKAALSETE ÜHENDUSTEEDE PINDTrepp/Trepikoda92 Vertikaalliiklusruumid</v>
      </c>
    </row>
    <row r="34" spans="1:4" x14ac:dyDescent="0.35">
      <c r="A34" s="45" t="s">
        <v>95</v>
      </c>
      <c r="B34" s="45" t="s">
        <v>64</v>
      </c>
      <c r="C34" s="45" t="s">
        <v>58</v>
      </c>
      <c r="D34" s="45" t="str">
        <f t="shared" si="0"/>
        <v>ÜÜRITAV PINDAatrium/Fuajee91 Horisontaalliiklusruumid</v>
      </c>
    </row>
    <row r="35" spans="1:4" x14ac:dyDescent="0.35">
      <c r="A35" s="45" t="s">
        <v>70</v>
      </c>
      <c r="B35" s="45" t="s">
        <v>71</v>
      </c>
      <c r="C35" s="45" t="s">
        <v>58</v>
      </c>
      <c r="D35" s="45" t="str">
        <f t="shared" si="0"/>
        <v>ÜÜRITAV PINDAbiruum23 Äriruumide abiruumid</v>
      </c>
    </row>
    <row r="36" spans="1:4" x14ac:dyDescent="0.35">
      <c r="A36" s="45" t="s">
        <v>142</v>
      </c>
      <c r="B36" s="45" t="s">
        <v>143</v>
      </c>
      <c r="C36" s="45" t="s">
        <v>58</v>
      </c>
      <c r="D36" s="45" t="str">
        <f t="shared" si="0"/>
        <v>ÜÜRITAV PINDArhiiv53 Arhiivid</v>
      </c>
    </row>
    <row r="37" spans="1:4" x14ac:dyDescent="0.35">
      <c r="A37" s="45" t="s">
        <v>144</v>
      </c>
      <c r="B37" s="45" t="s">
        <v>145</v>
      </c>
      <c r="C37" s="45" t="s">
        <v>58</v>
      </c>
      <c r="D37" s="45" t="str">
        <f t="shared" si="0"/>
        <v>ÜÜRITAV PINDAuditoorium34 Auditooriumid</v>
      </c>
    </row>
    <row r="38" spans="1:4" x14ac:dyDescent="0.35">
      <c r="A38" s="45" t="s">
        <v>84</v>
      </c>
      <c r="B38" s="45" t="s">
        <v>85</v>
      </c>
      <c r="C38" s="45" t="s">
        <v>58</v>
      </c>
      <c r="D38" s="45" t="str">
        <f t="shared" si="0"/>
        <v>ÜÜRITAV PINDAutopesula85 Pesumaja</v>
      </c>
    </row>
    <row r="39" spans="1:4" x14ac:dyDescent="0.35">
      <c r="A39" s="45" t="s">
        <v>146</v>
      </c>
      <c r="B39" s="45" t="s">
        <v>147</v>
      </c>
      <c r="C39" s="45" t="s">
        <v>58</v>
      </c>
      <c r="D39" s="45" t="str">
        <f t="shared" si="0"/>
        <v>ÜÜRITAV PINDDesokamber49 Ruumigrupi liigitamata eriruumid</v>
      </c>
    </row>
    <row r="40" spans="1:4" x14ac:dyDescent="0.35">
      <c r="A40" s="45" t="s">
        <v>148</v>
      </c>
      <c r="B40" s="45" t="s">
        <v>143</v>
      </c>
      <c r="C40" s="45" t="s">
        <v>58</v>
      </c>
      <c r="D40" s="45" t="str">
        <f t="shared" si="0"/>
        <v>ÜÜRITAV PINDDokumendihoidla53 Arhiivid</v>
      </c>
    </row>
    <row r="41" spans="1:4" x14ac:dyDescent="0.35">
      <c r="A41" s="45" t="s">
        <v>148</v>
      </c>
      <c r="B41" s="45" t="s">
        <v>62</v>
      </c>
      <c r="C41" s="45" t="s">
        <v>58</v>
      </c>
      <c r="D41" s="45" t="str">
        <f t="shared" si="0"/>
        <v>ÜÜRITAV PINDDokumendihoidla59 Liigitamata hoiuruumid</v>
      </c>
    </row>
    <row r="42" spans="1:4" x14ac:dyDescent="0.35">
      <c r="A42" s="45" t="s">
        <v>93</v>
      </c>
      <c r="B42" s="45" t="s">
        <v>64</v>
      </c>
      <c r="C42" s="45" t="s">
        <v>58</v>
      </c>
      <c r="D42" s="45" t="str">
        <f t="shared" si="0"/>
        <v>ÜÜRITAV PINDEesruum91 Horisontaalliiklusruumid</v>
      </c>
    </row>
    <row r="43" spans="1:4" x14ac:dyDescent="0.35">
      <c r="A43" s="45" t="s">
        <v>149</v>
      </c>
      <c r="B43" s="45" t="s">
        <v>150</v>
      </c>
      <c r="C43" s="45" t="s">
        <v>58</v>
      </c>
      <c r="D43" s="45" t="str">
        <f t="shared" si="0"/>
        <v>ÜÜRITAV PINDEluruum11 Korterid tubade arvu järgi</v>
      </c>
    </row>
    <row r="44" spans="1:4" x14ac:dyDescent="0.35">
      <c r="A44" s="45" t="s">
        <v>149</v>
      </c>
      <c r="B44" s="45" t="s">
        <v>151</v>
      </c>
      <c r="C44" s="45" t="s">
        <v>58</v>
      </c>
      <c r="D44" s="45" t="str">
        <f t="shared" si="0"/>
        <v>ÜÜRITAV PINDEluruum12 Eluruumid eraldi</v>
      </c>
    </row>
    <row r="45" spans="1:4" x14ac:dyDescent="0.35">
      <c r="A45" s="45" t="s">
        <v>149</v>
      </c>
      <c r="B45" s="45" t="s">
        <v>152</v>
      </c>
      <c r="C45" s="45" t="s">
        <v>58</v>
      </c>
      <c r="D45" s="45" t="str">
        <f t="shared" si="0"/>
        <v>ÜÜRITAV PINDEluruum13 Majutusruumid</v>
      </c>
    </row>
    <row r="46" spans="1:4" x14ac:dyDescent="0.35">
      <c r="A46" s="45" t="s">
        <v>149</v>
      </c>
      <c r="B46" s="45" t="s">
        <v>153</v>
      </c>
      <c r="C46" s="45" t="s">
        <v>58</v>
      </c>
      <c r="D46" s="45" t="str">
        <f t="shared" si="0"/>
        <v>ÜÜRITAV PINDEluruum15 Ühiselamutoad</v>
      </c>
    </row>
    <row r="47" spans="1:4" x14ac:dyDescent="0.35">
      <c r="A47" s="45" t="s">
        <v>149</v>
      </c>
      <c r="B47" s="45" t="s">
        <v>154</v>
      </c>
      <c r="C47" s="45" t="s">
        <v>58</v>
      </c>
      <c r="D47" s="45" t="str">
        <f t="shared" si="0"/>
        <v>ÜÜRITAV PINDEluruum16 Hotellitoad</v>
      </c>
    </row>
    <row r="48" spans="1:4" x14ac:dyDescent="0.35">
      <c r="A48" s="45" t="s">
        <v>149</v>
      </c>
      <c r="B48" s="45" t="s">
        <v>155</v>
      </c>
      <c r="C48" s="45" t="s">
        <v>58</v>
      </c>
      <c r="D48" s="45" t="str">
        <f t="shared" si="0"/>
        <v>ÜÜRITAV PINDEluruum17 Kasarmutoad</v>
      </c>
    </row>
    <row r="49" spans="1:4" x14ac:dyDescent="0.35">
      <c r="A49" s="45" t="s">
        <v>149</v>
      </c>
      <c r="B49" s="45" t="s">
        <v>156</v>
      </c>
      <c r="C49" s="45" t="s">
        <v>58</v>
      </c>
      <c r="D49" s="45" t="str">
        <f t="shared" si="0"/>
        <v>ÜÜRITAV PINDEluruum18 Magamissaalid</v>
      </c>
    </row>
    <row r="50" spans="1:4" x14ac:dyDescent="0.35">
      <c r="A50" s="45" t="s">
        <v>149</v>
      </c>
      <c r="B50" s="45" t="s">
        <v>157</v>
      </c>
      <c r="C50" s="45" t="s">
        <v>58</v>
      </c>
      <c r="D50" s="45" t="str">
        <f t="shared" si="0"/>
        <v>ÜÜRITAV PINDEluruum19 Liigitamata eluruumid</v>
      </c>
    </row>
    <row r="51" spans="1:4" x14ac:dyDescent="0.35">
      <c r="A51" s="45" t="s">
        <v>158</v>
      </c>
      <c r="B51" s="45" t="s">
        <v>147</v>
      </c>
      <c r="C51" s="45" t="s">
        <v>58</v>
      </c>
      <c r="D51" s="45" t="str">
        <f t="shared" si="0"/>
        <v>ÜÜRITAV PINDEriotstarbeline ruum49 Ruumigrupi liigitamata eriruumid</v>
      </c>
    </row>
    <row r="52" spans="1:4" x14ac:dyDescent="0.35">
      <c r="A52" s="45" t="s">
        <v>80</v>
      </c>
      <c r="B52" s="45" t="s">
        <v>81</v>
      </c>
      <c r="C52" s="45" t="s">
        <v>58</v>
      </c>
      <c r="D52" s="45" t="str">
        <f t="shared" si="0"/>
        <v>ÜÜRITAV PINDGaraaž55 Garaažid</v>
      </c>
    </row>
    <row r="53" spans="1:4" x14ac:dyDescent="0.35">
      <c r="A53" s="45" t="s">
        <v>67</v>
      </c>
      <c r="B53" s="45" t="s">
        <v>68</v>
      </c>
      <c r="C53" s="45" t="s">
        <v>58</v>
      </c>
      <c r="D53" s="45" t="str">
        <f t="shared" si="0"/>
        <v>ÜÜRITAV PINDGarderoob51 Garderoobiruumid</v>
      </c>
    </row>
    <row r="54" spans="1:4" x14ac:dyDescent="0.35">
      <c r="A54" s="45" t="s">
        <v>61</v>
      </c>
      <c r="B54" s="45" t="s">
        <v>88</v>
      </c>
      <c r="C54" s="45" t="s">
        <v>58</v>
      </c>
      <c r="D54" s="45" t="str">
        <f t="shared" si="0"/>
        <v>ÜÜRITAV PINDHoiuruum/Ladu52 Laod</v>
      </c>
    </row>
    <row r="55" spans="1:4" x14ac:dyDescent="0.35">
      <c r="A55" s="45" t="s">
        <v>61</v>
      </c>
      <c r="B55" s="45" t="s">
        <v>62</v>
      </c>
      <c r="C55" s="45" t="s">
        <v>58</v>
      </c>
      <c r="D55" s="45" t="str">
        <f t="shared" si="0"/>
        <v>ÜÜRITAV PINDHoiuruum/Ladu59 Liigitamata hoiuruumid</v>
      </c>
    </row>
    <row r="56" spans="1:4" x14ac:dyDescent="0.35">
      <c r="A56" s="45" t="s">
        <v>159</v>
      </c>
      <c r="B56" s="45" t="s">
        <v>62</v>
      </c>
      <c r="C56" s="45" t="s">
        <v>58</v>
      </c>
      <c r="D56" s="45" t="str">
        <f t="shared" si="0"/>
        <v>ÜÜRITAV PINDJalgrataste hoidla59 Liigitamata hoiuruumid</v>
      </c>
    </row>
    <row r="57" spans="1:4" x14ac:dyDescent="0.35">
      <c r="A57" s="45" t="s">
        <v>160</v>
      </c>
      <c r="B57" s="45" t="s">
        <v>161</v>
      </c>
      <c r="C57" s="45" t="s">
        <v>58</v>
      </c>
      <c r="D57" s="45" t="str">
        <f t="shared" si="0"/>
        <v>ÜÜRITAV PINDJäätmed87 Jäätmehooldusruumid</v>
      </c>
    </row>
    <row r="58" spans="1:4" x14ac:dyDescent="0.35">
      <c r="A58" s="46" t="s">
        <v>162</v>
      </c>
      <c r="B58" s="45" t="s">
        <v>147</v>
      </c>
      <c r="C58" s="45" t="s">
        <v>58</v>
      </c>
      <c r="D58" s="45" t="str">
        <f t="shared" si="0"/>
        <v>ÜÜRITAV PINDKaaluruum49 Ruumigrupi liigitamata eriruumid</v>
      </c>
    </row>
    <row r="59" spans="1:4" x14ac:dyDescent="0.35">
      <c r="A59" s="45" t="s">
        <v>65</v>
      </c>
      <c r="B59" s="45" t="s">
        <v>66</v>
      </c>
      <c r="C59" s="45" t="s">
        <v>58</v>
      </c>
      <c r="D59" s="45" t="str">
        <f t="shared" si="0"/>
        <v>ÜÜRITAV PINDKabinet/Büroo21 Bürooruumid</v>
      </c>
    </row>
    <row r="60" spans="1:4" x14ac:dyDescent="0.35">
      <c r="A60" s="45" t="s">
        <v>65</v>
      </c>
      <c r="B60" s="45" t="s">
        <v>163</v>
      </c>
      <c r="C60" s="45" t="s">
        <v>58</v>
      </c>
      <c r="D60" s="45" t="str">
        <f t="shared" si="0"/>
        <v>ÜÜRITAV PINDKabinet/Büroo22 Äriruumid</v>
      </c>
    </row>
    <row r="61" spans="1:4" x14ac:dyDescent="0.35">
      <c r="A61" s="45" t="s">
        <v>164</v>
      </c>
      <c r="B61" s="45" t="s">
        <v>62</v>
      </c>
      <c r="C61" s="45" t="s">
        <v>58</v>
      </c>
      <c r="D61" s="45" t="str">
        <f t="shared" si="0"/>
        <v>ÜÜRITAV PINDKelder59 Liigitamata hoiuruumid</v>
      </c>
    </row>
    <row r="62" spans="1:4" x14ac:dyDescent="0.35">
      <c r="A62" s="45" t="s">
        <v>164</v>
      </c>
      <c r="B62" s="45" t="s">
        <v>165</v>
      </c>
      <c r="C62" s="45" t="s">
        <v>58</v>
      </c>
      <c r="D62" s="45" t="str">
        <f t="shared" si="0"/>
        <v>ÜÜRITAV PINDKelder82 Kinnistu juurde kuuluvad laod</v>
      </c>
    </row>
    <row r="63" spans="1:4" x14ac:dyDescent="0.35">
      <c r="A63" s="45" t="s">
        <v>164</v>
      </c>
      <c r="B63" s="45" t="s">
        <v>166</v>
      </c>
      <c r="C63" s="45" t="s">
        <v>58</v>
      </c>
      <c r="D63" s="45" t="str">
        <f t="shared" si="0"/>
        <v>ÜÜRITAV PINDKelder88 Kinnistu eriruumid</v>
      </c>
    </row>
    <row r="64" spans="1:4" x14ac:dyDescent="0.35">
      <c r="A64" s="45" t="s">
        <v>167</v>
      </c>
      <c r="B64" s="45" t="s">
        <v>62</v>
      </c>
      <c r="C64" s="45" t="s">
        <v>58</v>
      </c>
      <c r="D64" s="45" t="str">
        <f t="shared" si="0"/>
        <v>ÜÜRITAV PINDKemikaalid59 Liigitamata hoiuruumid</v>
      </c>
    </row>
    <row r="65" spans="1:4" x14ac:dyDescent="0.35">
      <c r="A65" s="45" t="s">
        <v>168</v>
      </c>
      <c r="B65" s="45" t="s">
        <v>157</v>
      </c>
      <c r="C65" s="45" t="s">
        <v>58</v>
      </c>
      <c r="D65" s="45" t="str">
        <f t="shared" si="0"/>
        <v>ÜÜRITAV PINDKinnipidamisruum19 Liigitamata eluruumid</v>
      </c>
    </row>
    <row r="66" spans="1:4" x14ac:dyDescent="0.35">
      <c r="A66" s="45" t="s">
        <v>168</v>
      </c>
      <c r="B66" s="45" t="s">
        <v>147</v>
      </c>
      <c r="C66" s="45" t="s">
        <v>58</v>
      </c>
      <c r="D66" s="45" t="str">
        <f t="shared" si="0"/>
        <v>ÜÜRITAV PINDKinnipidamisruum49 Ruumigrupi liigitamata eriruumid</v>
      </c>
    </row>
    <row r="67" spans="1:4" x14ac:dyDescent="0.35">
      <c r="A67" s="45" t="s">
        <v>86</v>
      </c>
      <c r="B67" s="45" t="s">
        <v>87</v>
      </c>
      <c r="C67" s="45" t="s">
        <v>58</v>
      </c>
      <c r="D67" s="45" t="str">
        <f t="shared" ref="D67:D120" si="1">C67&amp;A67&amp;B67</f>
        <v>ÜÜRITAV PINDKlassiruum31 Klassiruumid</v>
      </c>
    </row>
    <row r="68" spans="1:4" x14ac:dyDescent="0.35">
      <c r="A68" s="45" t="s">
        <v>169</v>
      </c>
      <c r="B68" s="45" t="s">
        <v>147</v>
      </c>
      <c r="C68" s="45" t="s">
        <v>58</v>
      </c>
      <c r="D68" s="45" t="str">
        <f t="shared" si="1"/>
        <v>ÜÜRITAV PINDKoeraruum49 Ruumigrupi liigitamata eriruumid</v>
      </c>
    </row>
    <row r="69" spans="1:4" x14ac:dyDescent="0.35">
      <c r="A69" s="45" t="s">
        <v>170</v>
      </c>
      <c r="B69" s="45" t="s">
        <v>66</v>
      </c>
      <c r="C69" s="45" t="s">
        <v>58</v>
      </c>
      <c r="D69" s="45" t="str">
        <f t="shared" si="1"/>
        <v>ÜÜRITAV PINDKohtusaal21 Bürooruumid</v>
      </c>
    </row>
    <row r="70" spans="1:4" x14ac:dyDescent="0.35">
      <c r="A70" s="45" t="s">
        <v>63</v>
      </c>
      <c r="B70" s="45" t="s">
        <v>64</v>
      </c>
      <c r="C70" s="45" t="s">
        <v>58</v>
      </c>
      <c r="D70" s="45" t="str">
        <f t="shared" si="1"/>
        <v>ÜÜRITAV PINDKoridor91 Horisontaalliiklusruumid</v>
      </c>
    </row>
    <row r="71" spans="1:4" x14ac:dyDescent="0.35">
      <c r="A71" s="45" t="s">
        <v>96</v>
      </c>
      <c r="B71" s="45" t="s">
        <v>97</v>
      </c>
      <c r="C71" s="45" t="s">
        <v>58</v>
      </c>
      <c r="D71" s="45" t="str">
        <f t="shared" si="1"/>
        <v>ÜÜRITAV PINDKoristus- ja hooldusruum86 Koristus- ja hooldusruumid</v>
      </c>
    </row>
    <row r="72" spans="1:4" x14ac:dyDescent="0.35">
      <c r="A72" s="46" t="s">
        <v>171</v>
      </c>
      <c r="B72" s="45" t="s">
        <v>172</v>
      </c>
      <c r="C72" s="45" t="s">
        <v>58</v>
      </c>
      <c r="D72" s="45" t="str">
        <f t="shared" si="1"/>
        <v>ÜÜRITAV PINDKöögi abiruum64 Köögiruumid</v>
      </c>
    </row>
    <row r="73" spans="1:4" x14ac:dyDescent="0.35">
      <c r="A73" s="45" t="s">
        <v>173</v>
      </c>
      <c r="B73" s="45" t="s">
        <v>174</v>
      </c>
      <c r="C73" s="45" t="s">
        <v>58</v>
      </c>
      <c r="D73" s="45" t="str">
        <f>C73&amp;A73&amp;B73</f>
        <v>ÜÜRITAV PINDKööginurk/Köök62 Töökoha söögitoad</v>
      </c>
    </row>
    <row r="74" spans="1:4" x14ac:dyDescent="0.35">
      <c r="A74" s="45" t="s">
        <v>173</v>
      </c>
      <c r="B74" s="45" t="s">
        <v>172</v>
      </c>
      <c r="C74" s="45" t="s">
        <v>58</v>
      </c>
      <c r="D74" s="45" t="str">
        <f t="shared" si="1"/>
        <v>ÜÜRITAV PINDKööginurk/Köök64 Köögiruumid</v>
      </c>
    </row>
    <row r="75" spans="1:4" x14ac:dyDescent="0.35">
      <c r="A75" s="46" t="s">
        <v>175</v>
      </c>
      <c r="B75" s="45" t="s">
        <v>176</v>
      </c>
      <c r="C75" s="45" t="s">
        <v>58</v>
      </c>
      <c r="D75" s="45" t="str">
        <f t="shared" si="1"/>
        <v>ÜÜRITAV PINDKülmik65 Köögi külmkambrid</v>
      </c>
    </row>
    <row r="76" spans="1:4" x14ac:dyDescent="0.35">
      <c r="A76" s="45" t="s">
        <v>177</v>
      </c>
      <c r="B76" s="45" t="s">
        <v>147</v>
      </c>
      <c r="C76" s="45" t="s">
        <v>58</v>
      </c>
      <c r="D76" s="45" t="str">
        <f t="shared" si="1"/>
        <v>ÜÜRITAV PINDLaadimisruum/-tsoon49 Ruumigrupi liigitamata eriruumid</v>
      </c>
    </row>
    <row r="77" spans="1:4" x14ac:dyDescent="0.35">
      <c r="A77" s="45" t="s">
        <v>178</v>
      </c>
      <c r="B77" s="45" t="s">
        <v>179</v>
      </c>
      <c r="C77" s="45" t="s">
        <v>58</v>
      </c>
      <c r="D77" s="45" t="str">
        <f t="shared" si="1"/>
        <v>ÜÜRITAV PINDLaboratoorium36 Laboratooriumiruumid</v>
      </c>
    </row>
    <row r="78" spans="1:4" x14ac:dyDescent="0.35">
      <c r="A78" s="45" t="s">
        <v>180</v>
      </c>
      <c r="B78" s="45" t="s">
        <v>147</v>
      </c>
      <c r="C78" s="45" t="s">
        <v>58</v>
      </c>
      <c r="D78" s="45" t="str">
        <f t="shared" si="1"/>
        <v>ÜÜRITAV PINDLahangusaal49 Ruumigrupi liigitamata eriruumid</v>
      </c>
    </row>
    <row r="79" spans="1:4" x14ac:dyDescent="0.35">
      <c r="A79" s="45" t="s">
        <v>181</v>
      </c>
      <c r="B79" s="45" t="s">
        <v>147</v>
      </c>
      <c r="C79" s="45" t="s">
        <v>58</v>
      </c>
      <c r="D79" s="45" t="str">
        <f t="shared" si="1"/>
        <v>ÜÜRITAV PINDLasketiir49 Ruumigrupi liigitamata eriruumid</v>
      </c>
    </row>
    <row r="80" spans="1:4" x14ac:dyDescent="0.35">
      <c r="A80" s="45" t="s">
        <v>182</v>
      </c>
      <c r="B80" s="45" t="s">
        <v>60</v>
      </c>
      <c r="C80" s="45" t="s">
        <v>58</v>
      </c>
      <c r="D80" s="45" t="str">
        <f t="shared" si="1"/>
        <v>ÜÜRITAV PINDLaut41 Tootmisruumid</v>
      </c>
    </row>
    <row r="81" spans="1:4" x14ac:dyDescent="0.35">
      <c r="A81" s="45" t="s">
        <v>182</v>
      </c>
      <c r="B81" s="46" t="s">
        <v>166</v>
      </c>
      <c r="C81" s="45" t="s">
        <v>58</v>
      </c>
      <c r="D81" s="45" t="str">
        <f t="shared" si="1"/>
        <v>ÜÜRITAV PINDLaut88 Kinnistu eriruumid</v>
      </c>
    </row>
    <row r="82" spans="1:4" x14ac:dyDescent="0.35">
      <c r="A82" s="45" t="s">
        <v>183</v>
      </c>
      <c r="B82" s="45" t="s">
        <v>184</v>
      </c>
      <c r="C82" s="45" t="s">
        <v>58</v>
      </c>
      <c r="D82" s="45" t="str">
        <f t="shared" si="1"/>
        <v>ÜÜRITAV PINDLava/Kino77 Klubi- ja harrastusruumid</v>
      </c>
    </row>
    <row r="83" spans="1:4" x14ac:dyDescent="0.35">
      <c r="A83" s="45" t="s">
        <v>185</v>
      </c>
      <c r="B83" s="45" t="s">
        <v>186</v>
      </c>
      <c r="C83" s="45" t="s">
        <v>58</v>
      </c>
      <c r="D83" s="45" t="str">
        <f t="shared" si="1"/>
        <v>ÜÜRITAV PINDLeiliruum74 Leiliruumid</v>
      </c>
    </row>
    <row r="84" spans="1:4" x14ac:dyDescent="0.35">
      <c r="A84" s="45" t="s">
        <v>187</v>
      </c>
      <c r="B84" s="45" t="s">
        <v>188</v>
      </c>
      <c r="C84" s="45" t="s">
        <v>58</v>
      </c>
      <c r="D84" s="45" t="str">
        <f t="shared" si="1"/>
        <v>ÜÜRITAV PINDLüüs83 Sissepääsuruumid</v>
      </c>
    </row>
    <row r="85" spans="1:4" x14ac:dyDescent="0.35">
      <c r="A85" s="45" t="s">
        <v>187</v>
      </c>
      <c r="B85" s="45" t="s">
        <v>64</v>
      </c>
      <c r="C85" s="45" t="s">
        <v>58</v>
      </c>
      <c r="D85" s="45" t="str">
        <f t="shared" si="1"/>
        <v>ÜÜRITAV PINDLüüs91 Horisontaalliiklusruumid</v>
      </c>
    </row>
    <row r="86" spans="1:4" x14ac:dyDescent="0.35">
      <c r="A86" s="45" t="s">
        <v>189</v>
      </c>
      <c r="B86" s="45" t="s">
        <v>66</v>
      </c>
      <c r="C86" s="45" t="s">
        <v>58</v>
      </c>
      <c r="D86" s="45" t="str">
        <f t="shared" si="1"/>
        <v>ÜÜRITAV PINDNõupidamise ruum21 Bürooruumid</v>
      </c>
    </row>
    <row r="87" spans="1:4" x14ac:dyDescent="0.35">
      <c r="A87" s="45" t="s">
        <v>190</v>
      </c>
      <c r="B87" s="45" t="s">
        <v>191</v>
      </c>
      <c r="C87" s="45" t="s">
        <v>58</v>
      </c>
      <c r="D87" s="45" t="str">
        <f t="shared" si="1"/>
        <v>ÜÜRITAV PINDNäitusesaal/Muuseum46 Kultuuriasutuste ruumid</v>
      </c>
    </row>
    <row r="88" spans="1:4" x14ac:dyDescent="0.35">
      <c r="A88" s="45" t="s">
        <v>192</v>
      </c>
      <c r="B88" s="45" t="s">
        <v>163</v>
      </c>
      <c r="C88" s="45" t="s">
        <v>58</v>
      </c>
      <c r="D88" s="45" t="str">
        <f t="shared" si="1"/>
        <v>ÜÜRITAV PINDOoteruum/Teenindusruum22 Äriruumid</v>
      </c>
    </row>
    <row r="89" spans="1:4" x14ac:dyDescent="0.35">
      <c r="A89" s="45" t="s">
        <v>192</v>
      </c>
      <c r="B89" s="45" t="s">
        <v>193</v>
      </c>
      <c r="C89" s="45" t="s">
        <v>58</v>
      </c>
      <c r="D89" s="45" t="str">
        <f t="shared" si="1"/>
        <v>ÜÜRITAV PINDOoteruum/Teenindusruum84 Avalikud teenindusruumid</v>
      </c>
    </row>
    <row r="90" spans="1:4" x14ac:dyDescent="0.35">
      <c r="A90" s="45" t="s">
        <v>194</v>
      </c>
      <c r="B90" s="45" t="s">
        <v>81</v>
      </c>
      <c r="C90" s="45" t="s">
        <v>58</v>
      </c>
      <c r="D90" s="45" t="str">
        <f t="shared" si="1"/>
        <v>ÜÜRITAV PINDParkla55 Garaažid</v>
      </c>
    </row>
    <row r="91" spans="1:4" x14ac:dyDescent="0.35">
      <c r="A91" s="45" t="s">
        <v>194</v>
      </c>
      <c r="B91" s="45" t="s">
        <v>195</v>
      </c>
      <c r="C91" s="45" t="s">
        <v>58</v>
      </c>
      <c r="D91" s="45" t="str">
        <f t="shared" si="1"/>
        <v>ÜÜRITAV PINDParkla89 Liigitamata ühisruumid</v>
      </c>
    </row>
    <row r="92" spans="1:4" x14ac:dyDescent="0.35">
      <c r="A92" s="45" t="s">
        <v>76</v>
      </c>
      <c r="B92" s="45" t="s">
        <v>77</v>
      </c>
      <c r="C92" s="45" t="s">
        <v>58</v>
      </c>
      <c r="D92" s="45" t="str">
        <f t="shared" si="1"/>
        <v>ÜÜRITAV PINDPesuruum72 Pesuruumid</v>
      </c>
    </row>
    <row r="93" spans="1:4" x14ac:dyDescent="0.35">
      <c r="A93" s="45" t="s">
        <v>196</v>
      </c>
      <c r="B93" s="45" t="s">
        <v>197</v>
      </c>
      <c r="C93" s="45" t="s">
        <v>58</v>
      </c>
      <c r="D93" s="45" t="str">
        <f t="shared" si="1"/>
        <v>ÜÜRITAV PINDPuhkeruum48 Puhke- ja huvialaruumid</v>
      </c>
    </row>
    <row r="94" spans="1:4" x14ac:dyDescent="0.35">
      <c r="A94" s="45" t="s">
        <v>196</v>
      </c>
      <c r="B94" s="45" t="s">
        <v>198</v>
      </c>
      <c r="C94" s="45" t="s">
        <v>58</v>
      </c>
      <c r="D94" s="45" t="str">
        <f t="shared" si="1"/>
        <v>ÜÜRITAV PINDPuhkeruum75 Puhketoad</v>
      </c>
    </row>
    <row r="95" spans="1:4" x14ac:dyDescent="0.35">
      <c r="A95" s="45" t="s">
        <v>199</v>
      </c>
      <c r="B95" s="45" t="s">
        <v>195</v>
      </c>
      <c r="C95" s="45" t="s">
        <v>58</v>
      </c>
      <c r="D95" s="45" t="str">
        <f t="shared" si="1"/>
        <v>ÜÜRITAV PINDPööning/Katusealune89 Liigitamata ühisruumid</v>
      </c>
    </row>
    <row r="96" spans="1:4" x14ac:dyDescent="0.35">
      <c r="A96" s="45" t="s">
        <v>200</v>
      </c>
      <c r="B96" s="45" t="s">
        <v>201</v>
      </c>
      <c r="C96" s="45" t="s">
        <v>58</v>
      </c>
      <c r="D96" s="45" t="str">
        <f t="shared" si="1"/>
        <v>ÜÜRITAV PINDRaamatukogu39 Liigitamata õpperuumid</v>
      </c>
    </row>
    <row r="97" spans="1:4" x14ac:dyDescent="0.35">
      <c r="A97" s="45" t="s">
        <v>202</v>
      </c>
      <c r="B97" s="45" t="s">
        <v>62</v>
      </c>
      <c r="C97" s="45" t="s">
        <v>58</v>
      </c>
      <c r="D97" s="45" t="str">
        <f t="shared" si="1"/>
        <v>ÜÜRITAV PINDRelvaruum59 Liigitamata hoiuruumid</v>
      </c>
    </row>
    <row r="98" spans="1:4" x14ac:dyDescent="0.35">
      <c r="A98" s="45" t="s">
        <v>203</v>
      </c>
      <c r="B98" s="45" t="s">
        <v>204</v>
      </c>
      <c r="C98" s="45" t="s">
        <v>58</v>
      </c>
      <c r="D98" s="45" t="str">
        <f t="shared" si="1"/>
        <v>ÜÜRITAV PINDRiietusruum71 Riietusruumid</v>
      </c>
    </row>
    <row r="99" spans="1:4" x14ac:dyDescent="0.35">
      <c r="A99" s="45" t="s">
        <v>205</v>
      </c>
      <c r="B99" s="45" t="s">
        <v>206</v>
      </c>
      <c r="C99" s="45" t="s">
        <v>58</v>
      </c>
      <c r="D99" s="45" t="str">
        <f t="shared" si="1"/>
        <v>ÜÜRITAV PINDSaal33 Loengusaalid</v>
      </c>
    </row>
    <row r="100" spans="1:4" x14ac:dyDescent="0.35">
      <c r="A100" s="45" t="s">
        <v>205</v>
      </c>
      <c r="B100" s="45" t="s">
        <v>145</v>
      </c>
      <c r="C100" s="45" t="s">
        <v>58</v>
      </c>
      <c r="D100" s="45" t="str">
        <f t="shared" si="1"/>
        <v>ÜÜRITAV PINDSaal34 Auditooriumid</v>
      </c>
    </row>
    <row r="101" spans="1:4" x14ac:dyDescent="0.35">
      <c r="A101" s="45" t="s">
        <v>207</v>
      </c>
      <c r="B101" s="45" t="s">
        <v>208</v>
      </c>
      <c r="C101" s="45" t="s">
        <v>58</v>
      </c>
      <c r="D101" s="45" t="str">
        <f t="shared" si="1"/>
        <v>ÜÜRITAV PINDSakraalruum45 Sakraalruumid</v>
      </c>
    </row>
    <row r="102" spans="1:4" x14ac:dyDescent="0.35">
      <c r="A102" s="45" t="s">
        <v>209</v>
      </c>
      <c r="B102" s="45" t="s">
        <v>163</v>
      </c>
      <c r="C102" s="45" t="s">
        <v>58</v>
      </c>
      <c r="D102" s="45" t="str">
        <f t="shared" si="1"/>
        <v>ÜÜRITAV PINDSalong22 Äriruumid</v>
      </c>
    </row>
    <row r="103" spans="1:4" x14ac:dyDescent="0.35">
      <c r="A103" s="45" t="s">
        <v>107</v>
      </c>
      <c r="B103" s="45" t="s">
        <v>71</v>
      </c>
      <c r="C103" s="45" t="s">
        <v>58</v>
      </c>
      <c r="D103" s="45" t="str">
        <f t="shared" si="1"/>
        <v>ÜÜRITAV PINDServer23 Äriruumide abiruumid</v>
      </c>
    </row>
    <row r="104" spans="1:4" x14ac:dyDescent="0.35">
      <c r="A104" s="45" t="s">
        <v>210</v>
      </c>
      <c r="B104" s="45" t="s">
        <v>211</v>
      </c>
      <c r="C104" s="45" t="s">
        <v>58</v>
      </c>
      <c r="D104" s="45" t="str">
        <f t="shared" si="1"/>
        <v>ÜÜRITAV PINDSpordiruum/-saal47 Spordiruumid</v>
      </c>
    </row>
    <row r="105" spans="1:4" x14ac:dyDescent="0.35">
      <c r="A105" s="45" t="s">
        <v>212</v>
      </c>
      <c r="B105" s="45" t="s">
        <v>163</v>
      </c>
      <c r="C105" s="45" t="s">
        <v>58</v>
      </c>
      <c r="D105" s="45" t="str">
        <f t="shared" si="1"/>
        <v>ÜÜRITAV PINDStuudio22 Äriruumid</v>
      </c>
    </row>
    <row r="106" spans="1:4" x14ac:dyDescent="0.35">
      <c r="A106" s="45" t="s">
        <v>213</v>
      </c>
      <c r="B106" s="45" t="s">
        <v>214</v>
      </c>
      <c r="C106" s="45" t="s">
        <v>58</v>
      </c>
      <c r="D106" s="45" t="str">
        <f t="shared" si="1"/>
        <v>ÜÜRITAV PINDSuitsetamise ruum79 Liigitamata sotsiaal- ja puhkeruumid</v>
      </c>
    </row>
    <row r="107" spans="1:4" x14ac:dyDescent="0.35">
      <c r="A107" s="45" t="s">
        <v>215</v>
      </c>
      <c r="B107" s="45" t="s">
        <v>216</v>
      </c>
      <c r="C107" s="45" t="s">
        <v>58</v>
      </c>
      <c r="D107" s="45" t="str">
        <f t="shared" si="1"/>
        <v>ÜÜRITAV PINDSöökla/Kohvik61 Toitlustusruumid</v>
      </c>
    </row>
    <row r="108" spans="1:4" x14ac:dyDescent="0.35">
      <c r="A108" s="45" t="s">
        <v>217</v>
      </c>
      <c r="B108" s="45" t="s">
        <v>195</v>
      </c>
      <c r="C108" s="45" t="s">
        <v>58</v>
      </c>
      <c r="D108" s="45" t="str">
        <f t="shared" si="1"/>
        <v>ÜÜRITAV PINDTalveaed89 Liigitamata ühisruumid</v>
      </c>
    </row>
    <row r="109" spans="1:4" x14ac:dyDescent="0.35">
      <c r="A109" s="45" t="s">
        <v>218</v>
      </c>
      <c r="B109" s="45" t="s">
        <v>219</v>
      </c>
      <c r="C109" s="45" t="s">
        <v>58</v>
      </c>
      <c r="D109" s="45" t="str">
        <f t="shared" si="1"/>
        <v>ÜÜRITAV PINDTervishoiuruum42 Tervishoiuruumid</v>
      </c>
    </row>
    <row r="110" spans="1:4" x14ac:dyDescent="0.35">
      <c r="A110" s="45" t="s">
        <v>220</v>
      </c>
      <c r="B110" s="45" t="s">
        <v>195</v>
      </c>
      <c r="C110" s="45" t="s">
        <v>58</v>
      </c>
      <c r="D110" s="45" t="str">
        <f t="shared" si="1"/>
        <v>ÜÜRITAV PINDTorn/Platvorm89 Liigitamata ühisruumid</v>
      </c>
    </row>
    <row r="111" spans="1:4" x14ac:dyDescent="0.35">
      <c r="A111" s="45" t="s">
        <v>221</v>
      </c>
      <c r="B111" s="45" t="s">
        <v>138</v>
      </c>
      <c r="C111" s="45" t="s">
        <v>58</v>
      </c>
      <c r="D111" s="45" t="str">
        <f t="shared" si="1"/>
        <v>ÜÜRITAV PINDTorulifti ruum92 Vertikaalliiklusruumid</v>
      </c>
    </row>
    <row r="112" spans="1:4" x14ac:dyDescent="0.35">
      <c r="A112" s="45" t="s">
        <v>222</v>
      </c>
      <c r="B112" s="45" t="s">
        <v>188</v>
      </c>
      <c r="C112" s="45" t="s">
        <v>58</v>
      </c>
      <c r="D112" s="45" t="str">
        <f t="shared" si="1"/>
        <v>ÜÜRITAV PINDTuulekoda83 Sissepääsuruumid</v>
      </c>
    </row>
    <row r="113" spans="1:4" x14ac:dyDescent="0.35">
      <c r="A113" s="45" t="s">
        <v>59</v>
      </c>
      <c r="B113" s="45" t="s">
        <v>223</v>
      </c>
      <c r="C113" s="45" t="s">
        <v>58</v>
      </c>
      <c r="D113" s="45" t="str">
        <f t="shared" si="1"/>
        <v>ÜÜRITAV PINDTöökoda35 Kutseõppeasutuse töökojad</v>
      </c>
    </row>
    <row r="114" spans="1:4" x14ac:dyDescent="0.35">
      <c r="A114" s="45" t="s">
        <v>59</v>
      </c>
      <c r="B114" s="45" t="s">
        <v>60</v>
      </c>
      <c r="C114" s="45" t="s">
        <v>58</v>
      </c>
      <c r="D114" s="45" t="str">
        <f t="shared" si="1"/>
        <v>ÜÜRITAV PINDTöökoda41 Tootmisruumid</v>
      </c>
    </row>
    <row r="115" spans="1:4" x14ac:dyDescent="0.35">
      <c r="A115" s="45" t="s">
        <v>59</v>
      </c>
      <c r="B115" s="45" t="s">
        <v>147</v>
      </c>
      <c r="C115" s="45" t="s">
        <v>58</v>
      </c>
      <c r="D115" s="45" t="str">
        <f t="shared" si="1"/>
        <v>ÜÜRITAV PINDTöökoda49 Ruumigrupi liigitamata eriruumid</v>
      </c>
    </row>
    <row r="116" spans="1:4" x14ac:dyDescent="0.35">
      <c r="A116" s="45" t="s">
        <v>224</v>
      </c>
      <c r="B116" s="45" t="s">
        <v>211</v>
      </c>
      <c r="C116" s="45" t="s">
        <v>58</v>
      </c>
      <c r="D116" s="45" t="str">
        <f t="shared" si="1"/>
        <v>ÜÜRITAV PINDUjula47 Spordiruumid</v>
      </c>
    </row>
    <row r="117" spans="1:4" x14ac:dyDescent="0.35">
      <c r="A117" s="45" t="s">
        <v>225</v>
      </c>
      <c r="B117" s="45" t="s">
        <v>226</v>
      </c>
      <c r="C117" s="45" t="s">
        <v>58</v>
      </c>
      <c r="D117" s="45" t="str">
        <f t="shared" si="1"/>
        <v>ÜÜRITAV PINDValveruum38 Valveruumid</v>
      </c>
    </row>
    <row r="118" spans="1:4" x14ac:dyDescent="0.35">
      <c r="A118" s="45" t="s">
        <v>227</v>
      </c>
      <c r="B118" s="45" t="s">
        <v>228</v>
      </c>
      <c r="C118" s="45" t="s">
        <v>58</v>
      </c>
      <c r="D118" s="45" t="str">
        <f t="shared" si="1"/>
        <v>ÜÜRITAV PINDVarjend81 Varjendid</v>
      </c>
    </row>
    <row r="119" spans="1:4" x14ac:dyDescent="0.35">
      <c r="A119" s="45" t="s">
        <v>73</v>
      </c>
      <c r="B119" s="45" t="s">
        <v>74</v>
      </c>
      <c r="C119" s="45" t="s">
        <v>58</v>
      </c>
      <c r="D119" s="45" t="str">
        <f t="shared" si="1"/>
        <v>ÜÜRITAV PINDWC73 WC-ruumid</v>
      </c>
    </row>
    <row r="120" spans="1:4" x14ac:dyDescent="0.35">
      <c r="A120" s="45"/>
      <c r="B120" s="45"/>
      <c r="C120" s="45" t="s">
        <v>229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230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116</v>
      </c>
      <c r="L1" s="4" t="s">
        <v>4</v>
      </c>
      <c r="M1" s="4" t="s">
        <v>231</v>
      </c>
    </row>
    <row r="2" spans="1:13" x14ac:dyDescent="0.35">
      <c r="A2" s="3" t="s">
        <v>232</v>
      </c>
      <c r="C2" s="4">
        <f>C1</f>
        <v>-5</v>
      </c>
      <c r="D2" s="4" t="s">
        <v>233</v>
      </c>
      <c r="E2" s="4" t="s">
        <v>58</v>
      </c>
      <c r="F2" s="6" t="str">
        <f>IF('Hoone üldandmed'!$B$4="","",IF(IF(C2&gt;='Hoone üldandmed'!$B$4*1,TRUE,FALSE),C2,""))</f>
        <v/>
      </c>
      <c r="G2" s="6" t="b">
        <f>IF('Hoone üldandmed'!$B$4="",FALSE,IF(C2&gt;='Hoone üldandmed'!$B$4*1,TRUE,FALSE))</f>
        <v>0</v>
      </c>
      <c r="H2" s="4"/>
      <c r="I2" s="1">
        <f>COUNTIFS($C$1:C2,C2)</f>
        <v>2</v>
      </c>
      <c r="J2" s="4" t="s">
        <v>90</v>
      </c>
      <c r="L2" s="4" t="s">
        <v>234</v>
      </c>
      <c r="M2" s="4" t="s">
        <v>235</v>
      </c>
    </row>
    <row r="3" spans="1:13" x14ac:dyDescent="0.35">
      <c r="A3" s="3" t="s">
        <v>236</v>
      </c>
      <c r="C3" s="4">
        <f t="shared" ref="C3:C10" si="0">C2</f>
        <v>-5</v>
      </c>
      <c r="D3" s="4" t="s">
        <v>237</v>
      </c>
      <c r="E3" s="4" t="s">
        <v>139</v>
      </c>
      <c r="F3" s="6" t="str">
        <f>IF('Hoone üldandmed'!$B$4="","",IF(IF(C3&gt;='Hoone üldandmed'!$B$4*1,TRUE,FALSE),C3,""))</f>
        <v/>
      </c>
      <c r="G3" s="6" t="b">
        <f>IF('Hoone üldandmed'!$B$4="",FALSE,IF(C3&gt;='Hoone üldandmed'!$B$4*1,TRUE,FALSE))</f>
        <v>0</v>
      </c>
      <c r="H3" s="4"/>
      <c r="I3" s="1">
        <f>COUNTIFS($C$1:C3,C3)</f>
        <v>3</v>
      </c>
      <c r="J3" s="4" t="s">
        <v>139</v>
      </c>
      <c r="L3" s="4" t="s">
        <v>6</v>
      </c>
      <c r="M3" s="4" t="s">
        <v>238</v>
      </c>
    </row>
    <row r="4" spans="1:13" x14ac:dyDescent="0.35">
      <c r="A4" s="3" t="s">
        <v>239</v>
      </c>
      <c r="C4" s="4">
        <f t="shared" si="0"/>
        <v>-5</v>
      </c>
      <c r="D4" s="4" t="s">
        <v>240</v>
      </c>
      <c r="E4" s="4" t="s">
        <v>90</v>
      </c>
      <c r="F4" s="6" t="str">
        <f>IF('Hoone üldandmed'!$B$4="","",IF(IF(C4&gt;='Hoone üldandmed'!$B$4*1,TRUE,FALSE),C4,""))</f>
        <v/>
      </c>
      <c r="G4" s="6" t="b">
        <f>IF('Hoone üldandmed'!$B$4="",FALSE,IF(C4&gt;='Hoone üldandmed'!$B$4*1,TRUE,FALSE))</f>
        <v>0</v>
      </c>
      <c r="H4" s="4"/>
      <c r="I4" s="1">
        <f>COUNTIFS($C$1:C4,C4)</f>
        <v>4</v>
      </c>
      <c r="J4" s="4" t="s">
        <v>58</v>
      </c>
      <c r="L4" s="4" t="s">
        <v>241</v>
      </c>
      <c r="M4" s="4" t="s">
        <v>242</v>
      </c>
    </row>
    <row r="5" spans="1:13" x14ac:dyDescent="0.35">
      <c r="A5" s="3" t="s">
        <v>243</v>
      </c>
      <c r="C5" s="4">
        <f t="shared" si="0"/>
        <v>-5</v>
      </c>
      <c r="D5" s="4" t="s">
        <v>244</v>
      </c>
      <c r="E5" s="4"/>
      <c r="F5" s="6" t="str">
        <f>IF('Hoone üldandmed'!$B$4="","",IF(IF(C5&gt;='Hoone üldandmed'!$B$4*1,TRUE,FALSE),C5,""))</f>
        <v/>
      </c>
      <c r="G5" s="6" t="b">
        <f>IF('Hoone üldandmed'!$B$4="",FALSE,IF(C5&gt;='Hoone üldandmed'!$B$4*1,TRUE,FALSE))</f>
        <v>0</v>
      </c>
      <c r="H5" s="4"/>
      <c r="I5" s="1">
        <f>COUNTIFS($C$1:C5,C5)</f>
        <v>5</v>
      </c>
      <c r="J5" s="4" t="s">
        <v>229</v>
      </c>
      <c r="L5" s="4" t="s">
        <v>245</v>
      </c>
      <c r="M5" s="4" t="s">
        <v>246</v>
      </c>
    </row>
    <row r="6" spans="1:13" x14ac:dyDescent="0.35">
      <c r="A6" s="3" t="s">
        <v>247</v>
      </c>
      <c r="C6" s="4">
        <f t="shared" si="0"/>
        <v>-5</v>
      </c>
      <c r="D6" s="4" t="s">
        <v>248</v>
      </c>
      <c r="E6" s="4" t="s">
        <v>249</v>
      </c>
      <c r="F6" s="6" t="str">
        <f>IF('Hoone üldandmed'!$B$4="","",IF(IF(C6&gt;='Hoone üldandmed'!$B$4*1,TRUE,FALSE),C6,""))</f>
        <v/>
      </c>
      <c r="G6" s="6" t="b">
        <f>IF('Hoone üldandmed'!$B$4="",FALSE,IF(C6&gt;='Hoone üldandmed'!$B$4*1,TRUE,FALSE))</f>
        <v>0</v>
      </c>
      <c r="H6" s="4"/>
      <c r="I6" s="1">
        <f>COUNTIFS($C$1:C6,C6)</f>
        <v>6</v>
      </c>
      <c r="L6" s="4" t="s">
        <v>83</v>
      </c>
      <c r="M6" s="4" t="s">
        <v>250</v>
      </c>
    </row>
    <row r="7" spans="1:13" x14ac:dyDescent="0.35">
      <c r="A7" s="3" t="s">
        <v>21</v>
      </c>
      <c r="C7" s="4">
        <f t="shared" si="0"/>
        <v>-5</v>
      </c>
      <c r="D7" s="4" t="s">
        <v>251</v>
      </c>
      <c r="E7" s="4"/>
      <c r="F7" s="6" t="str">
        <f>IF('Hoone üldandmed'!$B$4="","",IF(IF(C7&gt;='Hoone üldandmed'!$B$4*1,TRUE,FALSE),C7,""))</f>
        <v/>
      </c>
      <c r="G7" s="6" t="b">
        <f>IF('Hoone üldandmed'!$B$4="",FALSE,IF(C7&gt;='Hoone üldandmed'!$B$4*1,TRUE,FALSE))</f>
        <v>0</v>
      </c>
      <c r="H7" s="4"/>
      <c r="I7" s="1">
        <f>COUNTIFS($C$1:C7,C7)</f>
        <v>7</v>
      </c>
    </row>
    <row r="8" spans="1:13" x14ac:dyDescent="0.35">
      <c r="A8" s="3" t="s">
        <v>252</v>
      </c>
      <c r="C8" s="4">
        <f>C7</f>
        <v>-5</v>
      </c>
      <c r="D8" s="4" t="s">
        <v>253</v>
      </c>
      <c r="E8" s="4"/>
      <c r="F8" s="6" t="str">
        <f>IF('Hoone üldandmed'!$B$4="","",IF(IF(C8&gt;='Hoone üldandmed'!$B$4*1,TRUE,FALSE),C8,""))</f>
        <v/>
      </c>
      <c r="G8" s="6" t="b">
        <f>IF('Hoone üldandmed'!$B$4="",FALSE,IF(C8&gt;='Hoone üldandmed'!$B$4*1,TRUE,FALSE))</f>
        <v>0</v>
      </c>
      <c r="H8" s="4"/>
      <c r="I8" s="1">
        <f>COUNTIFS($C$1:C8,C8)</f>
        <v>8</v>
      </c>
    </row>
    <row r="9" spans="1:13" x14ac:dyDescent="0.35">
      <c r="A9" s="3" t="s">
        <v>254</v>
      </c>
      <c r="C9" s="4">
        <f t="shared" si="0"/>
        <v>-5</v>
      </c>
      <c r="D9" s="4" t="s">
        <v>255</v>
      </c>
      <c r="E9" s="4" t="s">
        <v>116</v>
      </c>
      <c r="F9" s="6" t="str">
        <f>IF('Hoone üldandmed'!$B$4="","",IF(IF(C9&gt;='Hoone üldandmed'!$B$4*1,TRUE,FALSE),C9,""))</f>
        <v/>
      </c>
      <c r="G9" s="6" t="b">
        <f>IF('Hoone üldandmed'!$B$4="",FALSE,IF(C9&gt;='Hoone üldandmed'!$B$4*1,TRUE,FALSE))</f>
        <v>0</v>
      </c>
      <c r="H9" s="4"/>
      <c r="I9" s="1">
        <f>COUNTIFS($C$1:C9,C9)</f>
        <v>9</v>
      </c>
    </row>
    <row r="10" spans="1:13" x14ac:dyDescent="0.35">
      <c r="A10" s="3" t="s">
        <v>256</v>
      </c>
      <c r="C10" s="4">
        <f t="shared" si="0"/>
        <v>-5</v>
      </c>
      <c r="D10" s="4" t="s">
        <v>257</v>
      </c>
      <c r="E10" s="4" t="s">
        <v>229</v>
      </c>
      <c r="F10" s="6" t="str">
        <f>IF('Hoone üldandmed'!$B$4="","",IF(IF(C10&gt;='Hoone üldandmed'!$B$4*1,TRUE,FALSE),C10,""))</f>
        <v/>
      </c>
      <c r="G10" s="6" t="b">
        <f>IF('Hoone üldandmed'!$B$4="",FALSE,IF(C10&gt;='Hoone üldandmed'!$B$4*1,TRUE,FALSE))</f>
        <v>0</v>
      </c>
      <c r="H10" s="4"/>
    </row>
    <row r="11" spans="1:13" x14ac:dyDescent="0.35">
      <c r="A11" s="3" t="s">
        <v>258</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259</v>
      </c>
      <c r="C12" s="4">
        <f t="shared" si="1"/>
        <v>-4</v>
      </c>
      <c r="D12" s="4" t="s">
        <v>233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260</v>
      </c>
      <c r="C13" s="4">
        <f t="shared" si="1"/>
        <v>-4</v>
      </c>
      <c r="D13" s="4" t="s">
        <v>237</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261</v>
      </c>
      <c r="C14" s="4">
        <f t="shared" si="1"/>
        <v>-4</v>
      </c>
      <c r="D14" s="4" t="s">
        <v>240</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262</v>
      </c>
      <c r="C15" s="4">
        <f t="shared" si="1"/>
        <v>-4</v>
      </c>
      <c r="D15" s="4" t="s">
        <v>244</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263</v>
      </c>
      <c r="C16" s="4">
        <f t="shared" si="1"/>
        <v>-4</v>
      </c>
      <c r="D16" s="4" t="s">
        <v>248</v>
      </c>
      <c r="E16" s="4" t="s">
        <v>249</v>
      </c>
      <c r="F16" s="6" t="str">
        <f>IF('Hoone üldandmed'!$B$4="","",IF(IF(C16&gt;='Hoone üldandmed'!$B$4*1,TRUE,FALSE),C16,""))</f>
        <v/>
      </c>
      <c r="G16" s="6" t="b">
        <f>IF('Hoone üldandmed'!$B$4="",FALSE,IF(C16&gt;='Hoone üldandmed'!$B$4*1,TRUE,FALSE))</f>
        <v>0</v>
      </c>
      <c r="H16" s="4"/>
      <c r="I16" s="1">
        <f>COUNTIFS($C$1:C16,C16)</f>
        <v>6</v>
      </c>
    </row>
    <row r="17" spans="1:9" x14ac:dyDescent="0.35">
      <c r="A17" s="3" t="s">
        <v>264</v>
      </c>
      <c r="C17" s="4">
        <f t="shared" si="1"/>
        <v>-4</v>
      </c>
      <c r="D17" s="4" t="s">
        <v>251</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265</v>
      </c>
      <c r="C18" s="4">
        <f t="shared" si="1"/>
        <v>-4</v>
      </c>
      <c r="D18" s="4" t="s">
        <v>253</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266</v>
      </c>
      <c r="C19" s="4">
        <f t="shared" si="1"/>
        <v>-4</v>
      </c>
      <c r="D19" s="4" t="s">
        <v>255</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267</v>
      </c>
      <c r="C20" s="4">
        <f t="shared" si="1"/>
        <v>-4</v>
      </c>
      <c r="D20" s="4" t="s">
        <v>257</v>
      </c>
      <c r="E20" s="4" t="s">
        <v>229</v>
      </c>
      <c r="F20" s="6" t="str">
        <f>IF('Hoone üldandmed'!$B$4="","",IF(IF(C20&gt;='Hoone üldandmed'!$B$4*1,TRUE,FALSE),C20,""))</f>
        <v/>
      </c>
      <c r="G20" s="6" t="b">
        <f>IF('Hoone üldandmed'!$B$4="",FALSE,IF(C20&gt;='Hoone üldandmed'!$B$4*1,TRUE,FALSE))</f>
        <v>0</v>
      </c>
      <c r="H20" s="4"/>
    </row>
    <row r="21" spans="1:9" x14ac:dyDescent="0.35">
      <c r="A21" s="3" t="s">
        <v>268</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269</v>
      </c>
      <c r="C22" s="4">
        <f t="shared" si="1"/>
        <v>-3</v>
      </c>
      <c r="D22" s="4" t="s">
        <v>233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270</v>
      </c>
      <c r="C23" s="4">
        <f t="shared" si="1"/>
        <v>-3</v>
      </c>
      <c r="D23" s="4" t="s">
        <v>237</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271</v>
      </c>
      <c r="C24" s="4">
        <f t="shared" si="1"/>
        <v>-3</v>
      </c>
      <c r="D24" s="4" t="s">
        <v>240</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272</v>
      </c>
      <c r="C25" s="4">
        <f t="shared" si="1"/>
        <v>-3</v>
      </c>
      <c r="D25" s="4" t="s">
        <v>244</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273</v>
      </c>
      <c r="C26" s="4">
        <f t="shared" si="1"/>
        <v>-3</v>
      </c>
      <c r="D26" s="4" t="s">
        <v>248</v>
      </c>
      <c r="E26" s="4" t="s">
        <v>249</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251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253</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255</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257</v>
      </c>
      <c r="E30" s="4" t="s">
        <v>229</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233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237</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240</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244</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248</v>
      </c>
      <c r="E36" s="4" t="s">
        <v>249</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251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253</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255</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257</v>
      </c>
      <c r="E40" s="4" t="s">
        <v>229</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233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237</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240</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244</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248</v>
      </c>
      <c r="E46" s="4" t="s">
        <v>249</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251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253</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255</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257</v>
      </c>
      <c r="E50" s="4" t="s">
        <v>229</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35">
      <c r="C52" s="4">
        <f t="shared" si="2"/>
        <v>0</v>
      </c>
      <c r="D52" s="4" t="s">
        <v>233</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35">
      <c r="C53" s="4">
        <f t="shared" si="2"/>
        <v>0</v>
      </c>
      <c r="D53" s="4" t="s">
        <v>237</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35">
      <c r="C54" s="4">
        <f t="shared" si="2"/>
        <v>0</v>
      </c>
      <c r="D54" s="4" t="s">
        <v>240</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35">
      <c r="C55" s="4">
        <f t="shared" si="2"/>
        <v>0</v>
      </c>
      <c r="D55" s="4" t="s">
        <v>244</v>
      </c>
      <c r="E55" s="4" t="str">
        <f>IF(E45=0,"",E45)</f>
        <v/>
      </c>
      <c r="F55" s="6" t="str">
        <f>IF('Hoone üldandmed'!$B$4="","",IF(IF(C55&gt;='Hoone üldandmed'!$B$4*1,TRUE,FALSE),C55,""))</f>
        <v/>
      </c>
      <c r="G55" s="6" t="b">
        <f>IF('Hoone üldandmed'!$B$4="",FALSE,IF(C55&gt;='Hoone üldandmed'!$B$4*1,TRUE,FALSE))</f>
        <v>0</v>
      </c>
      <c r="H55" s="4"/>
      <c r="I55" s="1">
        <f>COUNTIFS($C$1:C55,C55)</f>
        <v>5</v>
      </c>
    </row>
    <row r="56" spans="3:9" x14ac:dyDescent="0.35">
      <c r="C56" s="4">
        <f t="shared" si="2"/>
        <v>0</v>
      </c>
      <c r="D56" s="4" t="s">
        <v>248</v>
      </c>
      <c r="E56" s="4" t="s">
        <v>249</v>
      </c>
      <c r="F56" s="6" t="str">
        <f>IF('Hoone üldandmed'!$B$4="","",IF(IF(C56&gt;='Hoone üldandmed'!$B$4*1,TRUE,FALSE),C56,""))</f>
        <v/>
      </c>
      <c r="G56" s="6" t="b">
        <f>IF('Hoone üldandmed'!$B$4="",FALSE,IF(C56&gt;='Hoone üldandmed'!$B$4*1,TRUE,FALSE))</f>
        <v>0</v>
      </c>
      <c r="H56" s="4"/>
      <c r="I56" s="1">
        <f>COUNTIFS($C$1:C56,C56)</f>
        <v>6</v>
      </c>
    </row>
    <row r="57" spans="3:9" x14ac:dyDescent="0.35">
      <c r="C57" s="4">
        <f t="shared" si="2"/>
        <v>0</v>
      </c>
      <c r="D57" s="4" t="s">
        <v>251</v>
      </c>
      <c r="E57" s="4" t="str">
        <f>IF(E47=0,"",E47)</f>
        <v/>
      </c>
      <c r="F57" s="6" t="str">
        <f>IF('Hoone üldandmed'!$B$4="","",IF(IF(C57&gt;='Hoone üldandmed'!$B$4*1,TRUE,FALSE),C57,""))</f>
        <v/>
      </c>
      <c r="G57" s="6" t="b">
        <f>IF('Hoone üldandmed'!$B$4="",FALSE,IF(C57&gt;='Hoone üldandmed'!$B$4*1,TRUE,FALSE))</f>
        <v>0</v>
      </c>
      <c r="H57" s="4"/>
      <c r="I57" s="1">
        <f>COUNTIFS($C$1:C57,C57)</f>
        <v>7</v>
      </c>
    </row>
    <row r="58" spans="3:9" x14ac:dyDescent="0.35">
      <c r="C58" s="4">
        <f t="shared" si="2"/>
        <v>0</v>
      </c>
      <c r="D58" s="4" t="s">
        <v>253</v>
      </c>
      <c r="E58" s="4" t="str">
        <f>IF(E48=0,"",E48)</f>
        <v/>
      </c>
      <c r="F58" s="6" t="str">
        <f>IF('Hoone üldandmed'!$B$4="","",IF(IF(C58&gt;='Hoone üldandmed'!$B$4*1,TRUE,FALSE),C58,""))</f>
        <v/>
      </c>
      <c r="G58" s="6" t="b">
        <f>IF('Hoone üldandmed'!$B$4="",FALSE,IF(C58&gt;='Hoone üldandmed'!$B$4*1,TRUE,FALSE))</f>
        <v>0</v>
      </c>
      <c r="H58" s="4"/>
      <c r="I58" s="1">
        <f>COUNTIFS($C$1:C58,C58)</f>
        <v>8</v>
      </c>
    </row>
    <row r="59" spans="3:9" x14ac:dyDescent="0.35">
      <c r="C59" s="4">
        <f t="shared" si="2"/>
        <v>0</v>
      </c>
      <c r="D59" s="4" t="s">
        <v>255</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35">
      <c r="C60" s="4">
        <f t="shared" si="2"/>
        <v>0</v>
      </c>
      <c r="D60" s="4" t="s">
        <v>257</v>
      </c>
      <c r="E60" s="4" t="s">
        <v>229</v>
      </c>
      <c r="F60" s="6" t="str">
        <f>IF('Hoone üldandmed'!$B$4="","",IF(IF(C60&gt;='Hoone üldandmed'!$B$4*1,TRUE,FALSE),C60,""))</f>
        <v/>
      </c>
      <c r="G60" s="6" t="b">
        <f>IF('Hoone üldandmed'!$B$4="",FALSE,IF(C60&gt;='Hoone üldandmed'!$B$4*1,TRUE,FALSE))</f>
        <v>0</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233</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237</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240</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244</v>
      </c>
      <c r="E65" s="4" t="str">
        <f>IF(E55=0,"",E55)</f>
        <v/>
      </c>
      <c r="F65" s="7">
        <f>IF(IF(C65&lt;='Hoone üldandmed'!$B$3*1,TRUE,FALSE),C65,"")</f>
        <v>1</v>
      </c>
      <c r="G65" s="7" t="b">
        <f>IF(C65&lt;='Hoone üldandmed'!$B$3*1,TRUE,FALSE)</f>
        <v>1</v>
      </c>
      <c r="H65" s="4"/>
      <c r="I65" s="1">
        <f>COUNTIFS($C$1:C65,C65)</f>
        <v>5</v>
      </c>
    </row>
    <row r="66" spans="3:9" x14ac:dyDescent="0.35">
      <c r="C66" s="4">
        <f t="shared" si="2"/>
        <v>1</v>
      </c>
      <c r="D66" s="4" t="s">
        <v>248</v>
      </c>
      <c r="E66" s="4" t="s">
        <v>249</v>
      </c>
      <c r="F66" s="7">
        <f>IF(IF(C66&lt;='Hoone üldandmed'!$B$3*1,TRUE,FALSE),C66,"")</f>
        <v>1</v>
      </c>
      <c r="G66" s="7" t="b">
        <f>IF(C66&lt;='Hoone üldandmed'!$B$3*1,TRUE,FALSE)</f>
        <v>1</v>
      </c>
      <c r="H66" s="4"/>
      <c r="I66" s="1">
        <f>COUNTIFS($C$1:C66,C66)</f>
        <v>6</v>
      </c>
    </row>
    <row r="67" spans="3:9" x14ac:dyDescent="0.35">
      <c r="C67" s="4">
        <f t="shared" ref="C67:C76" si="3">C57+1</f>
        <v>1</v>
      </c>
      <c r="D67" s="4" t="s">
        <v>251</v>
      </c>
      <c r="E67" s="4" t="str">
        <f>IF(E57=0,"",E57)</f>
        <v/>
      </c>
      <c r="F67" s="7">
        <f>IF(IF(C67&lt;='Hoone üldandmed'!$B$3*1,TRUE,FALSE),C67,"")</f>
        <v>1</v>
      </c>
      <c r="G67" s="7" t="b">
        <f>IF(C67&lt;='Hoone üldandmed'!$B$3*1,TRUE,FALSE)</f>
        <v>1</v>
      </c>
      <c r="H67" s="4"/>
      <c r="I67" s="1">
        <f>COUNTIFS($C$1:C67,C67)</f>
        <v>7</v>
      </c>
    </row>
    <row r="68" spans="3:9" x14ac:dyDescent="0.35">
      <c r="C68" s="4">
        <f t="shared" si="3"/>
        <v>1</v>
      </c>
      <c r="D68" s="4" t="s">
        <v>253</v>
      </c>
      <c r="E68" s="4" t="str">
        <f>IF(E58=0,"",E58)</f>
        <v/>
      </c>
      <c r="F68" s="7">
        <f>IF(IF(C68&lt;='Hoone üldandmed'!$B$3*1,TRUE,FALSE),C68,"")</f>
        <v>1</v>
      </c>
      <c r="G68" s="7" t="b">
        <f>IF(C68&lt;='Hoone üldandmed'!$B$3*1,TRUE,FALSE)</f>
        <v>1</v>
      </c>
      <c r="H68" s="4"/>
      <c r="I68" s="1">
        <f>COUNTIFS($C$1:C68,C68)</f>
        <v>8</v>
      </c>
    </row>
    <row r="69" spans="3:9" x14ac:dyDescent="0.35">
      <c r="C69" s="4">
        <f t="shared" si="3"/>
        <v>1</v>
      </c>
      <c r="D69" s="4" t="s">
        <v>255</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257</v>
      </c>
      <c r="E70" s="4" t="s">
        <v>229</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35">
      <c r="C72" s="4">
        <f t="shared" si="3"/>
        <v>2</v>
      </c>
      <c r="D72" s="4" t="s">
        <v>233</v>
      </c>
      <c r="E72" s="4" t="str">
        <f>IF(E62=0,"",E62)</f>
        <v>ÜÜRITAV PIND</v>
      </c>
      <c r="F72" s="7" t="str">
        <f>IF(IF(C72&lt;='Hoone üldandmed'!$B$3*1,TRUE,FALSE),C72,"")</f>
        <v/>
      </c>
      <c r="G72" s="7" t="b">
        <f>IF(C72&lt;='Hoone üldandmed'!$B$3*1,TRUE,FALSE)</f>
        <v>0</v>
      </c>
      <c r="H72" s="4"/>
      <c r="I72" s="1">
        <f>COUNTIFS($C$1:C72,C72)</f>
        <v>2</v>
      </c>
    </row>
    <row r="73" spans="3:9" x14ac:dyDescent="0.35">
      <c r="C73" s="4">
        <f t="shared" si="3"/>
        <v>2</v>
      </c>
      <c r="D73" s="4" t="s">
        <v>237</v>
      </c>
      <c r="E73" s="4" t="str">
        <f>IF(E63=0,"",E63)</f>
        <v>VERTIKAALSETE ÜHENDUSTEEDE PIND</v>
      </c>
      <c r="F73" s="7" t="str">
        <f>IF(IF(C73&lt;='Hoone üldandmed'!$B$3*1,TRUE,FALSE),C73,"")</f>
        <v/>
      </c>
      <c r="G73" s="7" t="b">
        <f>IF(C73&lt;='Hoone üldandmed'!$B$3*1,TRUE,FALSE)</f>
        <v>0</v>
      </c>
      <c r="H73" s="4"/>
      <c r="I73" s="1">
        <f>COUNTIFS($C$1:C73,C73)</f>
        <v>3</v>
      </c>
    </row>
    <row r="74" spans="3:9" x14ac:dyDescent="0.35">
      <c r="C74" s="4">
        <f t="shared" si="3"/>
        <v>2</v>
      </c>
      <c r="D74" s="4" t="s">
        <v>240</v>
      </c>
      <c r="E74" s="4" t="str">
        <f>IF(E64=0,"",E64)</f>
        <v>TEHNOPIND</v>
      </c>
      <c r="F74" s="7" t="str">
        <f>IF(IF(C74&lt;='Hoone üldandmed'!$B$3*1,TRUE,FALSE),C74,"")</f>
        <v/>
      </c>
      <c r="G74" s="7" t="b">
        <f>IF(C74&lt;='Hoone üldandmed'!$B$3*1,TRUE,FALSE)</f>
        <v>0</v>
      </c>
      <c r="H74" s="4"/>
      <c r="I74" s="1">
        <f>COUNTIFS($C$1:C74,C74)</f>
        <v>4</v>
      </c>
    </row>
    <row r="75" spans="3:9" x14ac:dyDescent="0.35">
      <c r="C75" s="4">
        <f t="shared" si="3"/>
        <v>2</v>
      </c>
      <c r="D75" s="4" t="s">
        <v>244</v>
      </c>
      <c r="E75" s="4" t="str">
        <f>IF(E65=0,"",E65)</f>
        <v/>
      </c>
      <c r="F75" s="7" t="str">
        <f>IF(IF(C75&lt;='Hoone üldandmed'!$B$3*1,TRUE,FALSE),C75,"")</f>
        <v/>
      </c>
      <c r="G75" s="7" t="b">
        <f>IF(C75&lt;='Hoone üldandmed'!$B$3*1,TRUE,FALSE)</f>
        <v>0</v>
      </c>
      <c r="H75" s="4"/>
      <c r="I75" s="1">
        <f>COUNTIFS($C$1:C75,C75)</f>
        <v>5</v>
      </c>
    </row>
    <row r="76" spans="3:9" x14ac:dyDescent="0.35">
      <c r="C76" s="4">
        <f t="shared" si="3"/>
        <v>2</v>
      </c>
      <c r="D76" s="4" t="s">
        <v>248</v>
      </c>
      <c r="E76" s="4" t="s">
        <v>249</v>
      </c>
      <c r="F76" s="7" t="str">
        <f>IF(IF(C76&lt;='Hoone üldandmed'!$B$3*1,TRUE,FALSE),C76,"")</f>
        <v/>
      </c>
      <c r="G76" s="7" t="b">
        <f>IF(C76&lt;='Hoone üldandmed'!$B$3*1,TRUE,FALSE)</f>
        <v>0</v>
      </c>
      <c r="H76" s="4"/>
      <c r="I76" s="1">
        <f>COUNTIFS($C$1:C76,C76)</f>
        <v>6</v>
      </c>
    </row>
    <row r="77" spans="3:9" x14ac:dyDescent="0.35">
      <c r="C77" s="4">
        <f t="shared" ref="C77:C86" si="4">C67+1</f>
        <v>2</v>
      </c>
      <c r="D77" s="4" t="s">
        <v>251</v>
      </c>
      <c r="E77" s="4" t="str">
        <f>IF(E67=0,"",E67)</f>
        <v/>
      </c>
      <c r="F77" s="7" t="str">
        <f>IF(IF(C77&lt;='Hoone üldandmed'!$B$3*1,TRUE,FALSE),C77,"")</f>
        <v/>
      </c>
      <c r="G77" s="7" t="b">
        <f>IF(C77&lt;='Hoone üldandmed'!$B$3*1,TRUE,FALSE)</f>
        <v>0</v>
      </c>
      <c r="H77" s="4"/>
      <c r="I77" s="1">
        <f>COUNTIFS($C$1:C77,C77)</f>
        <v>7</v>
      </c>
    </row>
    <row r="78" spans="3:9" x14ac:dyDescent="0.35">
      <c r="C78" s="4">
        <f t="shared" si="4"/>
        <v>2</v>
      </c>
      <c r="D78" s="4" t="s">
        <v>253</v>
      </c>
      <c r="E78" s="4" t="str">
        <f>IF(E68=0,"",E68)</f>
        <v/>
      </c>
      <c r="F78" s="7" t="str">
        <f>IF(IF(C78&lt;='Hoone üldandmed'!$B$3*1,TRUE,FALSE),C78,"")</f>
        <v/>
      </c>
      <c r="G78" s="7" t="b">
        <f>IF(C78&lt;='Hoone üldandmed'!$B$3*1,TRUE,FALSE)</f>
        <v>0</v>
      </c>
      <c r="H78" s="4"/>
      <c r="I78" s="1">
        <f>COUNTIFS($C$1:C78,C78)</f>
        <v>8</v>
      </c>
    </row>
    <row r="79" spans="3:9" x14ac:dyDescent="0.35">
      <c r="C79" s="4">
        <f t="shared" si="4"/>
        <v>2</v>
      </c>
      <c r="D79" s="4" t="s">
        <v>255</v>
      </c>
      <c r="E79" s="4" t="str">
        <f>IF(E69=0,"",E69)</f>
        <v>KORRUSE AVATUD NETOPIND</v>
      </c>
      <c r="F79" s="7" t="str">
        <f>IF(IF(C79&lt;='Hoone üldandmed'!$B$3*1,TRUE,FALSE),C79,"")</f>
        <v/>
      </c>
      <c r="G79" s="7" t="b">
        <f>IF(C79&lt;='Hoone üldandmed'!$B$3*1,TRUE,FALSE)</f>
        <v>0</v>
      </c>
      <c r="H79" s="4"/>
      <c r="I79" s="1">
        <f>COUNTIFS($C$1:C79,C79)</f>
        <v>9</v>
      </c>
    </row>
    <row r="80" spans="3:9" x14ac:dyDescent="0.35">
      <c r="C80" s="4">
        <f t="shared" si="4"/>
        <v>2</v>
      </c>
      <c r="D80" s="4" t="s">
        <v>257</v>
      </c>
      <c r="E80" s="4" t="s">
        <v>229</v>
      </c>
      <c r="F80" s="7" t="str">
        <f>IF(IF(C80&lt;='Hoone üldandmed'!$B$3*1,TRUE,FALSE),C80,"")</f>
        <v/>
      </c>
      <c r="G80" s="7" t="b">
        <f>IF(C80&lt;='Hoone üldandmed'!$B$3*1,TRUE,FALSE)</f>
        <v>0</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233</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237</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240</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244</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248</v>
      </c>
      <c r="E86" s="4" t="s">
        <v>249</v>
      </c>
      <c r="F86" s="7" t="str">
        <f>IF(IF(C86&lt;='Hoone üldandmed'!$B$3*1,TRUE,FALSE),C86,"")</f>
        <v/>
      </c>
      <c r="G86" s="7" t="b">
        <f>IF(C86&lt;='Hoone üldandmed'!$B$3*1,TRUE,FALSE)</f>
        <v>0</v>
      </c>
      <c r="H86" s="4"/>
      <c r="I86" s="1">
        <f>COUNTIFS($C$1:C86,C86)</f>
        <v>6</v>
      </c>
    </row>
    <row r="87" spans="3:9" x14ac:dyDescent="0.35">
      <c r="C87" s="4">
        <f t="shared" ref="C87:C96" si="5">C77+1</f>
        <v>3</v>
      </c>
      <c r="D87" s="4" t="s">
        <v>251</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253</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255</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257</v>
      </c>
      <c r="E90" s="4" t="s">
        <v>229</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233</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237</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240</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244</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248</v>
      </c>
      <c r="E96" s="4" t="s">
        <v>249</v>
      </c>
      <c r="F96" s="7" t="str">
        <f>IF(IF(C96&lt;='Hoone üldandmed'!$B$3*1,TRUE,FALSE),C96,"")</f>
        <v/>
      </c>
      <c r="G96" s="7" t="b">
        <f>IF(C96&lt;='Hoone üldandmed'!$B$3*1,TRUE,FALSE)</f>
        <v>0</v>
      </c>
      <c r="H96" s="4"/>
      <c r="I96" s="1">
        <f>COUNTIFS($C$1:C96,C96)</f>
        <v>6</v>
      </c>
    </row>
    <row r="97" spans="3:9" x14ac:dyDescent="0.35">
      <c r="C97" s="4">
        <f t="shared" ref="C97:C106" si="6">C87+1</f>
        <v>4</v>
      </c>
      <c r="D97" s="4" t="s">
        <v>251</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253</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255</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257</v>
      </c>
      <c r="E100" s="4" t="s">
        <v>229</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233</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237</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240</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244</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248</v>
      </c>
      <c r="E106" s="4" t="s">
        <v>249</v>
      </c>
      <c r="F106" s="7" t="str">
        <f>IF(IF(C106&lt;='Hoone üldandmed'!$B$3*1,TRUE,FALSE),C106,"")</f>
        <v/>
      </c>
      <c r="G106" s="7" t="b">
        <f>IF(C106&lt;='Hoone üldandmed'!$B$3*1,TRUE,FALSE)</f>
        <v>0</v>
      </c>
      <c r="H106" s="4"/>
      <c r="I106" s="1">
        <f>COUNTIFS($C$1:C106,C106)</f>
        <v>6</v>
      </c>
    </row>
    <row r="107" spans="3:9" x14ac:dyDescent="0.35">
      <c r="C107" s="4">
        <f t="shared" ref="C107:C116" si="7">C97+1</f>
        <v>5</v>
      </c>
      <c r="D107" s="4" t="s">
        <v>251</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253</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255</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257</v>
      </c>
      <c r="E110" s="4" t="s">
        <v>229</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233</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237</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240</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244</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248</v>
      </c>
      <c r="E116" s="4" t="s">
        <v>249</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251</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253</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255</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257</v>
      </c>
      <c r="E120" s="4" t="s">
        <v>229</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233</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237</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240</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244</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248</v>
      </c>
      <c r="E126" s="4" t="s">
        <v>249</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251</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253</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255</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257</v>
      </c>
      <c r="E130" s="4" t="s">
        <v>229</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233</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237</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240</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244</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248</v>
      </c>
      <c r="E136" s="4" t="s">
        <v>249</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251</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253</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255</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257</v>
      </c>
      <c r="E140" s="4" t="s">
        <v>229</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233</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237</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240</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244</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248</v>
      </c>
      <c r="E146" s="4" t="s">
        <v>249</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251</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253</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255</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257</v>
      </c>
      <c r="E150" s="4" t="s">
        <v>229</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233</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237</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240</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244</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248</v>
      </c>
      <c r="E156" s="4" t="s">
        <v>249</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251</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253</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255</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257</v>
      </c>
      <c r="E160" s="4" t="s">
        <v>229</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233</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237</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240</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244</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248</v>
      </c>
      <c r="E166" s="4" t="s">
        <v>249</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251</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253</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255</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257</v>
      </c>
      <c r="E170" s="4" t="s">
        <v>229</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233</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237</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240</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244</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248</v>
      </c>
      <c r="E176" s="4" t="s">
        <v>249</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251</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253</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255</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257</v>
      </c>
      <c r="E180" s="4" t="s">
        <v>229</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233</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237</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240</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244</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248</v>
      </c>
      <c r="E186" s="4" t="s">
        <v>249</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251</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253</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255</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257</v>
      </c>
      <c r="E190" s="4" t="s">
        <v>229</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233</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237</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240</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244</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248</v>
      </c>
      <c r="E196" s="4" t="s">
        <v>249</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251</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253</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255</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257</v>
      </c>
      <c r="E200" s="4" t="s">
        <v>229</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233</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237</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240</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244</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248</v>
      </c>
      <c r="E206" s="4" t="s">
        <v>249</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251</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253</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255</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257</v>
      </c>
      <c r="E210" s="4" t="s">
        <v>229</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233</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237</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240</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244</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248</v>
      </c>
      <c r="E216" s="4" t="s">
        <v>249</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251</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253</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255</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257</v>
      </c>
      <c r="E220" s="4" t="s">
        <v>229</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233</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237</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240</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244</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248</v>
      </c>
      <c r="E226" s="4" t="s">
        <v>249</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251</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253</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255</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257</v>
      </c>
      <c r="E230" s="4" t="s">
        <v>229</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233</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237</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240</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244</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248</v>
      </c>
      <c r="E236" s="4" t="s">
        <v>249</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251</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253</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255</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257</v>
      </c>
      <c r="E240" s="4" t="s">
        <v>229</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233</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237</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240</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244</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248</v>
      </c>
      <c r="E246" s="4" t="s">
        <v>249</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251</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253</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255</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257</v>
      </c>
      <c r="E250" s="4" t="s">
        <v>229</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233</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237</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240</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244</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248</v>
      </c>
      <c r="E256" s="4" t="s">
        <v>249</v>
      </c>
      <c r="F256" s="7" t="str">
        <f>IF(IF(C256&lt;='Hoone üldandmed'!$B$3*1,TRUE,FALSE),C256,"")</f>
        <v/>
      </c>
      <c r="G256" s="7" t="b">
        <f>IF(C256&lt;='Hoone üldandmed'!$B$3*1,TRUE,FALSE)</f>
        <v>0</v>
      </c>
      <c r="H256" s="4"/>
      <c r="I256" s="1">
        <f>COUNTIFS($C$1:C256,C256)</f>
        <v>6</v>
      </c>
    </row>
    <row r="257" spans="3:9" x14ac:dyDescent="0.35">
      <c r="C257" s="4">
        <f>C247+1</f>
        <v>20</v>
      </c>
      <c r="D257" s="4" t="s">
        <v>251</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253</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255</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257</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112</v>
      </c>
      <c r="B1" s="2" t="s">
        <v>50</v>
      </c>
    </row>
    <row r="2" spans="1:2" x14ac:dyDescent="0.35">
      <c r="A2" s="4" t="s">
        <v>116</v>
      </c>
      <c r="B2" s="4" t="s">
        <v>114</v>
      </c>
    </row>
    <row r="3" spans="1:2" x14ac:dyDescent="0.35">
      <c r="A3" s="4" t="s">
        <v>116</v>
      </c>
      <c r="B3" s="4" t="s">
        <v>117</v>
      </c>
    </row>
    <row r="4" spans="1:2" x14ac:dyDescent="0.35">
      <c r="A4" s="4" t="s">
        <v>116</v>
      </c>
      <c r="B4" s="4" t="s">
        <v>118</v>
      </c>
    </row>
    <row r="5" spans="1:2" x14ac:dyDescent="0.35">
      <c r="A5" s="4" t="s">
        <v>90</v>
      </c>
      <c r="B5" s="4" t="s">
        <v>119</v>
      </c>
    </row>
    <row r="6" spans="1:2" x14ac:dyDescent="0.35">
      <c r="A6" s="4" t="s">
        <v>90</v>
      </c>
      <c r="B6" s="4" t="s">
        <v>120</v>
      </c>
    </row>
    <row r="7" spans="1:2" x14ac:dyDescent="0.35">
      <c r="A7" s="4" t="s">
        <v>90</v>
      </c>
      <c r="B7" s="4" t="s">
        <v>121</v>
      </c>
    </row>
    <row r="8" spans="1:2" x14ac:dyDescent="0.35">
      <c r="A8" s="4" t="s">
        <v>90</v>
      </c>
      <c r="B8" s="4" t="s">
        <v>101</v>
      </c>
    </row>
    <row r="9" spans="1:2" x14ac:dyDescent="0.35">
      <c r="A9" s="4" t="s">
        <v>90</v>
      </c>
      <c r="B9" s="4" t="s">
        <v>122</v>
      </c>
    </row>
    <row r="10" spans="1:2" x14ac:dyDescent="0.35">
      <c r="A10" s="4" t="s">
        <v>90</v>
      </c>
      <c r="B10" s="4" t="s">
        <v>123</v>
      </c>
    </row>
    <row r="11" spans="1:2" x14ac:dyDescent="0.35">
      <c r="A11" s="4" t="s">
        <v>90</v>
      </c>
      <c r="B11" s="4" t="s">
        <v>124</v>
      </c>
    </row>
    <row r="12" spans="1:2" x14ac:dyDescent="0.35">
      <c r="A12" s="4" t="s">
        <v>90</v>
      </c>
      <c r="B12" s="4" t="s">
        <v>126</v>
      </c>
    </row>
    <row r="13" spans="1:2" x14ac:dyDescent="0.35">
      <c r="A13" s="4" t="s">
        <v>90</v>
      </c>
      <c r="B13" s="4" t="s">
        <v>127</v>
      </c>
    </row>
    <row r="14" spans="1:2" x14ac:dyDescent="0.35">
      <c r="A14" s="4" t="s">
        <v>90</v>
      </c>
      <c r="B14" s="4" t="s">
        <v>128</v>
      </c>
    </row>
    <row r="15" spans="1:2" x14ac:dyDescent="0.35">
      <c r="A15" s="4" t="s">
        <v>90</v>
      </c>
      <c r="B15" s="4" t="s">
        <v>129</v>
      </c>
    </row>
    <row r="16" spans="1:2" x14ac:dyDescent="0.35">
      <c r="A16" s="4" t="s">
        <v>90</v>
      </c>
      <c r="B16" s="4" t="s">
        <v>130</v>
      </c>
    </row>
    <row r="17" spans="1:2" x14ac:dyDescent="0.35">
      <c r="A17" s="4" t="s">
        <v>90</v>
      </c>
      <c r="B17" s="4" t="s">
        <v>131</v>
      </c>
    </row>
    <row r="18" spans="1:2" x14ac:dyDescent="0.35">
      <c r="A18" s="4" t="s">
        <v>90</v>
      </c>
      <c r="B18" s="4" t="s">
        <v>132</v>
      </c>
    </row>
    <row r="19" spans="1:2" x14ac:dyDescent="0.35">
      <c r="A19" s="4" t="s">
        <v>90</v>
      </c>
      <c r="B19" s="4" t="s">
        <v>108</v>
      </c>
    </row>
    <row r="20" spans="1:2" x14ac:dyDescent="0.35">
      <c r="A20" s="4" t="s">
        <v>90</v>
      </c>
      <c r="B20" s="4" t="s">
        <v>133</v>
      </c>
    </row>
    <row r="21" spans="1:2" x14ac:dyDescent="0.35">
      <c r="A21" s="4" t="s">
        <v>90</v>
      </c>
      <c r="B21" s="4" t="s">
        <v>134</v>
      </c>
    </row>
    <row r="22" spans="1:2" x14ac:dyDescent="0.35">
      <c r="A22" s="4" t="s">
        <v>90</v>
      </c>
      <c r="B22" s="4" t="s">
        <v>135</v>
      </c>
    </row>
    <row r="23" spans="1:2" x14ac:dyDescent="0.35">
      <c r="A23" s="4" t="s">
        <v>90</v>
      </c>
      <c r="B23" s="4" t="s">
        <v>91</v>
      </c>
    </row>
    <row r="24" spans="1:2" x14ac:dyDescent="0.35">
      <c r="A24" s="4" t="s">
        <v>90</v>
      </c>
      <c r="B24" s="4" t="s">
        <v>136</v>
      </c>
    </row>
    <row r="25" spans="1:2" x14ac:dyDescent="0.35">
      <c r="A25" s="4" t="s">
        <v>139</v>
      </c>
      <c r="B25" s="4" t="s">
        <v>137</v>
      </c>
    </row>
    <row r="26" spans="1:2" x14ac:dyDescent="0.35">
      <c r="A26" s="4" t="s">
        <v>139</v>
      </c>
      <c r="B26" s="4" t="s">
        <v>140</v>
      </c>
    </row>
    <row r="27" spans="1:2" x14ac:dyDescent="0.35">
      <c r="A27" s="4" t="s">
        <v>139</v>
      </c>
      <c r="B27" s="4" t="s">
        <v>141</v>
      </c>
    </row>
    <row r="28" spans="1:2" x14ac:dyDescent="0.35">
      <c r="A28" s="4" t="s">
        <v>58</v>
      </c>
      <c r="B28" s="4" t="s">
        <v>95</v>
      </c>
    </row>
    <row r="29" spans="1:2" x14ac:dyDescent="0.35">
      <c r="A29" s="4" t="s">
        <v>58</v>
      </c>
      <c r="B29" s="4" t="s">
        <v>70</v>
      </c>
    </row>
    <row r="30" spans="1:2" x14ac:dyDescent="0.35">
      <c r="A30" s="4" t="s">
        <v>58</v>
      </c>
      <c r="B30" s="4" t="s">
        <v>142</v>
      </c>
    </row>
    <row r="31" spans="1:2" x14ac:dyDescent="0.35">
      <c r="A31" s="4" t="s">
        <v>58</v>
      </c>
      <c r="B31" s="4" t="s">
        <v>144</v>
      </c>
    </row>
    <row r="32" spans="1:2" x14ac:dyDescent="0.35">
      <c r="A32" s="4" t="s">
        <v>58</v>
      </c>
      <c r="B32" s="4" t="s">
        <v>84</v>
      </c>
    </row>
    <row r="33" spans="1:2" x14ac:dyDescent="0.35">
      <c r="A33" s="4" t="s">
        <v>58</v>
      </c>
      <c r="B33" s="4" t="s">
        <v>146</v>
      </c>
    </row>
    <row r="34" spans="1:2" x14ac:dyDescent="0.35">
      <c r="A34" s="4" t="s">
        <v>58</v>
      </c>
      <c r="B34" s="4" t="s">
        <v>148</v>
      </c>
    </row>
    <row r="35" spans="1:2" x14ac:dyDescent="0.35">
      <c r="A35" s="4" t="s">
        <v>58</v>
      </c>
      <c r="B35" s="4" t="s">
        <v>93</v>
      </c>
    </row>
    <row r="36" spans="1:2" x14ac:dyDescent="0.35">
      <c r="A36" s="4" t="s">
        <v>58</v>
      </c>
      <c r="B36" s="4" t="s">
        <v>149</v>
      </c>
    </row>
    <row r="37" spans="1:2" x14ac:dyDescent="0.35">
      <c r="A37" s="4" t="s">
        <v>58</v>
      </c>
      <c r="B37" s="4" t="s">
        <v>158</v>
      </c>
    </row>
    <row r="38" spans="1:2" x14ac:dyDescent="0.35">
      <c r="A38" s="4" t="s">
        <v>58</v>
      </c>
      <c r="B38" s="4" t="s">
        <v>80</v>
      </c>
    </row>
    <row r="39" spans="1:2" x14ac:dyDescent="0.35">
      <c r="A39" s="4" t="s">
        <v>58</v>
      </c>
      <c r="B39" s="4" t="s">
        <v>67</v>
      </c>
    </row>
    <row r="40" spans="1:2" x14ac:dyDescent="0.35">
      <c r="A40" s="4" t="s">
        <v>58</v>
      </c>
      <c r="B40" s="4" t="s">
        <v>61</v>
      </c>
    </row>
    <row r="41" spans="1:2" x14ac:dyDescent="0.35">
      <c r="A41" s="4" t="s">
        <v>58</v>
      </c>
      <c r="B41" s="4" t="s">
        <v>159</v>
      </c>
    </row>
    <row r="42" spans="1:2" x14ac:dyDescent="0.35">
      <c r="A42" s="4" t="s">
        <v>58</v>
      </c>
      <c r="B42" s="4" t="s">
        <v>160</v>
      </c>
    </row>
    <row r="43" spans="1:2" x14ac:dyDescent="0.35">
      <c r="A43" s="4" t="s">
        <v>58</v>
      </c>
      <c r="B43" s="5" t="s">
        <v>162</v>
      </c>
    </row>
    <row r="44" spans="1:2" x14ac:dyDescent="0.35">
      <c r="A44" s="4" t="s">
        <v>58</v>
      </c>
      <c r="B44" s="4" t="s">
        <v>65</v>
      </c>
    </row>
    <row r="45" spans="1:2" x14ac:dyDescent="0.35">
      <c r="A45" s="4" t="s">
        <v>58</v>
      </c>
      <c r="B45" s="4" t="s">
        <v>164</v>
      </c>
    </row>
    <row r="46" spans="1:2" x14ac:dyDescent="0.35">
      <c r="A46" s="4" t="s">
        <v>58</v>
      </c>
      <c r="B46" s="4" t="s">
        <v>167</v>
      </c>
    </row>
    <row r="47" spans="1:2" x14ac:dyDescent="0.35">
      <c r="A47" s="4" t="s">
        <v>58</v>
      </c>
      <c r="B47" s="4" t="s">
        <v>168</v>
      </c>
    </row>
    <row r="48" spans="1:2" x14ac:dyDescent="0.35">
      <c r="A48" s="4" t="s">
        <v>58</v>
      </c>
      <c r="B48" s="4" t="s">
        <v>86</v>
      </c>
    </row>
    <row r="49" spans="1:2" x14ac:dyDescent="0.35">
      <c r="A49" s="4" t="s">
        <v>58</v>
      </c>
      <c r="B49" s="4" t="s">
        <v>169</v>
      </c>
    </row>
    <row r="50" spans="1:2" x14ac:dyDescent="0.35">
      <c r="A50" s="4" t="s">
        <v>58</v>
      </c>
      <c r="B50" s="4" t="s">
        <v>170</v>
      </c>
    </row>
    <row r="51" spans="1:2" x14ac:dyDescent="0.35">
      <c r="A51" s="4" t="s">
        <v>58</v>
      </c>
      <c r="B51" s="4" t="s">
        <v>63</v>
      </c>
    </row>
    <row r="52" spans="1:2" x14ac:dyDescent="0.35">
      <c r="A52" s="4" t="s">
        <v>58</v>
      </c>
      <c r="B52" s="4" t="s">
        <v>96</v>
      </c>
    </row>
    <row r="53" spans="1:2" x14ac:dyDescent="0.35">
      <c r="A53" s="4" t="s">
        <v>58</v>
      </c>
      <c r="B53" s="5" t="s">
        <v>171</v>
      </c>
    </row>
    <row r="54" spans="1:2" x14ac:dyDescent="0.35">
      <c r="A54" s="4" t="s">
        <v>58</v>
      </c>
      <c r="B54" s="4" t="s">
        <v>173</v>
      </c>
    </row>
    <row r="55" spans="1:2" x14ac:dyDescent="0.35">
      <c r="A55" s="4" t="s">
        <v>58</v>
      </c>
      <c r="B55" s="5" t="s">
        <v>175</v>
      </c>
    </row>
    <row r="56" spans="1:2" x14ac:dyDescent="0.35">
      <c r="A56" s="4" t="s">
        <v>58</v>
      </c>
      <c r="B56" s="4" t="s">
        <v>177</v>
      </c>
    </row>
    <row r="57" spans="1:2" x14ac:dyDescent="0.35">
      <c r="A57" s="4" t="s">
        <v>58</v>
      </c>
      <c r="B57" s="4" t="s">
        <v>178</v>
      </c>
    </row>
    <row r="58" spans="1:2" x14ac:dyDescent="0.35">
      <c r="A58" s="4" t="s">
        <v>58</v>
      </c>
      <c r="B58" s="4" t="s">
        <v>180</v>
      </c>
    </row>
    <row r="59" spans="1:2" x14ac:dyDescent="0.35">
      <c r="A59" s="4" t="s">
        <v>58</v>
      </c>
      <c r="B59" s="4" t="s">
        <v>181</v>
      </c>
    </row>
    <row r="60" spans="1:2" x14ac:dyDescent="0.35">
      <c r="A60" s="4" t="s">
        <v>58</v>
      </c>
      <c r="B60" s="4" t="s">
        <v>182</v>
      </c>
    </row>
    <row r="61" spans="1:2" x14ac:dyDescent="0.35">
      <c r="A61" s="4" t="s">
        <v>58</v>
      </c>
      <c r="B61" s="4" t="s">
        <v>183</v>
      </c>
    </row>
    <row r="62" spans="1:2" x14ac:dyDescent="0.35">
      <c r="A62" s="4" t="s">
        <v>58</v>
      </c>
      <c r="B62" s="4" t="s">
        <v>185</v>
      </c>
    </row>
    <row r="63" spans="1:2" x14ac:dyDescent="0.35">
      <c r="A63" s="4" t="s">
        <v>58</v>
      </c>
      <c r="B63" s="4" t="s">
        <v>187</v>
      </c>
    </row>
    <row r="64" spans="1:2" x14ac:dyDescent="0.35">
      <c r="A64" s="4" t="s">
        <v>58</v>
      </c>
      <c r="B64" s="4" t="s">
        <v>189</v>
      </c>
    </row>
    <row r="65" spans="1:2" x14ac:dyDescent="0.35">
      <c r="A65" s="4" t="s">
        <v>58</v>
      </c>
      <c r="B65" s="4" t="s">
        <v>190</v>
      </c>
    </row>
    <row r="66" spans="1:2" x14ac:dyDescent="0.35">
      <c r="A66" s="4" t="s">
        <v>58</v>
      </c>
      <c r="B66" s="4" t="s">
        <v>192</v>
      </c>
    </row>
    <row r="67" spans="1:2" x14ac:dyDescent="0.35">
      <c r="A67" s="4" t="s">
        <v>58</v>
      </c>
      <c r="B67" s="4" t="s">
        <v>194</v>
      </c>
    </row>
    <row r="68" spans="1:2" x14ac:dyDescent="0.35">
      <c r="A68" s="4" t="s">
        <v>58</v>
      </c>
      <c r="B68" s="4" t="s">
        <v>76</v>
      </c>
    </row>
    <row r="69" spans="1:2" x14ac:dyDescent="0.35">
      <c r="A69" s="4" t="s">
        <v>58</v>
      </c>
      <c r="B69" s="4" t="s">
        <v>196</v>
      </c>
    </row>
    <row r="70" spans="1:2" x14ac:dyDescent="0.35">
      <c r="A70" s="4" t="s">
        <v>58</v>
      </c>
      <c r="B70" s="4" t="s">
        <v>199</v>
      </c>
    </row>
    <row r="71" spans="1:2" x14ac:dyDescent="0.35">
      <c r="A71" s="4" t="s">
        <v>58</v>
      </c>
      <c r="B71" s="4" t="s">
        <v>200</v>
      </c>
    </row>
    <row r="72" spans="1:2" x14ac:dyDescent="0.35">
      <c r="A72" s="4" t="s">
        <v>58</v>
      </c>
      <c r="B72" s="4" t="s">
        <v>202</v>
      </c>
    </row>
    <row r="73" spans="1:2" x14ac:dyDescent="0.35">
      <c r="A73" s="4" t="s">
        <v>58</v>
      </c>
      <c r="B73" s="4" t="s">
        <v>203</v>
      </c>
    </row>
    <row r="74" spans="1:2" x14ac:dyDescent="0.35">
      <c r="A74" s="4" t="s">
        <v>58</v>
      </c>
      <c r="B74" s="4" t="s">
        <v>205</v>
      </c>
    </row>
    <row r="75" spans="1:2" x14ac:dyDescent="0.35">
      <c r="A75" s="4" t="s">
        <v>58</v>
      </c>
      <c r="B75" s="4" t="s">
        <v>207</v>
      </c>
    </row>
    <row r="76" spans="1:2" x14ac:dyDescent="0.35">
      <c r="A76" s="4" t="s">
        <v>58</v>
      </c>
      <c r="B76" s="4" t="s">
        <v>209</v>
      </c>
    </row>
    <row r="77" spans="1:2" x14ac:dyDescent="0.35">
      <c r="A77" s="4" t="s">
        <v>58</v>
      </c>
      <c r="B77" s="4" t="s">
        <v>107</v>
      </c>
    </row>
    <row r="78" spans="1:2" x14ac:dyDescent="0.35">
      <c r="A78" s="4" t="s">
        <v>58</v>
      </c>
      <c r="B78" s="4" t="s">
        <v>210</v>
      </c>
    </row>
    <row r="79" spans="1:2" x14ac:dyDescent="0.35">
      <c r="A79" s="4" t="s">
        <v>58</v>
      </c>
      <c r="B79" s="4" t="s">
        <v>212</v>
      </c>
    </row>
    <row r="80" spans="1:2" x14ac:dyDescent="0.35">
      <c r="A80" s="4" t="s">
        <v>58</v>
      </c>
      <c r="B80" s="4" t="s">
        <v>213</v>
      </c>
    </row>
    <row r="81" spans="1:2" x14ac:dyDescent="0.35">
      <c r="A81" s="4" t="s">
        <v>58</v>
      </c>
      <c r="B81" s="4" t="s">
        <v>215</v>
      </c>
    </row>
    <row r="82" spans="1:2" x14ac:dyDescent="0.35">
      <c r="A82" s="4" t="s">
        <v>58</v>
      </c>
      <c r="B82" s="4" t="s">
        <v>217</v>
      </c>
    </row>
    <row r="83" spans="1:2" x14ac:dyDescent="0.35">
      <c r="A83" s="4" t="s">
        <v>58</v>
      </c>
      <c r="B83" s="4" t="s">
        <v>218</v>
      </c>
    </row>
    <row r="84" spans="1:2" x14ac:dyDescent="0.35">
      <c r="A84" s="4" t="s">
        <v>58</v>
      </c>
      <c r="B84" s="4" t="s">
        <v>220</v>
      </c>
    </row>
    <row r="85" spans="1:2" x14ac:dyDescent="0.35">
      <c r="A85" s="4" t="s">
        <v>58</v>
      </c>
      <c r="B85" s="4" t="s">
        <v>221</v>
      </c>
    </row>
    <row r="86" spans="1:2" x14ac:dyDescent="0.35">
      <c r="A86" s="4" t="s">
        <v>58</v>
      </c>
      <c r="B86" s="4" t="s">
        <v>222</v>
      </c>
    </row>
    <row r="87" spans="1:2" x14ac:dyDescent="0.35">
      <c r="A87" s="4" t="s">
        <v>58</v>
      </c>
      <c r="B87" s="4" t="s">
        <v>59</v>
      </c>
    </row>
    <row r="88" spans="1:2" x14ac:dyDescent="0.35">
      <c r="A88" s="4" t="s">
        <v>58</v>
      </c>
      <c r="B88" s="4" t="s">
        <v>224</v>
      </c>
    </row>
    <row r="89" spans="1:2" x14ac:dyDescent="0.35">
      <c r="A89" s="4" t="s">
        <v>58</v>
      </c>
      <c r="B89" s="4" t="s">
        <v>225</v>
      </c>
    </row>
    <row r="90" spans="1:2" x14ac:dyDescent="0.35">
      <c r="A90" s="4" t="s">
        <v>58</v>
      </c>
      <c r="B90" s="4" t="s">
        <v>227</v>
      </c>
    </row>
    <row r="91" spans="1:2" x14ac:dyDescent="0.35">
      <c r="A91" s="4" t="s">
        <v>58</v>
      </c>
      <c r="B91" s="4" t="s">
        <v>73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5F25KTUSNP4X-205032580-158279</_dlc_DocId>
    <_dlc_DocIdUrl xmlns="d65e48b5-f38d-431e-9b4f-47403bf4583f">
      <Url>https://rkas.sharepoint.com/Kliendisuhted/_layouts/15/DocIdRedir.aspx?ID=5F25KTUSNP4X-205032580-158279</Url>
      <Description>5F25KTUSNP4X-205032580-158279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AB051E7-A45B-4300-A54B-F7D19198A249}"/>
</file>

<file path=customXml/itemProps2.xml><?xml version="1.0" encoding="utf-8"?>
<ds:datastoreItem xmlns:ds="http://schemas.openxmlformats.org/officeDocument/2006/customXml" ds:itemID="{2223DAC8-EC9A-47DE-8DAA-FAF9FAB2B75A}">
  <ds:schemaRef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http://schemas.microsoft.com/office/2006/metadata/properties"/>
    <ds:schemaRef ds:uri="a4634551-c501-4e5e-ac96-dde1e0c9b252"/>
    <ds:schemaRef ds:uri="http://schemas.openxmlformats.org/package/2006/metadata/core-properties"/>
    <ds:schemaRef ds:uri="d65e48b5-f38d-431e-9b4f-47403bf4583f"/>
    <ds:schemaRef ds:uri="4295b89e-2911-42f0-a767-8ca596d6842f"/>
    <ds:schemaRef ds:uri="http://purl.org/dc/term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3AA8EE1E-7C1B-4C57-953E-699621529A6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2024-08-09T15:06:05Z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ce4e2982-5900-42bb-9ccc-9e4a1374af95</vt:lpwstr>
  </property>
</Properties>
</file>