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ht\Desktop\Auditid\Audit 2025\RETA\"/>
    </mc:Choice>
  </mc:AlternateContent>
  <xr:revisionPtr revIDLastSave="0" documentId="8_{8CCADC04-E764-4665-827E-49BCD339A312}" xr6:coauthVersionLast="47" xr6:coauthVersionMax="47" xr10:uidLastSave="{00000000-0000-0000-0000-000000000000}"/>
  <bookViews>
    <workbookView xWindow="-120" yWindow="-120" windowWidth="38640" windowHeight="21120" xr2:uid="{4D1749CD-7348-40E3-9063-2FA36ECE44CB}"/>
  </bookViews>
  <sheets>
    <sheet name="aruanne" sheetId="1" r:id="rId1"/>
    <sheet name="LISA" sheetId="13" r:id="rId2"/>
    <sheet name="vordlus" sheetId="2" r:id="rId3"/>
    <sheet name="lisa1" sheetId="4" r:id="rId4"/>
  </sheets>
  <definedNames>
    <definedName name="_xlnm._FilterDatabase" localSheetId="0" hidden="1">aruanne!$A$3:$K$116</definedName>
    <definedName name="_xlnm._FilterDatabase" localSheetId="1" hidden="1">LISA!$A$4:$I$4</definedName>
    <definedName name="_xlnm._FilterDatabase" localSheetId="2" hidden="1">vordlus!$A$4:$J$25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65" i="13" l="1"/>
  <c r="G140" i="13"/>
  <c r="G98" i="13"/>
  <c r="G44" i="13"/>
  <c r="I22" i="2" l="1"/>
  <c r="E1331" i="13"/>
  <c r="D1408" i="13" l="1"/>
  <c r="D1224" i="13"/>
  <c r="E1621" i="13"/>
  <c r="F1702" i="13" l="1"/>
  <c r="F1746" i="13"/>
  <c r="F1701" i="13" s="1"/>
  <c r="F1695" i="13" s="1"/>
  <c r="F1739" i="13"/>
  <c r="F1709" i="13"/>
  <c r="E1765" i="13"/>
  <c r="G1765" i="13" s="1"/>
  <c r="G1764" i="13"/>
  <c r="G1763" i="13"/>
  <c r="G1762" i="13"/>
  <c r="F1761" i="13"/>
  <c r="E1761" i="13"/>
  <c r="D1761" i="13"/>
  <c r="G1760" i="13"/>
  <c r="F1759" i="13"/>
  <c r="E1759" i="13"/>
  <c r="D1759" i="13"/>
  <c r="G1758" i="13"/>
  <c r="G1757" i="13"/>
  <c r="F1756" i="13"/>
  <c r="E1756" i="13"/>
  <c r="D1756" i="13"/>
  <c r="F1755" i="13"/>
  <c r="D1755" i="13"/>
  <c r="F1754" i="13"/>
  <c r="E1754" i="13"/>
  <c r="D1754" i="13"/>
  <c r="F1753" i="13"/>
  <c r="E1753" i="13"/>
  <c r="D1753" i="13"/>
  <c r="E1752" i="13"/>
  <c r="G1752" i="13" s="1"/>
  <c r="F1729" i="13"/>
  <c r="F1726" i="13"/>
  <c r="F1725" i="13"/>
  <c r="F1731" i="13"/>
  <c r="E1724" i="13"/>
  <c r="G1724" i="13" s="1"/>
  <c r="G1749" i="13"/>
  <c r="G1748" i="13"/>
  <c r="G1747" i="13"/>
  <c r="E1746" i="13"/>
  <c r="F1730" i="13"/>
  <c r="G1730" i="13" s="1"/>
  <c r="G1745" i="13"/>
  <c r="G1738" i="13"/>
  <c r="G1737" i="13"/>
  <c r="F1736" i="13"/>
  <c r="E1736" i="13"/>
  <c r="D1736" i="13"/>
  <c r="G1735" i="13"/>
  <c r="E1739" i="13"/>
  <c r="G1740" i="13"/>
  <c r="E1733" i="13"/>
  <c r="F1708" i="13"/>
  <c r="E1704" i="13"/>
  <c r="G1704" i="13" s="1"/>
  <c r="G1721" i="13"/>
  <c r="E1720" i="13"/>
  <c r="E1716" i="13"/>
  <c r="G1717" i="13"/>
  <c r="G1715" i="13"/>
  <c r="F1714" i="13"/>
  <c r="G1714" i="13" s="1"/>
  <c r="G1713" i="13"/>
  <c r="E1711" i="13"/>
  <c r="E1709" i="13" s="1"/>
  <c r="E1722" i="13"/>
  <c r="E1708" i="13" s="1"/>
  <c r="F1650" i="13"/>
  <c r="D1648" i="13"/>
  <c r="D1642" i="13" s="1"/>
  <c r="F1670" i="13"/>
  <c r="E1690" i="13"/>
  <c r="G1690" i="13" s="1"/>
  <c r="G1689" i="13"/>
  <c r="G1688" i="13"/>
  <c r="G1687" i="13"/>
  <c r="F1686" i="13"/>
  <c r="E1686" i="13"/>
  <c r="E1652" i="13" s="1"/>
  <c r="D1686" i="13"/>
  <c r="G1685" i="13"/>
  <c r="F1684" i="13"/>
  <c r="E1684" i="13"/>
  <c r="D1684" i="13"/>
  <c r="G1683" i="13"/>
  <c r="G1682" i="13"/>
  <c r="F1681" i="13"/>
  <c r="E1681" i="13"/>
  <c r="D1681" i="13"/>
  <c r="F1680" i="13"/>
  <c r="D1680" i="13"/>
  <c r="F1679" i="13"/>
  <c r="E1679" i="13"/>
  <c r="D1679" i="13"/>
  <c r="F1678" i="13"/>
  <c r="E1678" i="13"/>
  <c r="D1678" i="13"/>
  <c r="E1677" i="13"/>
  <c r="F1654" i="13"/>
  <c r="F1659" i="13"/>
  <c r="F1653" i="13" s="1"/>
  <c r="F1655" i="13"/>
  <c r="F1656" i="13"/>
  <c r="F1657" i="13"/>
  <c r="G1672" i="13"/>
  <c r="G1669" i="13"/>
  <c r="G1668" i="13"/>
  <c r="G1667" i="13"/>
  <c r="F1666" i="13"/>
  <c r="E1666" i="13"/>
  <c r="G1665" i="13"/>
  <c r="F1664" i="13"/>
  <c r="G1664" i="13" s="1"/>
  <c r="G1663" i="13"/>
  <c r="E1670" i="13"/>
  <c r="G1671" i="13"/>
  <c r="E1660" i="13"/>
  <c r="F1599" i="13"/>
  <c r="F1607" i="13"/>
  <c r="E1638" i="13"/>
  <c r="G1638" i="13" s="1"/>
  <c r="G1637" i="13"/>
  <c r="G1636" i="13"/>
  <c r="G1635" i="13"/>
  <c r="F1634" i="13"/>
  <c r="E1634" i="13"/>
  <c r="D1634" i="13"/>
  <c r="G1633" i="13"/>
  <c r="F1632" i="13"/>
  <c r="E1632" i="13"/>
  <c r="D1632" i="13"/>
  <c r="G1631" i="13"/>
  <c r="G1630" i="13"/>
  <c r="F1629" i="13"/>
  <c r="E1629" i="13"/>
  <c r="D1629" i="13"/>
  <c r="F1628" i="13"/>
  <c r="D1628" i="13"/>
  <c r="F1627" i="13"/>
  <c r="E1627" i="13"/>
  <c r="D1627" i="13"/>
  <c r="F1626" i="13"/>
  <c r="E1626" i="13"/>
  <c r="D1626" i="13"/>
  <c r="E1625" i="13"/>
  <c r="F1606" i="13"/>
  <c r="E1601" i="13"/>
  <c r="G1601" i="13" s="1"/>
  <c r="E1620" i="13"/>
  <c r="G1621" i="13"/>
  <c r="E1615" i="13"/>
  <c r="G1616" i="13"/>
  <c r="G1614" i="13"/>
  <c r="F1613" i="13"/>
  <c r="G1613" i="13" s="1"/>
  <c r="G1612" i="13"/>
  <c r="E1609" i="13"/>
  <c r="F1505" i="13"/>
  <c r="F1573" i="13"/>
  <c r="E1560" i="13"/>
  <c r="G1560" i="13" s="1"/>
  <c r="E1573" i="13"/>
  <c r="G1574" i="13"/>
  <c r="F1547" i="13"/>
  <c r="F1513" i="13"/>
  <c r="E1593" i="13"/>
  <c r="G1593" i="13" s="1"/>
  <c r="G1592" i="13"/>
  <c r="G1591" i="13"/>
  <c r="G1590" i="13"/>
  <c r="F1589" i="13"/>
  <c r="E1589" i="13"/>
  <c r="D1589" i="13"/>
  <c r="G1588" i="13"/>
  <c r="F1587" i="13"/>
  <c r="E1587" i="13"/>
  <c r="D1587" i="13"/>
  <c r="G1586" i="13"/>
  <c r="G1585" i="13"/>
  <c r="F1584" i="13"/>
  <c r="E1584" i="13"/>
  <c r="D1584" i="13"/>
  <c r="F1583" i="13"/>
  <c r="D1583" i="13"/>
  <c r="F1582" i="13"/>
  <c r="E1582" i="13"/>
  <c r="D1582" i="13"/>
  <c r="F1581" i="13"/>
  <c r="E1581" i="13"/>
  <c r="D1581" i="13"/>
  <c r="E1580" i="13"/>
  <c r="F1563" i="13"/>
  <c r="G1577" i="13"/>
  <c r="E1569" i="13"/>
  <c r="G1570" i="13"/>
  <c r="G1568" i="13"/>
  <c r="F1567" i="13"/>
  <c r="G1567" i="13" s="1"/>
  <c r="E1566" i="13"/>
  <c r="F1539" i="13"/>
  <c r="F1534" i="13"/>
  <c r="F1533" i="13"/>
  <c r="F1537" i="13"/>
  <c r="E1532" i="13"/>
  <c r="G1557" i="13"/>
  <c r="G1556" i="13"/>
  <c r="G1555" i="13"/>
  <c r="F1554" i="13"/>
  <c r="E1554" i="13"/>
  <c r="D1554" i="13"/>
  <c r="G1553" i="13"/>
  <c r="F1538" i="13"/>
  <c r="G1538" i="13" s="1"/>
  <c r="G1546" i="13"/>
  <c r="G1545" i="13"/>
  <c r="F1544" i="13"/>
  <c r="E1544" i="13"/>
  <c r="D1544" i="13"/>
  <c r="G1543" i="13"/>
  <c r="E1547" i="13"/>
  <c r="G1548" i="13"/>
  <c r="E1541" i="13"/>
  <c r="F1509" i="13"/>
  <c r="F1512" i="13"/>
  <c r="E1507" i="13"/>
  <c r="G1507" i="13" s="1"/>
  <c r="G1529" i="13"/>
  <c r="G1528" i="13"/>
  <c r="F1527" i="13"/>
  <c r="E1527" i="13"/>
  <c r="D1527" i="13"/>
  <c r="E1521" i="13"/>
  <c r="G1522" i="13"/>
  <c r="G1520" i="13"/>
  <c r="F1519" i="13"/>
  <c r="G1518" i="13"/>
  <c r="E1515" i="13"/>
  <c r="E1701" i="13" l="1"/>
  <c r="E1695" i="13" s="1"/>
  <c r="G1695" i="13" s="1"/>
  <c r="G1519" i="13"/>
  <c r="F1502" i="13"/>
  <c r="E1700" i="13"/>
  <c r="F1699" i="13"/>
  <c r="G1699" i="13" s="1"/>
  <c r="F1698" i="13"/>
  <c r="E1755" i="13"/>
  <c r="E1751" i="13" s="1"/>
  <c r="G1754" i="13"/>
  <c r="G1756" i="13"/>
  <c r="F1751" i="13"/>
  <c r="G1761" i="13"/>
  <c r="G1759" i="13"/>
  <c r="D1751" i="13"/>
  <c r="G1753" i="13"/>
  <c r="G1746" i="13"/>
  <c r="G1736" i="13"/>
  <c r="E1648" i="13"/>
  <c r="E1642" i="13" s="1"/>
  <c r="F1648" i="13"/>
  <c r="F1642" i="13" s="1"/>
  <c r="G1720" i="13"/>
  <c r="E1597" i="13"/>
  <c r="F1647" i="13"/>
  <c r="D1676" i="13"/>
  <c r="F1658" i="13"/>
  <c r="F1646" i="13" s="1"/>
  <c r="F1640" i="13" s="1"/>
  <c r="E1680" i="13"/>
  <c r="G1680" i="13" s="1"/>
  <c r="G1684" i="13"/>
  <c r="G1686" i="13"/>
  <c r="G1678" i="13"/>
  <c r="G1679" i="13"/>
  <c r="F1676" i="13"/>
  <c r="G1681" i="13"/>
  <c r="G1677" i="13"/>
  <c r="G1652" i="13"/>
  <c r="F1596" i="13"/>
  <c r="G1596" i="13" s="1"/>
  <c r="G1666" i="13"/>
  <c r="F1595" i="13"/>
  <c r="G1632" i="13"/>
  <c r="E1628" i="13"/>
  <c r="G1628" i="13" s="1"/>
  <c r="D1624" i="13"/>
  <c r="G1626" i="13"/>
  <c r="G1634" i="13"/>
  <c r="G1627" i="13"/>
  <c r="F1624" i="13"/>
  <c r="G1629" i="13"/>
  <c r="G1625" i="13"/>
  <c r="E1504" i="13"/>
  <c r="F1504" i="13"/>
  <c r="E1503" i="13"/>
  <c r="D1579" i="13"/>
  <c r="F1579" i="13"/>
  <c r="G1587" i="13"/>
  <c r="E1583" i="13"/>
  <c r="G1583" i="13" s="1"/>
  <c r="G1589" i="13"/>
  <c r="G1581" i="13"/>
  <c r="G1582" i="13"/>
  <c r="G1584" i="13"/>
  <c r="G1580" i="13"/>
  <c r="G1544" i="13"/>
  <c r="G1554" i="13"/>
  <c r="G1527" i="13"/>
  <c r="G1701" i="13" l="1"/>
  <c r="F1693" i="13"/>
  <c r="G1693" i="13" s="1"/>
  <c r="G1502" i="13"/>
  <c r="F1496" i="13"/>
  <c r="G1755" i="13"/>
  <c r="G1751" i="13"/>
  <c r="G1642" i="13"/>
  <c r="G1648" i="13"/>
  <c r="E1676" i="13"/>
  <c r="G1676" i="13" s="1"/>
  <c r="G1647" i="13"/>
  <c r="F1641" i="13"/>
  <c r="G1641" i="13" s="1"/>
  <c r="E1624" i="13"/>
  <c r="G1624" i="13" s="1"/>
  <c r="E1579" i="13"/>
  <c r="G1579" i="13" s="1"/>
  <c r="F1490" i="13" l="1"/>
  <c r="G1490" i="13" s="1"/>
  <c r="G1496" i="13"/>
  <c r="F1468" i="13"/>
  <c r="F1409" i="13"/>
  <c r="F1464" i="13"/>
  <c r="F1415" i="13"/>
  <c r="E1487" i="13"/>
  <c r="G1487" i="13" s="1"/>
  <c r="G1486" i="13"/>
  <c r="G1485" i="13"/>
  <c r="G1484" i="13"/>
  <c r="F1483" i="13"/>
  <c r="E1483" i="13"/>
  <c r="D1483" i="13"/>
  <c r="G1482" i="13"/>
  <c r="F1481" i="13"/>
  <c r="E1481" i="13"/>
  <c r="D1481" i="13"/>
  <c r="G1480" i="13"/>
  <c r="G1479" i="13"/>
  <c r="F1478" i="13"/>
  <c r="E1478" i="13"/>
  <c r="D1478" i="13"/>
  <c r="F1477" i="13"/>
  <c r="D1477" i="13"/>
  <c r="F1476" i="13"/>
  <c r="E1476" i="13"/>
  <c r="D1476" i="13"/>
  <c r="F1475" i="13"/>
  <c r="E1475" i="13"/>
  <c r="D1475" i="13"/>
  <c r="E1474" i="13"/>
  <c r="G1474" i="13" s="1"/>
  <c r="F1457" i="13"/>
  <c r="F1456" i="13"/>
  <c r="F1458" i="13"/>
  <c r="G1458" i="13" s="1"/>
  <c r="E1455" i="13"/>
  <c r="G1455" i="13" s="1"/>
  <c r="G1472" i="13"/>
  <c r="E1468" i="13"/>
  <c r="G1469" i="13"/>
  <c r="E1464" i="13"/>
  <c r="G1465" i="13"/>
  <c r="G1467" i="13"/>
  <c r="G1463" i="13"/>
  <c r="F1462" i="13"/>
  <c r="G1462" i="13" s="1"/>
  <c r="E1461" i="13"/>
  <c r="F1432" i="13"/>
  <c r="F1433" i="13"/>
  <c r="G1433" i="13" s="1"/>
  <c r="F1430" i="13"/>
  <c r="F1429" i="13"/>
  <c r="F1428" i="13"/>
  <c r="E1430" i="13"/>
  <c r="D1430" i="13"/>
  <c r="E1427" i="13"/>
  <c r="G1427" i="13" s="1"/>
  <c r="F1442" i="13"/>
  <c r="F1434" i="13"/>
  <c r="G1441" i="13"/>
  <c r="G1440" i="13"/>
  <c r="F1439" i="13"/>
  <c r="E1439" i="13"/>
  <c r="D1439" i="13"/>
  <c r="G1438" i="13"/>
  <c r="G1448" i="13"/>
  <c r="G1452" i="13"/>
  <c r="G1451" i="13"/>
  <c r="G1450" i="13"/>
  <c r="F1449" i="13"/>
  <c r="E1449" i="13"/>
  <c r="G1446" i="13"/>
  <c r="E1442" i="13"/>
  <c r="G1443" i="13"/>
  <c r="E1436" i="13"/>
  <c r="F1414" i="13"/>
  <c r="F1413" i="13"/>
  <c r="F1412" i="13"/>
  <c r="E1411" i="13"/>
  <c r="G1424" i="13"/>
  <c r="G1423" i="13"/>
  <c r="G1422" i="13"/>
  <c r="F1421" i="13"/>
  <c r="E1421" i="13"/>
  <c r="G1420" i="13"/>
  <c r="F1419" i="13"/>
  <c r="G1419" i="13" s="1"/>
  <c r="G1418" i="13"/>
  <c r="E1417" i="13"/>
  <c r="F1323" i="13"/>
  <c r="F1384" i="13"/>
  <c r="F1363" i="13"/>
  <c r="F1380" i="13"/>
  <c r="F1329" i="13"/>
  <c r="F1348" i="13"/>
  <c r="E1403" i="13"/>
  <c r="G1403" i="13" s="1"/>
  <c r="G1402" i="13"/>
  <c r="G1401" i="13"/>
  <c r="G1400" i="13"/>
  <c r="F1399" i="13"/>
  <c r="E1399" i="13"/>
  <c r="D1399" i="13"/>
  <c r="G1398" i="13"/>
  <c r="F1397" i="13"/>
  <c r="E1397" i="13"/>
  <c r="D1397" i="13"/>
  <c r="G1396" i="13"/>
  <c r="G1395" i="13"/>
  <c r="F1394" i="13"/>
  <c r="E1394" i="13"/>
  <c r="D1394" i="13"/>
  <c r="F1393" i="13"/>
  <c r="D1393" i="13"/>
  <c r="F1392" i="13"/>
  <c r="E1392" i="13"/>
  <c r="D1392" i="13"/>
  <c r="F1391" i="13"/>
  <c r="E1391" i="13"/>
  <c r="D1391" i="13"/>
  <c r="E1390" i="13"/>
  <c r="G1390" i="13" s="1"/>
  <c r="F1373" i="13"/>
  <c r="G1373" i="13" s="1"/>
  <c r="F1371" i="13"/>
  <c r="F1370" i="13"/>
  <c r="E1369" i="13"/>
  <c r="E1384" i="13"/>
  <c r="G1383" i="13"/>
  <c r="G1379" i="13"/>
  <c r="F1378" i="13"/>
  <c r="G1378" i="13" s="1"/>
  <c r="G1388" i="13"/>
  <c r="E1380" i="13"/>
  <c r="E1376" i="13"/>
  <c r="G1385" i="13"/>
  <c r="G1381" i="13"/>
  <c r="F1328" i="13"/>
  <c r="E1325" i="13"/>
  <c r="G1334" i="13"/>
  <c r="F1333" i="13"/>
  <c r="G1333" i="13" s="1"/>
  <c r="G1332" i="13"/>
  <c r="E1335" i="13"/>
  <c r="G1336" i="13"/>
  <c r="F1344" i="13"/>
  <c r="E1344" i="13"/>
  <c r="D1344" i="13"/>
  <c r="G1360" i="13"/>
  <c r="F1346" i="13"/>
  <c r="F1345" i="13"/>
  <c r="F1343" i="13"/>
  <c r="F1342" i="13"/>
  <c r="E1341" i="13"/>
  <c r="G1341" i="13" s="1"/>
  <c r="F1356" i="13"/>
  <c r="F1347" i="13"/>
  <c r="G1347" i="13" s="1"/>
  <c r="G1366" i="13"/>
  <c r="G1365" i="13"/>
  <c r="G1364" i="13"/>
  <c r="E1363" i="13"/>
  <c r="D1363" i="13"/>
  <c r="G1362" i="13"/>
  <c r="G1361" i="13"/>
  <c r="E1356" i="13"/>
  <c r="G1357" i="13"/>
  <c r="G1355" i="13"/>
  <c r="G1354" i="13"/>
  <c r="F1353" i="13"/>
  <c r="E1353" i="13"/>
  <c r="D1353" i="13"/>
  <c r="G1352" i="13"/>
  <c r="E1350" i="13"/>
  <c r="E1236" i="13"/>
  <c r="F1009" i="13"/>
  <c r="E1138" i="13"/>
  <c r="G1138" i="13" s="1"/>
  <c r="G1137" i="13"/>
  <c r="G1136" i="13"/>
  <c r="G1135" i="13"/>
  <c r="F1134" i="13"/>
  <c r="E1134" i="13"/>
  <c r="D1134" i="13"/>
  <c r="G1133" i="13"/>
  <c r="F1132" i="13"/>
  <c r="E1132" i="13"/>
  <c r="D1132" i="13"/>
  <c r="G1131" i="13"/>
  <c r="G1130" i="13"/>
  <c r="F1129" i="13"/>
  <c r="E1129" i="13"/>
  <c r="D1129" i="13"/>
  <c r="F1128" i="13"/>
  <c r="D1128" i="13"/>
  <c r="F1127" i="13"/>
  <c r="E1127" i="13"/>
  <c r="D1127" i="13"/>
  <c r="F1126" i="13"/>
  <c r="E1126" i="13"/>
  <c r="D1126" i="13"/>
  <c r="E1125" i="13"/>
  <c r="G1125" i="13" s="1"/>
  <c r="F1226" i="13"/>
  <c r="F1245" i="13"/>
  <c r="F1297" i="13"/>
  <c r="F1293" i="13"/>
  <c r="F1253" i="13"/>
  <c r="E1253" i="13"/>
  <c r="F1234" i="13"/>
  <c r="E1317" i="13"/>
  <c r="G1317" i="13" s="1"/>
  <c r="G1316" i="13"/>
  <c r="G1315" i="13"/>
  <c r="G1314" i="13"/>
  <c r="F1313" i="13"/>
  <c r="E1313" i="13"/>
  <c r="D1313" i="13"/>
  <c r="G1312" i="13"/>
  <c r="F1311" i="13"/>
  <c r="E1311" i="13"/>
  <c r="D1311" i="13"/>
  <c r="G1310" i="13"/>
  <c r="G1309" i="13"/>
  <c r="F1308" i="13"/>
  <c r="E1308" i="13"/>
  <c r="D1308" i="13"/>
  <c r="F1307" i="13"/>
  <c r="D1307" i="13"/>
  <c r="F1306" i="13"/>
  <c r="E1306" i="13"/>
  <c r="D1306" i="13"/>
  <c r="F1305" i="13"/>
  <c r="E1305" i="13"/>
  <c r="D1305" i="13"/>
  <c r="E1304" i="13"/>
  <c r="G1256" i="13"/>
  <c r="G1255" i="13"/>
  <c r="G1254" i="13"/>
  <c r="D1253" i="13"/>
  <c r="F1252" i="13"/>
  <c r="E1252" i="13"/>
  <c r="F1251" i="13"/>
  <c r="E1251" i="13"/>
  <c r="F1250" i="13"/>
  <c r="E1250" i="13"/>
  <c r="F1285" i="13"/>
  <c r="F1284" i="13"/>
  <c r="F1283" i="13"/>
  <c r="F1286" i="13"/>
  <c r="G1286" i="13" s="1"/>
  <c r="E1282" i="13"/>
  <c r="G1282" i="13" s="1"/>
  <c r="G1302" i="13"/>
  <c r="G1301" i="13"/>
  <c r="E1297" i="13"/>
  <c r="G1298" i="13"/>
  <c r="G1292" i="13"/>
  <c r="F1291" i="13"/>
  <c r="G1291" i="13" s="1"/>
  <c r="G1296" i="13"/>
  <c r="E1293" i="13"/>
  <c r="G1294" i="13"/>
  <c r="E1289" i="13"/>
  <c r="E1258" i="13"/>
  <c r="G1258" i="13" s="1"/>
  <c r="F1262" i="13"/>
  <c r="F1260" i="13"/>
  <c r="F1259" i="13"/>
  <c r="G1273" i="13"/>
  <c r="G1272" i="13"/>
  <c r="G1271" i="13"/>
  <c r="F1270" i="13"/>
  <c r="E1270" i="13"/>
  <c r="G1269" i="13"/>
  <c r="F1268" i="13"/>
  <c r="G1268" i="13" s="1"/>
  <c r="E1265" i="13"/>
  <c r="E1274" i="13"/>
  <c r="G1275" i="13"/>
  <c r="F1233" i="13"/>
  <c r="E1228" i="13"/>
  <c r="F1231" i="13"/>
  <c r="G1231" i="13" s="1"/>
  <c r="G1247" i="13"/>
  <c r="G1246" i="13"/>
  <c r="E1245" i="13"/>
  <c r="G1240" i="13"/>
  <c r="F1239" i="13"/>
  <c r="G1239" i="13" s="1"/>
  <c r="G1238" i="13"/>
  <c r="F1229" i="13"/>
  <c r="E1241" i="13"/>
  <c r="G1242" i="13"/>
  <c r="F1144" i="13"/>
  <c r="F1201" i="13"/>
  <c r="F1179" i="13"/>
  <c r="E1179" i="13"/>
  <c r="F1158" i="13"/>
  <c r="F1169" i="13"/>
  <c r="F1151" i="13"/>
  <c r="E1220" i="13"/>
  <c r="G1220" i="13" s="1"/>
  <c r="G1219" i="13"/>
  <c r="G1218" i="13"/>
  <c r="G1217" i="13"/>
  <c r="F1216" i="13"/>
  <c r="E1216" i="13"/>
  <c r="D1216" i="13"/>
  <c r="G1215" i="13"/>
  <c r="F1214" i="13"/>
  <c r="E1214" i="13"/>
  <c r="D1214" i="13"/>
  <c r="G1213" i="13"/>
  <c r="G1212" i="13"/>
  <c r="F1211" i="13"/>
  <c r="E1211" i="13"/>
  <c r="D1211" i="13"/>
  <c r="F1210" i="13"/>
  <c r="D1210" i="13"/>
  <c r="F1209" i="13"/>
  <c r="E1209" i="13"/>
  <c r="D1209" i="13"/>
  <c r="F1208" i="13"/>
  <c r="E1208" i="13"/>
  <c r="D1208" i="13"/>
  <c r="E1207" i="13"/>
  <c r="F1189" i="13"/>
  <c r="E1189" i="13"/>
  <c r="D1189" i="13"/>
  <c r="F1190" i="13"/>
  <c r="G1190" i="13" s="1"/>
  <c r="E1186" i="13"/>
  <c r="G1186" i="13" s="1"/>
  <c r="G1205" i="13"/>
  <c r="E1201" i="13"/>
  <c r="G1202" i="13"/>
  <c r="E1197" i="13"/>
  <c r="G1196" i="13"/>
  <c r="F1195" i="13"/>
  <c r="G1195" i="13" s="1"/>
  <c r="G1198" i="13"/>
  <c r="F1191" i="13"/>
  <c r="G1194" i="13"/>
  <c r="E1193" i="13"/>
  <c r="E1191" i="13" s="1"/>
  <c r="F1168" i="13"/>
  <c r="G1183" i="13"/>
  <c r="E1165" i="13"/>
  <c r="G1165" i="13" s="1"/>
  <c r="G1180" i="13"/>
  <c r="E1175" i="13"/>
  <c r="G1176" i="13"/>
  <c r="G1174" i="13"/>
  <c r="F1173" i="13"/>
  <c r="G1173" i="13" s="1"/>
  <c r="G1172" i="13"/>
  <c r="E1171" i="13"/>
  <c r="F1150" i="13"/>
  <c r="F1148" i="13"/>
  <c r="F1147" i="13"/>
  <c r="E1146" i="13"/>
  <c r="G1146" i="13" s="1"/>
  <c r="G1162" i="13"/>
  <c r="G1161" i="13"/>
  <c r="G1160" i="13"/>
  <c r="G1159" i="13"/>
  <c r="E1158" i="13"/>
  <c r="D1158" i="13"/>
  <c r="G1157" i="13"/>
  <c r="F1156" i="13"/>
  <c r="G1156" i="13" s="1"/>
  <c r="G1155" i="13"/>
  <c r="E1153" i="13"/>
  <c r="F1118" i="13"/>
  <c r="F1095" i="13"/>
  <c r="F1073" i="13"/>
  <c r="F1068" i="13"/>
  <c r="F1107" i="13"/>
  <c r="E1102" i="13"/>
  <c r="F1106" i="13"/>
  <c r="G1122" i="13"/>
  <c r="E1118" i="13"/>
  <c r="G1119" i="13"/>
  <c r="E1123" i="13"/>
  <c r="G1123" i="13" s="1"/>
  <c r="G1113" i="13"/>
  <c r="F1112" i="13"/>
  <c r="G1112" i="13" s="1"/>
  <c r="G1111" i="13"/>
  <c r="E1109" i="13"/>
  <c r="E1114" i="13"/>
  <c r="G1115" i="13"/>
  <c r="F1084" i="13"/>
  <c r="F1082" i="13"/>
  <c r="F1081" i="13"/>
  <c r="E1080" i="13"/>
  <c r="G1080" i="13" s="1"/>
  <c r="G1094" i="13"/>
  <c r="G1093" i="13"/>
  <c r="G1092" i="13"/>
  <c r="F1091" i="13"/>
  <c r="E1091" i="13"/>
  <c r="D1091" i="13"/>
  <c r="G1090" i="13"/>
  <c r="F1089" i="13"/>
  <c r="G1089" i="13" s="1"/>
  <c r="G1099" i="13"/>
  <c r="E1095" i="13"/>
  <c r="G1096" i="13"/>
  <c r="E1087" i="13"/>
  <c r="F1060" i="13"/>
  <c r="G1060" i="13" s="1"/>
  <c r="F1061" i="13"/>
  <c r="F1062" i="13"/>
  <c r="E1057" i="13"/>
  <c r="G1077" i="13"/>
  <c r="E1068" i="13"/>
  <c r="E1073" i="13"/>
  <c r="G1074" i="13"/>
  <c r="G1072" i="13"/>
  <c r="G1069" i="13"/>
  <c r="G1067" i="13"/>
  <c r="F1066" i="13"/>
  <c r="G1066" i="13" s="1"/>
  <c r="G1065" i="13"/>
  <c r="E1064" i="13"/>
  <c r="F1038" i="13"/>
  <c r="F1031" i="13" s="1"/>
  <c r="F1037" i="13"/>
  <c r="F1030" i="13" s="1"/>
  <c r="F1034" i="13"/>
  <c r="F1033" i="13"/>
  <c r="F1035" i="13"/>
  <c r="G1035" i="13" s="1"/>
  <c r="F1032" i="13"/>
  <c r="G1032" i="13" s="1"/>
  <c r="E1029" i="13"/>
  <c r="G1029" i="13" s="1"/>
  <c r="F1044" i="13"/>
  <c r="G1050" i="13"/>
  <c r="G1048" i="13"/>
  <c r="G1054" i="13"/>
  <c r="G1053" i="13"/>
  <c r="G1052" i="13"/>
  <c r="F1051" i="13"/>
  <c r="E1051" i="13"/>
  <c r="D1051" i="13"/>
  <c r="G1043" i="13"/>
  <c r="G1042" i="13"/>
  <c r="F1041" i="13"/>
  <c r="E1041" i="13"/>
  <c r="D1041" i="13"/>
  <c r="G1040" i="13"/>
  <c r="E1038" i="13"/>
  <c r="E1044" i="13"/>
  <c r="G1045" i="13"/>
  <c r="F1015" i="13"/>
  <c r="E1011" i="13"/>
  <c r="G1011" i="13" s="1"/>
  <c r="F1016" i="13"/>
  <c r="G1022" i="13"/>
  <c r="F1021" i="13"/>
  <c r="G1021" i="13" s="1"/>
  <c r="G1020" i="13"/>
  <c r="E1023" i="13"/>
  <c r="G1024" i="13"/>
  <c r="E1018" i="13"/>
  <c r="F927" i="13"/>
  <c r="F941" i="13"/>
  <c r="F980" i="13"/>
  <c r="F952" i="13"/>
  <c r="E1003" i="13"/>
  <c r="G1003" i="13" s="1"/>
  <c r="G1002" i="13"/>
  <c r="G1001" i="13"/>
  <c r="G1000" i="13"/>
  <c r="F999" i="13"/>
  <c r="E999" i="13"/>
  <c r="D999" i="13"/>
  <c r="G998" i="13"/>
  <c r="F997" i="13"/>
  <c r="E997" i="13"/>
  <c r="D997" i="13"/>
  <c r="G996" i="13"/>
  <c r="G995" i="13"/>
  <c r="F994" i="13"/>
  <c r="E994" i="13"/>
  <c r="D994" i="13"/>
  <c r="F993" i="13"/>
  <c r="D993" i="13"/>
  <c r="F992" i="13"/>
  <c r="E992" i="13"/>
  <c r="D992" i="13"/>
  <c r="F991" i="13"/>
  <c r="E991" i="13"/>
  <c r="D991" i="13"/>
  <c r="E990" i="13"/>
  <c r="F973" i="13"/>
  <c r="F984" i="13"/>
  <c r="F974" i="13"/>
  <c r="G974" i="13" s="1"/>
  <c r="E971" i="13"/>
  <c r="E984" i="13"/>
  <c r="G985" i="13"/>
  <c r="G988" i="13"/>
  <c r="E980" i="13"/>
  <c r="G983" i="13"/>
  <c r="G981" i="13"/>
  <c r="G979" i="13"/>
  <c r="F978" i="13"/>
  <c r="G978" i="13" s="1"/>
  <c r="E977" i="13"/>
  <c r="F950" i="13"/>
  <c r="E950" i="13"/>
  <c r="D950" i="13"/>
  <c r="F948" i="13"/>
  <c r="F951" i="13"/>
  <c r="E947" i="13"/>
  <c r="F949" i="13"/>
  <c r="G963" i="13"/>
  <c r="G962" i="13"/>
  <c r="G961" i="13"/>
  <c r="G960" i="13"/>
  <c r="F959" i="13"/>
  <c r="E959" i="13"/>
  <c r="F964" i="13"/>
  <c r="G968" i="13"/>
  <c r="E964" i="13"/>
  <c r="G965" i="13"/>
  <c r="G958" i="13"/>
  <c r="F957" i="13"/>
  <c r="G957" i="13" s="1"/>
  <c r="G956" i="13"/>
  <c r="G955" i="13"/>
  <c r="E954" i="13"/>
  <c r="F931" i="13"/>
  <c r="F930" i="13"/>
  <c r="F933" i="13"/>
  <c r="F934" i="13"/>
  <c r="G944" i="13"/>
  <c r="G943" i="13"/>
  <c r="G942" i="13"/>
  <c r="E941" i="13"/>
  <c r="E929" i="13" s="1"/>
  <c r="D941" i="13"/>
  <c r="G940" i="13"/>
  <c r="F939" i="13"/>
  <c r="G939" i="13" s="1"/>
  <c r="G938" i="13"/>
  <c r="E936" i="13"/>
  <c r="F1407" i="13" l="1"/>
  <c r="E1477" i="13"/>
  <c r="G1477" i="13" s="1"/>
  <c r="F1406" i="13"/>
  <c r="G1406" i="13" s="1"/>
  <c r="E1407" i="13"/>
  <c r="E1408" i="13"/>
  <c r="F1408" i="13"/>
  <c r="G1481" i="13"/>
  <c r="D1473" i="13"/>
  <c r="G1475" i="13"/>
  <c r="G1476" i="13"/>
  <c r="G1483" i="13"/>
  <c r="F1473" i="13"/>
  <c r="G1478" i="13"/>
  <c r="F1454" i="13"/>
  <c r="G1439" i="13"/>
  <c r="G1430" i="13"/>
  <c r="G1449" i="13"/>
  <c r="F1320" i="13"/>
  <c r="G1320" i="13" s="1"/>
  <c r="G1421" i="13"/>
  <c r="E1321" i="13"/>
  <c r="F1322" i="13"/>
  <c r="E1322" i="13"/>
  <c r="G1397" i="13"/>
  <c r="D1389" i="13"/>
  <c r="E1393" i="13"/>
  <c r="G1393" i="13" s="1"/>
  <c r="G1394" i="13"/>
  <c r="G1392" i="13"/>
  <c r="G1399" i="13"/>
  <c r="G1391" i="13"/>
  <c r="F1389" i="13"/>
  <c r="G1344" i="13"/>
  <c r="F1340" i="13"/>
  <c r="G1353" i="13"/>
  <c r="E1307" i="13"/>
  <c r="G1307" i="13" s="1"/>
  <c r="E1007" i="13"/>
  <c r="E1128" i="13"/>
  <c r="G1128" i="13" s="1"/>
  <c r="E1225" i="13"/>
  <c r="E1224" i="13"/>
  <c r="G1132" i="13"/>
  <c r="D1124" i="13"/>
  <c r="G1126" i="13"/>
  <c r="G1127" i="13"/>
  <c r="G1134" i="13"/>
  <c r="F1124" i="13"/>
  <c r="G1129" i="13"/>
  <c r="F1249" i="13"/>
  <c r="G1311" i="13"/>
  <c r="F1223" i="13"/>
  <c r="D1303" i="13"/>
  <c r="G1313" i="13"/>
  <c r="G1305" i="13"/>
  <c r="G1306" i="13"/>
  <c r="F1303" i="13"/>
  <c r="G1308" i="13"/>
  <c r="G1304" i="13"/>
  <c r="G1252" i="13"/>
  <c r="G1253" i="13"/>
  <c r="G1250" i="13"/>
  <c r="E1249" i="13"/>
  <c r="G1251" i="13"/>
  <c r="F1281" i="13"/>
  <c r="G1189" i="13"/>
  <c r="G1270" i="13"/>
  <c r="G1228" i="13"/>
  <c r="F1140" i="13"/>
  <c r="G1245" i="13"/>
  <c r="E1142" i="13"/>
  <c r="F1141" i="13"/>
  <c r="G1141" i="13" s="1"/>
  <c r="E1143" i="13"/>
  <c r="E1210" i="13"/>
  <c r="E1206" i="13" s="1"/>
  <c r="F1143" i="13"/>
  <c r="D1206" i="13"/>
  <c r="G1214" i="13"/>
  <c r="G1216" i="13"/>
  <c r="G1208" i="13"/>
  <c r="G1209" i="13"/>
  <c r="F1206" i="13"/>
  <c r="G1211" i="13"/>
  <c r="G1207" i="13"/>
  <c r="F1008" i="13"/>
  <c r="E1008" i="13"/>
  <c r="G1158" i="13"/>
  <c r="F1006" i="13"/>
  <c r="G1102" i="13"/>
  <c r="G1091" i="13"/>
  <c r="G1057" i="13"/>
  <c r="F1028" i="13"/>
  <c r="F1036" i="13"/>
  <c r="G1051" i="13"/>
  <c r="G1041" i="13"/>
  <c r="F925" i="13"/>
  <c r="F924" i="13"/>
  <c r="E925" i="13"/>
  <c r="E993" i="13"/>
  <c r="E989" i="13" s="1"/>
  <c r="D989" i="13"/>
  <c r="G997" i="13"/>
  <c r="G992" i="13"/>
  <c r="G999" i="13"/>
  <c r="G991" i="13"/>
  <c r="F989" i="13"/>
  <c r="G994" i="13"/>
  <c r="G990" i="13"/>
  <c r="G971" i="13"/>
  <c r="G950" i="13"/>
  <c r="G947" i="13"/>
  <c r="G959" i="13"/>
  <c r="G929" i="13"/>
  <c r="G941" i="13"/>
  <c r="E1473" i="13" l="1"/>
  <c r="G1473" i="13" s="1"/>
  <c r="G924" i="13"/>
  <c r="F918" i="13"/>
  <c r="G918" i="13" s="1"/>
  <c r="E1389" i="13"/>
  <c r="G1389" i="13" s="1"/>
  <c r="E1303" i="13"/>
  <c r="G1303" i="13" s="1"/>
  <c r="E1124" i="13"/>
  <c r="G1124" i="13" s="1"/>
  <c r="G1249" i="13"/>
  <c r="G1210" i="13"/>
  <c r="G1206" i="13"/>
  <c r="G993" i="13"/>
  <c r="G989" i="13"/>
  <c r="F854" i="13"/>
  <c r="F868" i="13"/>
  <c r="F861" i="13"/>
  <c r="D853" i="13"/>
  <c r="E915" i="13"/>
  <c r="G915" i="13" s="1"/>
  <c r="G914" i="13"/>
  <c r="G913" i="13"/>
  <c r="G912" i="13"/>
  <c r="F911" i="13"/>
  <c r="E911" i="13"/>
  <c r="D911" i="13"/>
  <c r="G910" i="13"/>
  <c r="F909" i="13"/>
  <c r="E909" i="13"/>
  <c r="D909" i="13"/>
  <c r="G908" i="13"/>
  <c r="G907" i="13"/>
  <c r="F906" i="13"/>
  <c r="E906" i="13"/>
  <c r="D906" i="13"/>
  <c r="F905" i="13"/>
  <c r="D905" i="13"/>
  <c r="F904" i="13"/>
  <c r="E904" i="13"/>
  <c r="D904" i="13"/>
  <c r="F903" i="13"/>
  <c r="E903" i="13"/>
  <c r="D903" i="13"/>
  <c r="E902" i="13"/>
  <c r="G902" i="13" s="1"/>
  <c r="F880" i="13"/>
  <c r="F877" i="13"/>
  <c r="F876" i="13"/>
  <c r="F882" i="13"/>
  <c r="F881" i="13"/>
  <c r="G881" i="13" s="1"/>
  <c r="G899" i="13"/>
  <c r="G898" i="13"/>
  <c r="G897" i="13"/>
  <c r="F896" i="13"/>
  <c r="F853" i="13" s="1"/>
  <c r="E896" i="13"/>
  <c r="E853" i="13" s="1"/>
  <c r="D896" i="13"/>
  <c r="G889" i="13"/>
  <c r="G888" i="13"/>
  <c r="F887" i="13"/>
  <c r="E887" i="13"/>
  <c r="D887" i="13"/>
  <c r="G886" i="13"/>
  <c r="E890" i="13"/>
  <c r="G891" i="13"/>
  <c r="E884" i="13"/>
  <c r="F859" i="13"/>
  <c r="F858" i="13"/>
  <c r="F857" i="13"/>
  <c r="F860" i="13"/>
  <c r="G872" i="13"/>
  <c r="G871" i="13"/>
  <c r="G870" i="13"/>
  <c r="G869" i="13"/>
  <c r="E868" i="13"/>
  <c r="E856" i="13" s="1"/>
  <c r="G856" i="13" s="1"/>
  <c r="D868" i="13"/>
  <c r="E873" i="13"/>
  <c r="G873" i="13" s="1"/>
  <c r="G867" i="13"/>
  <c r="F866" i="13"/>
  <c r="G866" i="13" s="1"/>
  <c r="G865" i="13"/>
  <c r="E863" i="13"/>
  <c r="F788" i="13"/>
  <c r="F815" i="13"/>
  <c r="D787" i="13"/>
  <c r="E848" i="13"/>
  <c r="G848" i="13" s="1"/>
  <c r="G847" i="13"/>
  <c r="G846" i="13"/>
  <c r="G845" i="13"/>
  <c r="F844" i="13"/>
  <c r="E844" i="13"/>
  <c r="D844" i="13"/>
  <c r="G843" i="13"/>
  <c r="F842" i="13"/>
  <c r="E842" i="13"/>
  <c r="D842" i="13"/>
  <c r="G841" i="13"/>
  <c r="G840" i="13"/>
  <c r="F839" i="13"/>
  <c r="E839" i="13"/>
  <c r="D839" i="13"/>
  <c r="F838" i="13"/>
  <c r="D838" i="13"/>
  <c r="F837" i="13"/>
  <c r="E837" i="13"/>
  <c r="D837" i="13"/>
  <c r="F836" i="13"/>
  <c r="E836" i="13"/>
  <c r="D836" i="13"/>
  <c r="E835" i="13"/>
  <c r="G835" i="13" s="1"/>
  <c r="F813" i="13"/>
  <c r="F810" i="13"/>
  <c r="F809" i="13"/>
  <c r="F814" i="13"/>
  <c r="G814" i="13" s="1"/>
  <c r="E808" i="13"/>
  <c r="G808" i="13" s="1"/>
  <c r="G832" i="13"/>
  <c r="G831" i="13"/>
  <c r="G830" i="13"/>
  <c r="F829" i="13"/>
  <c r="F787" i="13" s="1"/>
  <c r="E829" i="13"/>
  <c r="D829" i="13"/>
  <c r="G822" i="13"/>
  <c r="G821" i="13"/>
  <c r="F820" i="13"/>
  <c r="E820" i="13"/>
  <c r="D820" i="13"/>
  <c r="G819" i="13"/>
  <c r="E823" i="13"/>
  <c r="G824" i="13"/>
  <c r="E817" i="13"/>
  <c r="F794" i="13"/>
  <c r="E802" i="13"/>
  <c r="E790" i="13" s="1"/>
  <c r="G803" i="13"/>
  <c r="F795" i="13"/>
  <c r="G801" i="13"/>
  <c r="F800" i="13"/>
  <c r="G800" i="13" s="1"/>
  <c r="G799" i="13"/>
  <c r="E797" i="13"/>
  <c r="F722" i="13"/>
  <c r="F729" i="13"/>
  <c r="D721" i="13"/>
  <c r="E782" i="13"/>
  <c r="G782" i="13" s="1"/>
  <c r="G781" i="13"/>
  <c r="G780" i="13"/>
  <c r="G779" i="13"/>
  <c r="F778" i="13"/>
  <c r="E778" i="13"/>
  <c r="D778" i="13"/>
  <c r="G777" i="13"/>
  <c r="F776" i="13"/>
  <c r="E776" i="13"/>
  <c r="D776" i="13"/>
  <c r="G775" i="13"/>
  <c r="G774" i="13"/>
  <c r="F773" i="13"/>
  <c r="E773" i="13"/>
  <c r="D773" i="13"/>
  <c r="F772" i="13"/>
  <c r="D772" i="13"/>
  <c r="F771" i="13"/>
  <c r="E771" i="13"/>
  <c r="D771" i="13"/>
  <c r="F770" i="13"/>
  <c r="E770" i="13"/>
  <c r="D770" i="13"/>
  <c r="E769" i="13"/>
  <c r="G769" i="13" s="1"/>
  <c r="F744" i="13"/>
  <c r="F743" i="13"/>
  <c r="F747" i="13"/>
  <c r="E742" i="13"/>
  <c r="G742" i="13" s="1"/>
  <c r="F748" i="13"/>
  <c r="G748" i="13" s="1"/>
  <c r="G766" i="13"/>
  <c r="G765" i="13"/>
  <c r="G764" i="13"/>
  <c r="F763" i="13"/>
  <c r="F721" i="13" s="1"/>
  <c r="E763" i="13"/>
  <c r="D763" i="13"/>
  <c r="F749" i="13"/>
  <c r="G756" i="13"/>
  <c r="G755" i="13"/>
  <c r="F754" i="13"/>
  <c r="E754" i="13"/>
  <c r="D754" i="13"/>
  <c r="G753" i="13"/>
  <c r="E751" i="13"/>
  <c r="E757" i="13"/>
  <c r="G758" i="13"/>
  <c r="F728" i="13"/>
  <c r="E724" i="13"/>
  <c r="G724" i="13" s="1"/>
  <c r="E736" i="13"/>
  <c r="G735" i="13"/>
  <c r="F734" i="13"/>
  <c r="G737" i="13"/>
  <c r="E731" i="13"/>
  <c r="G733" i="13"/>
  <c r="E852" i="13" l="1"/>
  <c r="G853" i="13"/>
  <c r="F851" i="13"/>
  <c r="G851" i="13" s="1"/>
  <c r="E905" i="13"/>
  <c r="G905" i="13" s="1"/>
  <c r="F850" i="13"/>
  <c r="G909" i="13"/>
  <c r="E875" i="13"/>
  <c r="G875" i="13" s="1"/>
  <c r="D901" i="13"/>
  <c r="G904" i="13"/>
  <c r="G911" i="13"/>
  <c r="G903" i="13"/>
  <c r="F901" i="13"/>
  <c r="G906" i="13"/>
  <c r="G896" i="13"/>
  <c r="G887" i="13"/>
  <c r="G868" i="13"/>
  <c r="F785" i="13"/>
  <c r="G785" i="13" s="1"/>
  <c r="E786" i="13"/>
  <c r="F784" i="13"/>
  <c r="E787" i="13"/>
  <c r="G787" i="13" s="1"/>
  <c r="E838" i="13"/>
  <c r="G838" i="13" s="1"/>
  <c r="D834" i="13"/>
  <c r="G842" i="13"/>
  <c r="F834" i="13"/>
  <c r="G844" i="13"/>
  <c r="G837" i="13"/>
  <c r="G839" i="13"/>
  <c r="G836" i="13"/>
  <c r="G820" i="13"/>
  <c r="G829" i="13"/>
  <c r="E720" i="13"/>
  <c r="G790" i="13"/>
  <c r="F719" i="13"/>
  <c r="G719" i="13" s="1"/>
  <c r="F718" i="13"/>
  <c r="E721" i="13"/>
  <c r="G721" i="13" s="1"/>
  <c r="E772" i="13"/>
  <c r="G772" i="13" s="1"/>
  <c r="G776" i="13"/>
  <c r="D768" i="13"/>
  <c r="G770" i="13"/>
  <c r="G771" i="13"/>
  <c r="G778" i="13"/>
  <c r="F768" i="13"/>
  <c r="G773" i="13"/>
  <c r="G763" i="13"/>
  <c r="G754" i="13"/>
  <c r="G734" i="13"/>
  <c r="E901" i="13" l="1"/>
  <c r="G901" i="13" s="1"/>
  <c r="E834" i="13"/>
  <c r="G834" i="13" s="1"/>
  <c r="E768" i="13"/>
  <c r="G768" i="13" s="1"/>
  <c r="F637" i="13"/>
  <c r="F697" i="13"/>
  <c r="F649" i="13"/>
  <c r="E716" i="13"/>
  <c r="G716" i="13" s="1"/>
  <c r="G715" i="13"/>
  <c r="G714" i="13"/>
  <c r="G713" i="13"/>
  <c r="F712" i="13"/>
  <c r="E712" i="13"/>
  <c r="D712" i="13"/>
  <c r="G711" i="13"/>
  <c r="F710" i="13"/>
  <c r="E710" i="13"/>
  <c r="D710" i="13"/>
  <c r="G709" i="13"/>
  <c r="G708" i="13"/>
  <c r="F707" i="13"/>
  <c r="E707" i="13"/>
  <c r="D707" i="13"/>
  <c r="F706" i="13"/>
  <c r="D706" i="13"/>
  <c r="F705" i="13"/>
  <c r="E705" i="13"/>
  <c r="D705" i="13"/>
  <c r="F704" i="13"/>
  <c r="E704" i="13"/>
  <c r="D704" i="13"/>
  <c r="E703" i="13"/>
  <c r="F686" i="13"/>
  <c r="F685" i="13"/>
  <c r="F687" i="13"/>
  <c r="G687" i="13" s="1"/>
  <c r="E697" i="13"/>
  <c r="F693" i="13"/>
  <c r="G696" i="13"/>
  <c r="G695" i="13"/>
  <c r="G694" i="13"/>
  <c r="E693" i="13"/>
  <c r="F691" i="13"/>
  <c r="G692" i="13"/>
  <c r="E690" i="13"/>
  <c r="G701" i="13"/>
  <c r="G698" i="13"/>
  <c r="F662" i="13"/>
  <c r="F659" i="13"/>
  <c r="F658" i="13"/>
  <c r="E672" i="13"/>
  <c r="E657" i="13" s="1"/>
  <c r="G657" i="13" s="1"/>
  <c r="F663" i="13"/>
  <c r="G663" i="13" s="1"/>
  <c r="G681" i="13"/>
  <c r="G680" i="13"/>
  <c r="G679" i="13"/>
  <c r="F678" i="13"/>
  <c r="E678" i="13"/>
  <c r="D678" i="13"/>
  <c r="G671" i="13"/>
  <c r="G670" i="13"/>
  <c r="F669" i="13"/>
  <c r="E669" i="13"/>
  <c r="D669" i="13"/>
  <c r="F664" i="13"/>
  <c r="G668" i="13"/>
  <c r="G673" i="13"/>
  <c r="E666" i="13"/>
  <c r="F643" i="13"/>
  <c r="E639" i="13"/>
  <c r="G639" i="13" s="1"/>
  <c r="E651" i="13"/>
  <c r="G652" i="13"/>
  <c r="F644" i="13"/>
  <c r="G650" i="13"/>
  <c r="G648" i="13"/>
  <c r="E646" i="13"/>
  <c r="F551" i="13"/>
  <c r="F612" i="13"/>
  <c r="E612" i="13"/>
  <c r="F608" i="13"/>
  <c r="F578" i="13"/>
  <c r="E631" i="13"/>
  <c r="G631" i="13" s="1"/>
  <c r="G630" i="13"/>
  <c r="G629" i="13"/>
  <c r="G628" i="13"/>
  <c r="F627" i="13"/>
  <c r="E627" i="13"/>
  <c r="D627" i="13"/>
  <c r="G626" i="13"/>
  <c r="F625" i="13"/>
  <c r="E625" i="13"/>
  <c r="D625" i="13"/>
  <c r="G624" i="13"/>
  <c r="G623" i="13"/>
  <c r="F622" i="13"/>
  <c r="E622" i="13"/>
  <c r="D622" i="13"/>
  <c r="F621" i="13"/>
  <c r="D621" i="13"/>
  <c r="F620" i="13"/>
  <c r="E620" i="13"/>
  <c r="D620" i="13"/>
  <c r="F619" i="13"/>
  <c r="E619" i="13"/>
  <c r="D619" i="13"/>
  <c r="E618" i="13"/>
  <c r="F602" i="13"/>
  <c r="G602" i="13" s="1"/>
  <c r="F601" i="13"/>
  <c r="F600" i="13"/>
  <c r="E599" i="13"/>
  <c r="G611" i="13"/>
  <c r="G610" i="13"/>
  <c r="G609" i="13"/>
  <c r="E608" i="13"/>
  <c r="F606" i="13"/>
  <c r="G607" i="13"/>
  <c r="G616" i="13"/>
  <c r="G613" i="13"/>
  <c r="E605" i="13"/>
  <c r="F576" i="13"/>
  <c r="F574" i="13"/>
  <c r="E574" i="13"/>
  <c r="D574" i="13"/>
  <c r="F586" i="13"/>
  <c r="F573" i="13"/>
  <c r="F572" i="13"/>
  <c r="G592" i="13"/>
  <c r="G590" i="13"/>
  <c r="F577" i="13"/>
  <c r="G577" i="13" s="1"/>
  <c r="G596" i="13"/>
  <c r="G595" i="13"/>
  <c r="G594" i="13"/>
  <c r="F593" i="13"/>
  <c r="E593" i="13"/>
  <c r="D593" i="13"/>
  <c r="E586" i="13"/>
  <c r="G587" i="13"/>
  <c r="G585" i="13"/>
  <c r="G584" i="13"/>
  <c r="F583" i="13"/>
  <c r="E583" i="13"/>
  <c r="D583" i="13"/>
  <c r="G582" i="13"/>
  <c r="E580" i="13"/>
  <c r="F557" i="13"/>
  <c r="E553" i="13"/>
  <c r="G553" i="13" s="1"/>
  <c r="E565" i="13"/>
  <c r="G566" i="13"/>
  <c r="G564" i="13"/>
  <c r="F563" i="13"/>
  <c r="G563" i="13" s="1"/>
  <c r="F558" i="13"/>
  <c r="G562" i="13"/>
  <c r="E560" i="13"/>
  <c r="F526" i="13"/>
  <c r="F448" i="13"/>
  <c r="E526" i="13"/>
  <c r="E545" i="13"/>
  <c r="G545" i="13" s="1"/>
  <c r="G544" i="13"/>
  <c r="G543" i="13"/>
  <c r="G542" i="13"/>
  <c r="F541" i="13"/>
  <c r="E541" i="13"/>
  <c r="D541" i="13"/>
  <c r="G540" i="13"/>
  <c r="F539" i="13"/>
  <c r="E539" i="13"/>
  <c r="D539" i="13"/>
  <c r="G538" i="13"/>
  <c r="G537" i="13"/>
  <c r="F536" i="13"/>
  <c r="E536" i="13"/>
  <c r="D536" i="13"/>
  <c r="F535" i="13"/>
  <c r="D535" i="13"/>
  <c r="F534" i="13"/>
  <c r="E534" i="13"/>
  <c r="D534" i="13"/>
  <c r="F533" i="13"/>
  <c r="E533" i="13"/>
  <c r="D533" i="13"/>
  <c r="E532" i="13"/>
  <c r="F515" i="13"/>
  <c r="F514" i="13"/>
  <c r="F516" i="13"/>
  <c r="E516" i="13"/>
  <c r="E513" i="13"/>
  <c r="F520" i="13"/>
  <c r="G520" i="13" s="1"/>
  <c r="G521" i="13"/>
  <c r="F522" i="13"/>
  <c r="G525" i="13"/>
  <c r="E522" i="13"/>
  <c r="G523" i="13"/>
  <c r="G530" i="13"/>
  <c r="G527" i="13"/>
  <c r="E519" i="13"/>
  <c r="E497" i="13"/>
  <c r="F499" i="13"/>
  <c r="E496" i="13"/>
  <c r="G496" i="13" s="1"/>
  <c r="F500" i="13"/>
  <c r="G503" i="13"/>
  <c r="E507" i="13"/>
  <c r="G508" i="13"/>
  <c r="E502" i="13"/>
  <c r="E500" i="13" s="1"/>
  <c r="F473" i="13"/>
  <c r="F469" i="13"/>
  <c r="F472" i="13"/>
  <c r="F474" i="13"/>
  <c r="G474" i="13" s="1"/>
  <c r="F471" i="13"/>
  <c r="E471" i="13"/>
  <c r="D471" i="13"/>
  <c r="G487" i="13"/>
  <c r="F371" i="13"/>
  <c r="F483" i="13"/>
  <c r="F470" i="13"/>
  <c r="G493" i="13"/>
  <c r="G492" i="13"/>
  <c r="G491" i="13"/>
  <c r="F490" i="13"/>
  <c r="E490" i="13"/>
  <c r="D490" i="13"/>
  <c r="G489" i="13"/>
  <c r="E483" i="13"/>
  <c r="E468" i="13" s="1"/>
  <c r="G484" i="13"/>
  <c r="G482" i="13"/>
  <c r="G481" i="13"/>
  <c r="F480" i="13"/>
  <c r="E480" i="13"/>
  <c r="D480" i="13"/>
  <c r="F475" i="13"/>
  <c r="G479" i="13"/>
  <c r="E477" i="13"/>
  <c r="E475" i="13" s="1"/>
  <c r="E462" i="13"/>
  <c r="F460" i="13"/>
  <c r="F455" i="13"/>
  <c r="G461" i="13"/>
  <c r="G459" i="13"/>
  <c r="G463" i="13"/>
  <c r="E457" i="13"/>
  <c r="F347" i="13"/>
  <c r="F423" i="13"/>
  <c r="F419" i="13"/>
  <c r="E442" i="13"/>
  <c r="G442" i="13" s="1"/>
  <c r="G441" i="13"/>
  <c r="G440" i="13"/>
  <c r="G439" i="13"/>
  <c r="F438" i="13"/>
  <c r="E438" i="13"/>
  <c r="D438" i="13"/>
  <c r="G437" i="13"/>
  <c r="F436" i="13"/>
  <c r="E436" i="13"/>
  <c r="D436" i="13"/>
  <c r="G435" i="13"/>
  <c r="G434" i="13"/>
  <c r="F433" i="13"/>
  <c r="E433" i="13"/>
  <c r="D433" i="13"/>
  <c r="F432" i="13"/>
  <c r="D432" i="13"/>
  <c r="F431" i="13"/>
  <c r="E431" i="13"/>
  <c r="D431" i="13"/>
  <c r="F430" i="13"/>
  <c r="E430" i="13"/>
  <c r="D430" i="13"/>
  <c r="E429" i="13"/>
  <c r="F412" i="13"/>
  <c r="F411" i="13"/>
  <c r="F413" i="13"/>
  <c r="E413" i="13"/>
  <c r="E410" i="13"/>
  <c r="E423" i="13"/>
  <c r="G424" i="13"/>
  <c r="G427" i="13"/>
  <c r="G422" i="13"/>
  <c r="G421" i="13"/>
  <c r="G420" i="13"/>
  <c r="E419" i="13"/>
  <c r="F417" i="13"/>
  <c r="G418" i="13"/>
  <c r="E416" i="13"/>
  <c r="F396" i="13"/>
  <c r="F397" i="13"/>
  <c r="G400" i="13"/>
  <c r="F394" i="13"/>
  <c r="E393" i="13"/>
  <c r="G393" i="13" s="1"/>
  <c r="G407" i="13"/>
  <c r="E403" i="13"/>
  <c r="G404" i="13"/>
  <c r="E399" i="13"/>
  <c r="F395" i="13"/>
  <c r="E394" i="13"/>
  <c r="E367" i="13"/>
  <c r="F369" i="13"/>
  <c r="F368" i="13"/>
  <c r="F372" i="13"/>
  <c r="G372" i="13" s="1"/>
  <c r="F381" i="13"/>
  <c r="F373" i="13"/>
  <c r="G380" i="13"/>
  <c r="G379" i="13"/>
  <c r="F378" i="13"/>
  <c r="E378" i="13"/>
  <c r="D378" i="13"/>
  <c r="G377" i="13"/>
  <c r="G386" i="13"/>
  <c r="G390" i="13"/>
  <c r="G389" i="13"/>
  <c r="G388" i="13"/>
  <c r="F387" i="13"/>
  <c r="E387" i="13"/>
  <c r="D387" i="13"/>
  <c r="E381" i="13"/>
  <c r="G382" i="13"/>
  <c r="E375" i="13"/>
  <c r="E349" i="13"/>
  <c r="F353" i="13"/>
  <c r="F354" i="13"/>
  <c r="E361" i="13"/>
  <c r="F359" i="13"/>
  <c r="G360" i="13"/>
  <c r="G358" i="13"/>
  <c r="G362" i="13"/>
  <c r="E356" i="13"/>
  <c r="F315" i="13"/>
  <c r="F307" i="13"/>
  <c r="F282" i="13"/>
  <c r="D282" i="13"/>
  <c r="E315" i="13"/>
  <c r="E341" i="13"/>
  <c r="G341" i="13" s="1"/>
  <c r="G340" i="13"/>
  <c r="G339" i="13"/>
  <c r="G338" i="13"/>
  <c r="F337" i="13"/>
  <c r="E337" i="13"/>
  <c r="D337" i="13"/>
  <c r="G336" i="13"/>
  <c r="F335" i="13"/>
  <c r="E335" i="13"/>
  <c r="D335" i="13"/>
  <c r="G334" i="13"/>
  <c r="G333" i="13"/>
  <c r="F332" i="13"/>
  <c r="E332" i="13"/>
  <c r="D332" i="13"/>
  <c r="F331" i="13"/>
  <c r="D331" i="13"/>
  <c r="F330" i="13"/>
  <c r="E330" i="13"/>
  <c r="D330" i="13"/>
  <c r="F329" i="13"/>
  <c r="E329" i="13"/>
  <c r="D329" i="13"/>
  <c r="E328" i="13"/>
  <c r="F305" i="13"/>
  <c r="F302" i="13"/>
  <c r="F301" i="13"/>
  <c r="E300" i="13"/>
  <c r="G300" i="13" s="1"/>
  <c r="F306" i="13"/>
  <c r="G306" i="13" s="1"/>
  <c r="G450" i="13" l="1"/>
  <c r="E449" i="13"/>
  <c r="F636" i="13"/>
  <c r="E636" i="13"/>
  <c r="F634" i="13"/>
  <c r="G634" i="13" s="1"/>
  <c r="E684" i="13"/>
  <c r="G684" i="13" s="1"/>
  <c r="E706" i="13"/>
  <c r="E702" i="13" s="1"/>
  <c r="E635" i="13"/>
  <c r="F683" i="13"/>
  <c r="G710" i="13"/>
  <c r="G712" i="13"/>
  <c r="G704" i="13"/>
  <c r="D702" i="13"/>
  <c r="G707" i="13"/>
  <c r="G705" i="13"/>
  <c r="F702" i="13"/>
  <c r="G703" i="13"/>
  <c r="G693" i="13"/>
  <c r="G669" i="13"/>
  <c r="G678" i="13"/>
  <c r="F548" i="13"/>
  <c r="G548" i="13" s="1"/>
  <c r="F550" i="13"/>
  <c r="E550" i="13"/>
  <c r="E549" i="13"/>
  <c r="E621" i="13"/>
  <c r="G621" i="13" s="1"/>
  <c r="F598" i="13"/>
  <c r="G625" i="13"/>
  <c r="D617" i="13"/>
  <c r="G627" i="13"/>
  <c r="G619" i="13"/>
  <c r="G620" i="13"/>
  <c r="F617" i="13"/>
  <c r="G622" i="13"/>
  <c r="G618" i="13"/>
  <c r="G599" i="13"/>
  <c r="G574" i="13"/>
  <c r="E571" i="13"/>
  <c r="G571" i="13" s="1"/>
  <c r="G593" i="13"/>
  <c r="G583" i="13"/>
  <c r="E447" i="13"/>
  <c r="F445" i="13"/>
  <c r="G445" i="13" s="1"/>
  <c r="D531" i="13"/>
  <c r="G516" i="13"/>
  <c r="G539" i="13"/>
  <c r="E535" i="13"/>
  <c r="E531" i="13" s="1"/>
  <c r="F512" i="13"/>
  <c r="G541" i="13"/>
  <c r="G533" i="13"/>
  <c r="G534" i="13"/>
  <c r="F531" i="13"/>
  <c r="G536" i="13"/>
  <c r="G532" i="13"/>
  <c r="G513" i="13"/>
  <c r="G471" i="13"/>
  <c r="E498" i="13"/>
  <c r="F467" i="13"/>
  <c r="G468" i="13"/>
  <c r="G480" i="13"/>
  <c r="G490" i="13"/>
  <c r="G460" i="13"/>
  <c r="F344" i="13"/>
  <c r="G344" i="13" s="1"/>
  <c r="D428" i="13"/>
  <c r="E346" i="13"/>
  <c r="G436" i="13"/>
  <c r="E432" i="13"/>
  <c r="G432" i="13" s="1"/>
  <c r="G438" i="13"/>
  <c r="G430" i="13"/>
  <c r="G431" i="13"/>
  <c r="G433" i="13"/>
  <c r="F428" i="13"/>
  <c r="G429" i="13"/>
  <c r="F409" i="13"/>
  <c r="G413" i="13"/>
  <c r="F392" i="13"/>
  <c r="G378" i="13"/>
  <c r="G387" i="13"/>
  <c r="G359" i="13"/>
  <c r="D327" i="13"/>
  <c r="G335" i="13"/>
  <c r="E331" i="13"/>
  <c r="G331" i="13" s="1"/>
  <c r="G332" i="13"/>
  <c r="G337" i="13"/>
  <c r="F327" i="13"/>
  <c r="G330" i="13"/>
  <c r="G329" i="13"/>
  <c r="G328" i="13"/>
  <c r="G706" i="13" l="1"/>
  <c r="G702" i="13"/>
  <c r="E617" i="13"/>
  <c r="G617" i="13" s="1"/>
  <c r="G535" i="13"/>
  <c r="G531" i="13"/>
  <c r="E428" i="13"/>
  <c r="G428" i="13" s="1"/>
  <c r="E327" i="13"/>
  <c r="G327" i="13" s="1"/>
  <c r="G325" i="13"/>
  <c r="G324" i="13"/>
  <c r="G323" i="13"/>
  <c r="F322" i="13"/>
  <c r="F281" i="13" s="1"/>
  <c r="E322" i="13"/>
  <c r="E281" i="13" s="1"/>
  <c r="D322" i="13"/>
  <c r="E326" i="13"/>
  <c r="G326" i="13" s="1"/>
  <c r="G316" i="13"/>
  <c r="G321" i="13"/>
  <c r="E309" i="13"/>
  <c r="G314" i="13"/>
  <c r="G313" i="13"/>
  <c r="F312" i="13"/>
  <c r="E312" i="13"/>
  <c r="D312" i="13"/>
  <c r="G311" i="13"/>
  <c r="F287" i="13"/>
  <c r="E284" i="13"/>
  <c r="G284" i="13" s="1"/>
  <c r="F294" i="13"/>
  <c r="F280" i="13" s="1"/>
  <c r="F292" i="13"/>
  <c r="F288" i="13"/>
  <c r="F278" i="13" s="1"/>
  <c r="E294" i="13"/>
  <c r="E280" i="13" s="1"/>
  <c r="G295" i="13"/>
  <c r="G293" i="13"/>
  <c r="G291" i="13"/>
  <c r="E290" i="13"/>
  <c r="F279" i="13" l="1"/>
  <c r="G322" i="13"/>
  <c r="G312" i="13"/>
  <c r="F226" i="13"/>
  <c r="F187" i="13"/>
  <c r="E276" i="13"/>
  <c r="E266" i="13" s="1"/>
  <c r="G275" i="13"/>
  <c r="G274" i="13"/>
  <c r="G273" i="13"/>
  <c r="F272" i="13"/>
  <c r="E272" i="13"/>
  <c r="D272" i="13"/>
  <c r="G271" i="13"/>
  <c r="F270" i="13"/>
  <c r="E270" i="13"/>
  <c r="D270" i="13"/>
  <c r="G269" i="13"/>
  <c r="G268" i="13"/>
  <c r="F267" i="13"/>
  <c r="E267" i="13"/>
  <c r="D267" i="13"/>
  <c r="F266" i="13"/>
  <c r="D266" i="13"/>
  <c r="F265" i="13"/>
  <c r="E265" i="13"/>
  <c r="D265" i="13"/>
  <c r="F264" i="13"/>
  <c r="E264" i="13"/>
  <c r="D264" i="13"/>
  <c r="E263" i="13"/>
  <c r="G263" i="13" s="1"/>
  <c r="F242" i="13"/>
  <c r="E242" i="13"/>
  <c r="F243" i="13"/>
  <c r="F249" i="13"/>
  <c r="F255" i="13"/>
  <c r="E255" i="13"/>
  <c r="E249" i="13"/>
  <c r="E239" i="13"/>
  <c r="G239" i="13" s="1"/>
  <c r="G260" i="13"/>
  <c r="G259" i="13"/>
  <c r="G254" i="13"/>
  <c r="G253" i="13"/>
  <c r="G248" i="13"/>
  <c r="F247" i="13"/>
  <c r="E247" i="13"/>
  <c r="D247" i="13"/>
  <c r="G256" i="13"/>
  <c r="G250" i="13"/>
  <c r="E246" i="13"/>
  <c r="F216" i="13"/>
  <c r="F213" i="13"/>
  <c r="F212" i="13"/>
  <c r="E226" i="13"/>
  <c r="E211" i="13"/>
  <c r="G217" i="13"/>
  <c r="G236" i="13"/>
  <c r="G235" i="13"/>
  <c r="G234" i="13"/>
  <c r="F233" i="13"/>
  <c r="E233" i="13"/>
  <c r="D233" i="13"/>
  <c r="G232" i="13"/>
  <c r="G227" i="13"/>
  <c r="F218" i="13"/>
  <c r="E220" i="13"/>
  <c r="G225" i="13"/>
  <c r="G224" i="13"/>
  <c r="F223" i="13"/>
  <c r="E223" i="13"/>
  <c r="D223" i="13"/>
  <c r="G222" i="13"/>
  <c r="F194" i="13"/>
  <c r="E197" i="13"/>
  <c r="E189" i="13"/>
  <c r="G189" i="13" s="1"/>
  <c r="E202" i="13"/>
  <c r="F195" i="13"/>
  <c r="G203" i="13"/>
  <c r="G201" i="13"/>
  <c r="F200" i="13"/>
  <c r="E200" i="13"/>
  <c r="D200" i="13"/>
  <c r="G199" i="13"/>
  <c r="F127" i="13"/>
  <c r="F147" i="13"/>
  <c r="F155" i="13"/>
  <c r="F120" i="13"/>
  <c r="E155" i="13"/>
  <c r="E133" i="13"/>
  <c r="E181" i="13"/>
  <c r="G181" i="13" s="1"/>
  <c r="G180" i="13"/>
  <c r="G179" i="13"/>
  <c r="G178" i="13"/>
  <c r="F177" i="13"/>
  <c r="E177" i="13"/>
  <c r="D177" i="13"/>
  <c r="G176" i="13"/>
  <c r="F175" i="13"/>
  <c r="E175" i="13"/>
  <c r="D175" i="13"/>
  <c r="G174" i="13"/>
  <c r="G173" i="13"/>
  <c r="F172" i="13"/>
  <c r="E172" i="13"/>
  <c r="D172" i="13"/>
  <c r="F171" i="13"/>
  <c r="D171" i="13"/>
  <c r="F170" i="13"/>
  <c r="E170" i="13"/>
  <c r="D170" i="13"/>
  <c r="F169" i="13"/>
  <c r="E169" i="13"/>
  <c r="D169" i="13"/>
  <c r="E168" i="13"/>
  <c r="F126" i="13"/>
  <c r="E125" i="13"/>
  <c r="E122" i="13"/>
  <c r="G122" i="13" s="1"/>
  <c r="E140" i="13"/>
  <c r="F145" i="13"/>
  <c r="F58" i="13"/>
  <c r="F144" i="13"/>
  <c r="F142" i="13"/>
  <c r="F141" i="13"/>
  <c r="F57" i="13"/>
  <c r="F54" i="13"/>
  <c r="E141" i="13"/>
  <c r="G165" i="13"/>
  <c r="G164" i="13"/>
  <c r="G163" i="13"/>
  <c r="F162" i="13"/>
  <c r="F119" i="13" s="1"/>
  <c r="E162" i="13"/>
  <c r="E119" i="13" s="1"/>
  <c r="D162" i="13"/>
  <c r="G160" i="13"/>
  <c r="G161" i="13"/>
  <c r="G156" i="13"/>
  <c r="F146" i="13"/>
  <c r="E146" i="13"/>
  <c r="D146" i="13"/>
  <c r="G154" i="13"/>
  <c r="G153" i="13"/>
  <c r="F152" i="13"/>
  <c r="E152" i="13"/>
  <c r="D152" i="13"/>
  <c r="G151" i="13"/>
  <c r="E149" i="13"/>
  <c r="G132" i="13"/>
  <c r="F131" i="13"/>
  <c r="E131" i="13"/>
  <c r="D131" i="13"/>
  <c r="G130" i="13"/>
  <c r="G134" i="13"/>
  <c r="E129" i="13"/>
  <c r="E185" i="13" l="1"/>
  <c r="F184" i="13"/>
  <c r="G184" i="13" s="1"/>
  <c r="D262" i="13"/>
  <c r="G266" i="13"/>
  <c r="G270" i="13"/>
  <c r="G242" i="13"/>
  <c r="G272" i="13"/>
  <c r="G264" i="13"/>
  <c r="F262" i="13"/>
  <c r="G267" i="13"/>
  <c r="E262" i="13"/>
  <c r="G265" i="13"/>
  <c r="G276" i="13"/>
  <c r="G247" i="13"/>
  <c r="G233" i="13"/>
  <c r="G223" i="13"/>
  <c r="G200" i="13"/>
  <c r="E117" i="13"/>
  <c r="E171" i="13"/>
  <c r="G171" i="13" s="1"/>
  <c r="F117" i="13"/>
  <c r="G119" i="13"/>
  <c r="F116" i="13"/>
  <c r="D117" i="13"/>
  <c r="E118" i="13"/>
  <c r="D167" i="13"/>
  <c r="G175" i="13"/>
  <c r="G170" i="13"/>
  <c r="G169" i="13"/>
  <c r="G177" i="13"/>
  <c r="F167" i="13"/>
  <c r="G172" i="13"/>
  <c r="G168" i="13"/>
  <c r="G162" i="13"/>
  <c r="G146" i="13"/>
  <c r="G152" i="13"/>
  <c r="G131" i="13"/>
  <c r="G262" i="13" l="1"/>
  <c r="G117" i="13"/>
  <c r="E167" i="13"/>
  <c r="G167" i="13" s="1"/>
  <c r="F29" i="13" l="1"/>
  <c r="D29" i="13"/>
  <c r="F104" i="13"/>
  <c r="F103" i="13"/>
  <c r="E103" i="13"/>
  <c r="F102" i="13"/>
  <c r="E102" i="13"/>
  <c r="D104" i="13"/>
  <c r="D103" i="13"/>
  <c r="D102" i="13"/>
  <c r="E101" i="13"/>
  <c r="G101" i="13" s="1"/>
  <c r="E114" i="13"/>
  <c r="G114" i="13" s="1"/>
  <c r="G113" i="13"/>
  <c r="G112" i="13"/>
  <c r="G111" i="13"/>
  <c r="F110" i="13"/>
  <c r="E110" i="13"/>
  <c r="D110" i="13"/>
  <c r="G109" i="13"/>
  <c r="F108" i="13"/>
  <c r="E108" i="13"/>
  <c r="D108" i="13"/>
  <c r="E105" i="13"/>
  <c r="G106" i="13"/>
  <c r="F105" i="13"/>
  <c r="D105" i="13"/>
  <c r="E81" i="13"/>
  <c r="G81" i="13" s="1"/>
  <c r="F90" i="13"/>
  <c r="E90" i="13"/>
  <c r="D90" i="13"/>
  <c r="G91" i="13"/>
  <c r="E87" i="13"/>
  <c r="F84" i="13"/>
  <c r="D84" i="13"/>
  <c r="F94" i="13"/>
  <c r="E94" i="13"/>
  <c r="D94" i="13"/>
  <c r="G95" i="13"/>
  <c r="G89" i="13"/>
  <c r="F88" i="13"/>
  <c r="E88" i="13"/>
  <c r="D88" i="13"/>
  <c r="E53" i="13"/>
  <c r="G53" i="13" s="1"/>
  <c r="D58" i="13"/>
  <c r="F68" i="13"/>
  <c r="E68" i="13"/>
  <c r="G74" i="13"/>
  <c r="G69" i="13"/>
  <c r="F60" i="13"/>
  <c r="D60" i="13"/>
  <c r="G64" i="13"/>
  <c r="E62" i="13"/>
  <c r="E60" i="13" s="1"/>
  <c r="F59" i="13"/>
  <c r="E59" i="13"/>
  <c r="F56" i="13"/>
  <c r="F55" i="13"/>
  <c r="D55" i="13"/>
  <c r="D54" i="13"/>
  <c r="F75" i="13"/>
  <c r="E75" i="13"/>
  <c r="G78" i="13"/>
  <c r="G77" i="13"/>
  <c r="G76" i="13"/>
  <c r="D75" i="13"/>
  <c r="D59" i="13"/>
  <c r="G67" i="13"/>
  <c r="G66" i="13"/>
  <c r="F65" i="13"/>
  <c r="E65" i="13"/>
  <c r="D65" i="13"/>
  <c r="E104" i="13" l="1"/>
  <c r="G104" i="13" s="1"/>
  <c r="G110" i="13"/>
  <c r="G108" i="13"/>
  <c r="G102" i="13"/>
  <c r="D100" i="13"/>
  <c r="F100" i="13"/>
  <c r="G105" i="13"/>
  <c r="G107" i="13"/>
  <c r="G103" i="13"/>
  <c r="G88" i="13"/>
  <c r="F52" i="13"/>
  <c r="G75" i="13"/>
  <c r="G59" i="13"/>
  <c r="G65" i="13"/>
  <c r="E100" i="13" l="1"/>
  <c r="G100" i="13" s="1"/>
  <c r="F34" i="13"/>
  <c r="E34" i="13"/>
  <c r="D34" i="13"/>
  <c r="F43" i="13"/>
  <c r="F27" i="13" s="1"/>
  <c r="E43" i="13"/>
  <c r="E27" i="13" s="1"/>
  <c r="D43" i="13"/>
  <c r="G47" i="13"/>
  <c r="E31" i="13"/>
  <c r="F35" i="13"/>
  <c r="D35" i="13"/>
  <c r="F36" i="13"/>
  <c r="D36" i="13"/>
  <c r="G40" i="13"/>
  <c r="E38" i="13"/>
  <c r="E37" i="13"/>
  <c r="F48" i="13"/>
  <c r="F28" i="13" s="1"/>
  <c r="E48" i="13"/>
  <c r="E28" i="13" s="1"/>
  <c r="D48" i="13"/>
  <c r="G49" i="13"/>
  <c r="G42" i="13"/>
  <c r="F41" i="13"/>
  <c r="F26" i="13" s="1"/>
  <c r="F20" i="13" s="1"/>
  <c r="F14" i="13" s="1"/>
  <c r="E41" i="13"/>
  <c r="E26" i="13" s="1"/>
  <c r="D41" i="13"/>
  <c r="D26" i="13" s="1"/>
  <c r="E36" i="13" l="1"/>
  <c r="E20" i="13"/>
  <c r="E14" i="13" s="1"/>
  <c r="D20" i="13"/>
  <c r="D14" i="13" s="1"/>
  <c r="D8" i="13" s="1"/>
  <c r="G31" i="13"/>
  <c r="G41" i="13"/>
  <c r="G26" i="13" l="1"/>
  <c r="D98" i="1"/>
  <c r="E89" i="1"/>
  <c r="F1767" i="13"/>
  <c r="F8" i="13" s="1"/>
  <c r="C15" i="2"/>
  <c r="C14" i="2"/>
  <c r="E12" i="1"/>
  <c r="E13" i="1"/>
  <c r="C11" i="2"/>
  <c r="E7" i="1"/>
  <c r="E8" i="1"/>
  <c r="E107" i="1"/>
  <c r="G20" i="13" l="1"/>
  <c r="G14" i="13"/>
  <c r="H23" i="2" l="1"/>
  <c r="I23" i="2" s="1"/>
  <c r="E98" i="1"/>
  <c r="D23" i="2" s="1"/>
  <c r="E23" i="2" s="1"/>
  <c r="C18" i="2"/>
  <c r="E103" i="1"/>
  <c r="C13" i="2"/>
  <c r="C12" i="2"/>
  <c r="D89" i="1" l="1"/>
  <c r="D91" i="1"/>
  <c r="D90" i="1" l="1"/>
  <c r="C13" i="4"/>
  <c r="D144" i="13" l="1"/>
  <c r="F143" i="13"/>
  <c r="F139" i="13" s="1"/>
  <c r="G22" i="2" l="1"/>
  <c r="G21" i="2"/>
  <c r="G18" i="2"/>
  <c r="G15" i="2"/>
  <c r="G14" i="2"/>
  <c r="G13" i="2"/>
  <c r="G12" i="2"/>
  <c r="G11" i="2"/>
  <c r="F1431" i="13" l="1"/>
  <c r="F1426" i="13" s="1"/>
  <c r="G1223" i="13"/>
  <c r="F1327" i="13"/>
  <c r="F1326" i="13"/>
  <c r="F1232" i="13"/>
  <c r="F1230" i="13"/>
  <c r="F1188" i="13"/>
  <c r="F1187" i="13"/>
  <c r="F1059" i="13"/>
  <c r="F1058" i="13"/>
  <c r="F193" i="13"/>
  <c r="F192" i="13"/>
  <c r="F191" i="13"/>
  <c r="F190" i="13"/>
  <c r="E1767" i="13"/>
  <c r="E8" i="13" s="1"/>
  <c r="F1766" i="13"/>
  <c r="E88" i="1" s="1"/>
  <c r="D1766" i="13"/>
  <c r="C88" i="1" s="1"/>
  <c r="D1599" i="13"/>
  <c r="F79" i="1"/>
  <c r="F78" i="1"/>
  <c r="F1727" i="13"/>
  <c r="D1727" i="13"/>
  <c r="D1744" i="13"/>
  <c r="F1696" i="13"/>
  <c r="D1702" i="13"/>
  <c r="D1696" i="13" s="1"/>
  <c r="D1726" i="13"/>
  <c r="D1725" i="13"/>
  <c r="F1706" i="13"/>
  <c r="F1705" i="13"/>
  <c r="D1706" i="13"/>
  <c r="D1705" i="13"/>
  <c r="F1707" i="13"/>
  <c r="D1707" i="13"/>
  <c r="E1750" i="13"/>
  <c r="D1729" i="13"/>
  <c r="F1728" i="13"/>
  <c r="F1644" i="13"/>
  <c r="D1650" i="13"/>
  <c r="D1644" i="13" s="1"/>
  <c r="F1716" i="13"/>
  <c r="F1700" i="13" s="1"/>
  <c r="D1709" i="13"/>
  <c r="D1708" i="13"/>
  <c r="D1662" i="13"/>
  <c r="D1674" i="13"/>
  <c r="D1670" i="13" s="1"/>
  <c r="D1654" i="13"/>
  <c r="D1653" i="13"/>
  <c r="E1675" i="13"/>
  <c r="E1650" i="13" s="1"/>
  <c r="F1649" i="13"/>
  <c r="F1643" i="13" s="1"/>
  <c r="D1657" i="13"/>
  <c r="D1655" i="13"/>
  <c r="F75" i="1"/>
  <c r="F74" i="1"/>
  <c r="F69" i="1"/>
  <c r="F68" i="1"/>
  <c r="F1605" i="13"/>
  <c r="F1604" i="13"/>
  <c r="D1604" i="13"/>
  <c r="D1611" i="13"/>
  <c r="D1605" i="13" s="1"/>
  <c r="F1620" i="13"/>
  <c r="F1598" i="13" s="1"/>
  <c r="D1620" i="13"/>
  <c r="D1598" i="13" s="1"/>
  <c r="E1623" i="13"/>
  <c r="D1615" i="13"/>
  <c r="D1597" i="13" s="1"/>
  <c r="E1602" i="13"/>
  <c r="F1615" i="13"/>
  <c r="F1597" i="13" s="1"/>
  <c r="D1606" i="13"/>
  <c r="F1603" i="13"/>
  <c r="D1603" i="13"/>
  <c r="F1602" i="13"/>
  <c r="D1602" i="13"/>
  <c r="F1510" i="13"/>
  <c r="D1510" i="13"/>
  <c r="D1526" i="13"/>
  <c r="D1521" i="13" s="1"/>
  <c r="D1517" i="13"/>
  <c r="D1552" i="13"/>
  <c r="F1511" i="13"/>
  <c r="F1508" i="13"/>
  <c r="D1509" i="13"/>
  <c r="F1521" i="13"/>
  <c r="E1578" i="13"/>
  <c r="D1573" i="13"/>
  <c r="D1504" i="13" s="1"/>
  <c r="F1569" i="13"/>
  <c r="D1569" i="13"/>
  <c r="F1564" i="13"/>
  <c r="F1501" i="13" s="1"/>
  <c r="D1564" i="13"/>
  <c r="D1563" i="13"/>
  <c r="F1562" i="13"/>
  <c r="D1562" i="13"/>
  <c r="F1561" i="13"/>
  <c r="D1561" i="13"/>
  <c r="E1558" i="13"/>
  <c r="D1539" i="13"/>
  <c r="D1537" i="13"/>
  <c r="F1536" i="13"/>
  <c r="F1535" i="13"/>
  <c r="D1535" i="13"/>
  <c r="D1534" i="13"/>
  <c r="D1533" i="13"/>
  <c r="E1530" i="13"/>
  <c r="D1512" i="13"/>
  <c r="D1508" i="13"/>
  <c r="D1505" i="13"/>
  <c r="F53" i="1"/>
  <c r="F52" i="1"/>
  <c r="D1447" i="13"/>
  <c r="D1431" i="13" s="1"/>
  <c r="D1413" i="13"/>
  <c r="D1412" i="13"/>
  <c r="D1468" i="13"/>
  <c r="D1464" i="13"/>
  <c r="F1459" i="13"/>
  <c r="F1405" i="13" s="1"/>
  <c r="D1459" i="13"/>
  <c r="D1457" i="13"/>
  <c r="D1456" i="13"/>
  <c r="E1453" i="13"/>
  <c r="D1434" i="13"/>
  <c r="D1432" i="13"/>
  <c r="D1429" i="13"/>
  <c r="D1428" i="13"/>
  <c r="E1425" i="13"/>
  <c r="D1415" i="13"/>
  <c r="D1414" i="13"/>
  <c r="D1409" i="13"/>
  <c r="D1346" i="13"/>
  <c r="D1345" i="13"/>
  <c r="D1384" i="13"/>
  <c r="D1322" i="13" s="1"/>
  <c r="D1380" i="13"/>
  <c r="F1374" i="13"/>
  <c r="F1319" i="13" s="1"/>
  <c r="D1374" i="13"/>
  <c r="F1372" i="13"/>
  <c r="F1368" i="13" s="1"/>
  <c r="D1372" i="13"/>
  <c r="D1371" i="13"/>
  <c r="D1370" i="13"/>
  <c r="E1367" i="13"/>
  <c r="D1356" i="13"/>
  <c r="D1348" i="13"/>
  <c r="D1343" i="13"/>
  <c r="D1342" i="13"/>
  <c r="E1339" i="13"/>
  <c r="F1335" i="13"/>
  <c r="F1321" i="13" s="1"/>
  <c r="D1335" i="13"/>
  <c r="D1329" i="13"/>
  <c r="D1328" i="13"/>
  <c r="D1327" i="13"/>
  <c r="D1326" i="13"/>
  <c r="D1323" i="13"/>
  <c r="D1285" i="13"/>
  <c r="D1284" i="13"/>
  <c r="F1287" i="13"/>
  <c r="D1287" i="13"/>
  <c r="F1261" i="13"/>
  <c r="D1261" i="13"/>
  <c r="D1262" i="13"/>
  <c r="D1260" i="13"/>
  <c r="D1259" i="13"/>
  <c r="F1274" i="13"/>
  <c r="F1225" i="13" s="1"/>
  <c r="D1274" i="13"/>
  <c r="F1263" i="13"/>
  <c r="D1263" i="13"/>
  <c r="G1267" i="13"/>
  <c r="D1230" i="13"/>
  <c r="D1229" i="13"/>
  <c r="F1241" i="13"/>
  <c r="F1224" i="13" s="1"/>
  <c r="D1241" i="13"/>
  <c r="D1297" i="13"/>
  <c r="D1293" i="13"/>
  <c r="D1283" i="13"/>
  <c r="E1280" i="13"/>
  <c r="E1248" i="13"/>
  <c r="D1234" i="13"/>
  <c r="D1233" i="13"/>
  <c r="D1232" i="13"/>
  <c r="D1226" i="13"/>
  <c r="D1188" i="13"/>
  <c r="F1197" i="13"/>
  <c r="D1197" i="13"/>
  <c r="F1167" i="13"/>
  <c r="F1166" i="13"/>
  <c r="D1167" i="13"/>
  <c r="D1166" i="13"/>
  <c r="F1175" i="13"/>
  <c r="D1175" i="13"/>
  <c r="D1201" i="13"/>
  <c r="D1191" i="13"/>
  <c r="D1187" i="13"/>
  <c r="E1184" i="13"/>
  <c r="D1179" i="13"/>
  <c r="D1169" i="13"/>
  <c r="D1168" i="13"/>
  <c r="E1163" i="13"/>
  <c r="D1151" i="13"/>
  <c r="D1150" i="13"/>
  <c r="F1149" i="13"/>
  <c r="D1149" i="13"/>
  <c r="D1148" i="13"/>
  <c r="D1147" i="13"/>
  <c r="D1144" i="13"/>
  <c r="D1009" i="13"/>
  <c r="F1104" i="13"/>
  <c r="D1104" i="13"/>
  <c r="F1105" i="13"/>
  <c r="D1105" i="13"/>
  <c r="F1114" i="13"/>
  <c r="D1114" i="13"/>
  <c r="D1107" i="13"/>
  <c r="F1083" i="13"/>
  <c r="D1083" i="13"/>
  <c r="F1085" i="13"/>
  <c r="F1005" i="13" s="1"/>
  <c r="D1085" i="13"/>
  <c r="D1059" i="13"/>
  <c r="D1058" i="13"/>
  <c r="D1068" i="13"/>
  <c r="D1049" i="13"/>
  <c r="D1033" i="13" s="1"/>
  <c r="F1014" i="13"/>
  <c r="F1013" i="13"/>
  <c r="F1012" i="13"/>
  <c r="D1013" i="13"/>
  <c r="D1012" i="13"/>
  <c r="F1023" i="13"/>
  <c r="D1023" i="13"/>
  <c r="E1078" i="13"/>
  <c r="D1073" i="13"/>
  <c r="D1062" i="13"/>
  <c r="D1061" i="13"/>
  <c r="E1055" i="13"/>
  <c r="D1036" i="13"/>
  <c r="D1034" i="13"/>
  <c r="D1031" i="13"/>
  <c r="D1030" i="13"/>
  <c r="D1118" i="13"/>
  <c r="F1103" i="13"/>
  <c r="D1103" i="13"/>
  <c r="E1100" i="13"/>
  <c r="D1095" i="13"/>
  <c r="D1084" i="13"/>
  <c r="D1082" i="13"/>
  <c r="D1081" i="13"/>
  <c r="E1027" i="13"/>
  <c r="D1016" i="13"/>
  <c r="D1015" i="13"/>
  <c r="D1014" i="13"/>
  <c r="D927" i="13"/>
  <c r="F972" i="13"/>
  <c r="F970" i="13" s="1"/>
  <c r="D973" i="13"/>
  <c r="D948" i="13"/>
  <c r="D931" i="13"/>
  <c r="D930" i="13"/>
  <c r="D984" i="13"/>
  <c r="D980" i="13"/>
  <c r="D925" i="13" s="1"/>
  <c r="F975" i="13"/>
  <c r="F923" i="13" s="1"/>
  <c r="D975" i="13"/>
  <c r="D972" i="13"/>
  <c r="E969" i="13"/>
  <c r="D964" i="13"/>
  <c r="D952" i="13"/>
  <c r="D951" i="13"/>
  <c r="D949" i="13"/>
  <c r="E945" i="13"/>
  <c r="D934" i="13"/>
  <c r="D933" i="13"/>
  <c r="F932" i="13"/>
  <c r="D932" i="13"/>
  <c r="F19" i="1"/>
  <c r="F18" i="1"/>
  <c r="D895" i="13"/>
  <c r="D890" i="13" s="1"/>
  <c r="D852" i="13" s="1"/>
  <c r="D858" i="13"/>
  <c r="D857" i="13"/>
  <c r="E900" i="13"/>
  <c r="F890" i="13"/>
  <c r="F852" i="13" s="1"/>
  <c r="D882" i="13"/>
  <c r="D880" i="13"/>
  <c r="F879" i="13"/>
  <c r="F878" i="13"/>
  <c r="D878" i="13"/>
  <c r="D877" i="13"/>
  <c r="D876" i="13"/>
  <c r="D861" i="13"/>
  <c r="D860" i="13"/>
  <c r="D859" i="13"/>
  <c r="D854" i="13"/>
  <c r="D828" i="13"/>
  <c r="D823" i="13" s="1"/>
  <c r="D809" i="13"/>
  <c r="D810" i="13"/>
  <c r="D811" i="13"/>
  <c r="E833" i="13"/>
  <c r="F823" i="13"/>
  <c r="D815" i="13"/>
  <c r="D813" i="13"/>
  <c r="F812" i="13"/>
  <c r="F811" i="13"/>
  <c r="E806" i="13"/>
  <c r="F802" i="13"/>
  <c r="D802" i="13"/>
  <c r="D795" i="13"/>
  <c r="D794" i="13"/>
  <c r="F793" i="13"/>
  <c r="D793" i="13"/>
  <c r="F792" i="13"/>
  <c r="D792" i="13"/>
  <c r="F791" i="13"/>
  <c r="D791" i="13"/>
  <c r="D788" i="13"/>
  <c r="D762" i="13"/>
  <c r="D757" i="13" s="1"/>
  <c r="E767" i="13"/>
  <c r="F757" i="13"/>
  <c r="G752" i="13"/>
  <c r="D749" i="13"/>
  <c r="D747" i="13"/>
  <c r="F746" i="13"/>
  <c r="F745" i="13"/>
  <c r="D745" i="13"/>
  <c r="D744" i="13"/>
  <c r="D743" i="13"/>
  <c r="E740" i="13"/>
  <c r="F736" i="13"/>
  <c r="D736" i="13"/>
  <c r="D729" i="13"/>
  <c r="D728" i="13"/>
  <c r="F727" i="13"/>
  <c r="D727" i="13"/>
  <c r="F726" i="13"/>
  <c r="D726" i="13"/>
  <c r="F725" i="13"/>
  <c r="D725" i="13"/>
  <c r="D722" i="13"/>
  <c r="F660" i="13"/>
  <c r="D660" i="13"/>
  <c r="D677" i="13"/>
  <c r="D672" i="13" s="1"/>
  <c r="D697" i="13"/>
  <c r="D636" i="13" s="1"/>
  <c r="F688" i="13"/>
  <c r="F633" i="13" s="1"/>
  <c r="D688" i="13"/>
  <c r="D686" i="13"/>
  <c r="D685" i="13"/>
  <c r="E682" i="13"/>
  <c r="F672" i="13"/>
  <c r="D664" i="13"/>
  <c r="D662" i="13"/>
  <c r="F661" i="13"/>
  <c r="D659" i="13"/>
  <c r="D658" i="13"/>
  <c r="E655" i="13"/>
  <c r="F651" i="13"/>
  <c r="D651" i="13"/>
  <c r="D644" i="13"/>
  <c r="D643" i="13"/>
  <c r="F642" i="13"/>
  <c r="D642" i="13"/>
  <c r="F641" i="13"/>
  <c r="D641" i="13"/>
  <c r="F640" i="13"/>
  <c r="D640" i="13"/>
  <c r="D637" i="13"/>
  <c r="J41" i="1"/>
  <c r="G41" i="1"/>
  <c r="J40" i="1"/>
  <c r="G40" i="1"/>
  <c r="D551" i="13"/>
  <c r="D600" i="13"/>
  <c r="D591" i="13"/>
  <c r="D575" i="13" s="1"/>
  <c r="D612" i="13"/>
  <c r="D550" i="13" s="1"/>
  <c r="F603" i="13"/>
  <c r="F547" i="13" s="1"/>
  <c r="D603" i="13"/>
  <c r="D601" i="13"/>
  <c r="E597" i="13"/>
  <c r="D578" i="13"/>
  <c r="D576" i="13"/>
  <c r="F575" i="13"/>
  <c r="F570" i="13" s="1"/>
  <c r="D573" i="13"/>
  <c r="D572" i="13"/>
  <c r="E569" i="13"/>
  <c r="F565" i="13"/>
  <c r="F549" i="13" s="1"/>
  <c r="D558" i="13"/>
  <c r="D557" i="13"/>
  <c r="F556" i="13"/>
  <c r="D556" i="13"/>
  <c r="F555" i="13"/>
  <c r="D555" i="13"/>
  <c r="F554" i="13"/>
  <c r="D554" i="13"/>
  <c r="D522" i="13"/>
  <c r="D514" i="13"/>
  <c r="F498" i="13"/>
  <c r="F497" i="13"/>
  <c r="D498" i="13"/>
  <c r="D497" i="13"/>
  <c r="F504" i="13"/>
  <c r="D504" i="13"/>
  <c r="D488" i="13"/>
  <c r="D526" i="13"/>
  <c r="F517" i="13"/>
  <c r="F444" i="13" s="1"/>
  <c r="D517" i="13"/>
  <c r="D515" i="13"/>
  <c r="E511" i="13"/>
  <c r="F507" i="13"/>
  <c r="F447" i="13" s="1"/>
  <c r="D507" i="13"/>
  <c r="D500" i="13"/>
  <c r="D499" i="13"/>
  <c r="E494" i="13"/>
  <c r="D475" i="13"/>
  <c r="D473" i="13"/>
  <c r="D470" i="13"/>
  <c r="D469" i="13"/>
  <c r="E466" i="13"/>
  <c r="F462" i="13"/>
  <c r="D462" i="13"/>
  <c r="D455" i="13"/>
  <c r="F454" i="13"/>
  <c r="D454" i="13"/>
  <c r="F453" i="13"/>
  <c r="D453" i="13"/>
  <c r="F452" i="13"/>
  <c r="D452" i="13"/>
  <c r="F451" i="13"/>
  <c r="D451" i="13"/>
  <c r="D448" i="13"/>
  <c r="D412" i="13"/>
  <c r="D411" i="13"/>
  <c r="D394" i="13"/>
  <c r="F352" i="13"/>
  <c r="F351" i="13"/>
  <c r="F350" i="13"/>
  <c r="G279" i="13" s="1"/>
  <c r="D351" i="13"/>
  <c r="D423" i="13"/>
  <c r="F414" i="13"/>
  <c r="F343" i="13" s="1"/>
  <c r="D414" i="13"/>
  <c r="E408" i="13"/>
  <c r="E396" i="13" s="1"/>
  <c r="F403" i="13"/>
  <c r="F346" i="13" s="1"/>
  <c r="D403" i="13"/>
  <c r="E395" i="13"/>
  <c r="F401" i="13"/>
  <c r="D401" i="13"/>
  <c r="D397" i="13"/>
  <c r="D396" i="13"/>
  <c r="D395" i="13"/>
  <c r="E391" i="13"/>
  <c r="D370" i="13"/>
  <c r="D373" i="13"/>
  <c r="D371" i="13"/>
  <c r="F370" i="13"/>
  <c r="F366" i="13" s="1"/>
  <c r="D369" i="13"/>
  <c r="D368" i="13"/>
  <c r="E365" i="13"/>
  <c r="F361" i="13"/>
  <c r="D361" i="13"/>
  <c r="D354" i="13"/>
  <c r="D353" i="13"/>
  <c r="D352" i="13"/>
  <c r="D350" i="13"/>
  <c r="D347" i="13"/>
  <c r="D320" i="13"/>
  <c r="F286" i="13"/>
  <c r="F285" i="13"/>
  <c r="D286" i="13"/>
  <c r="D307" i="13"/>
  <c r="D305" i="13"/>
  <c r="F304" i="13"/>
  <c r="F303" i="13"/>
  <c r="D303" i="13"/>
  <c r="D302" i="13"/>
  <c r="D301" i="13"/>
  <c r="E298" i="13"/>
  <c r="E282" i="13" s="1"/>
  <c r="G292" i="13"/>
  <c r="D294" i="13"/>
  <c r="D288" i="13"/>
  <c r="D287" i="13"/>
  <c r="D285" i="13"/>
  <c r="D231" i="13"/>
  <c r="D193" i="13"/>
  <c r="D192" i="13"/>
  <c r="F202" i="13"/>
  <c r="F185" i="13" s="1"/>
  <c r="D202" i="13"/>
  <c r="E261" i="13"/>
  <c r="D255" i="13"/>
  <c r="D249" i="13"/>
  <c r="F244" i="13"/>
  <c r="F183" i="13" s="1"/>
  <c r="D244" i="13"/>
  <c r="D243" i="13"/>
  <c r="F241" i="13"/>
  <c r="D241" i="13"/>
  <c r="F240" i="13"/>
  <c r="D240" i="13"/>
  <c r="E237" i="13"/>
  <c r="D218" i="13"/>
  <c r="D216" i="13"/>
  <c r="F215" i="13"/>
  <c r="F214" i="13"/>
  <c r="D214" i="13"/>
  <c r="D213" i="13"/>
  <c r="D212" i="13"/>
  <c r="E209" i="13"/>
  <c r="F207" i="13"/>
  <c r="F186" i="13" s="1"/>
  <c r="D207" i="13"/>
  <c r="D195" i="13"/>
  <c r="D194" i="13"/>
  <c r="D191" i="13"/>
  <c r="D190" i="13"/>
  <c r="D187" i="13"/>
  <c r="D120" i="13"/>
  <c r="D159" i="13"/>
  <c r="F125" i="13"/>
  <c r="F124" i="13"/>
  <c r="F123" i="13"/>
  <c r="D125" i="13"/>
  <c r="D124" i="13"/>
  <c r="F133" i="13"/>
  <c r="F118" i="13" s="1"/>
  <c r="D133" i="13"/>
  <c r="E166" i="13"/>
  <c r="E150" i="13"/>
  <c r="E144" i="13" s="1"/>
  <c r="D147" i="13"/>
  <c r="D145" i="13"/>
  <c r="D142" i="13"/>
  <c r="D141" i="13"/>
  <c r="E138" i="13"/>
  <c r="D127" i="13"/>
  <c r="D126" i="13"/>
  <c r="D123" i="13"/>
  <c r="D56" i="13"/>
  <c r="D73" i="13"/>
  <c r="D68" i="13" s="1"/>
  <c r="D27" i="13" s="1"/>
  <c r="E56" i="13"/>
  <c r="F83" i="13"/>
  <c r="F82" i="13"/>
  <c r="D83" i="13"/>
  <c r="D82" i="13"/>
  <c r="D28" i="13"/>
  <c r="E99" i="13"/>
  <c r="E84" i="13" s="1"/>
  <c r="F85" i="13"/>
  <c r="F25" i="13" s="1"/>
  <c r="D85" i="13"/>
  <c r="D25" i="13" s="1"/>
  <c r="E79" i="13"/>
  <c r="E58" i="13" s="1"/>
  <c r="E55" i="13"/>
  <c r="E54" i="13"/>
  <c r="F33" i="13"/>
  <c r="F32" i="13"/>
  <c r="D33" i="13"/>
  <c r="E51" i="13"/>
  <c r="D32" i="13"/>
  <c r="F1723" i="13" l="1"/>
  <c r="F1503" i="13"/>
  <c r="F1497" i="13" s="1"/>
  <c r="F1531" i="13"/>
  <c r="F1007" i="13"/>
  <c r="F1222" i="13"/>
  <c r="E61" i="1" s="1"/>
  <c r="F1185" i="13"/>
  <c r="F1142" i="13"/>
  <c r="F1101" i="13"/>
  <c r="G1006" i="13"/>
  <c r="F22" i="13"/>
  <c r="F874" i="13"/>
  <c r="F807" i="13"/>
  <c r="F786" i="13"/>
  <c r="F741" i="13"/>
  <c r="F720" i="13"/>
  <c r="F635" i="13"/>
  <c r="F656" i="13"/>
  <c r="G608" i="13"/>
  <c r="F446" i="13"/>
  <c r="F345" i="13"/>
  <c r="D409" i="13"/>
  <c r="G419" i="13"/>
  <c r="G410" i="13"/>
  <c r="E392" i="13"/>
  <c r="D343" i="13"/>
  <c r="C29" i="1" s="1"/>
  <c r="E29" i="1"/>
  <c r="F299" i="13"/>
  <c r="D278" i="13"/>
  <c r="D183" i="13"/>
  <c r="C25" i="1" s="1"/>
  <c r="F238" i="13"/>
  <c r="F210" i="13"/>
  <c r="D116" i="13"/>
  <c r="C23" i="1" s="1"/>
  <c r="F121" i="13"/>
  <c r="E120" i="13"/>
  <c r="F80" i="13"/>
  <c r="E35" i="13"/>
  <c r="E29" i="13"/>
  <c r="D80" i="13"/>
  <c r="F30" i="13"/>
  <c r="D30" i="13"/>
  <c r="D155" i="13"/>
  <c r="D118" i="13" s="1"/>
  <c r="D143" i="13"/>
  <c r="D139" i="13" s="1"/>
  <c r="G197" i="13"/>
  <c r="E191" i="13"/>
  <c r="G676" i="13"/>
  <c r="G1278" i="13"/>
  <c r="G1300" i="13"/>
  <c r="G1461" i="13"/>
  <c r="G209" i="13"/>
  <c r="E194" i="13"/>
  <c r="G257" i="13"/>
  <c r="G318" i="13"/>
  <c r="G465" i="13"/>
  <c r="G568" i="13"/>
  <c r="G1075" i="13"/>
  <c r="E1414" i="13"/>
  <c r="G1515" i="13"/>
  <c r="G1743" i="13"/>
  <c r="G97" i="13"/>
  <c r="G297" i="13"/>
  <c r="G1110" i="13"/>
  <c r="G166" i="13"/>
  <c r="G93" i="13"/>
  <c r="E643" i="13"/>
  <c r="G667" i="13"/>
  <c r="G690" i="13"/>
  <c r="G797" i="13"/>
  <c r="E859" i="13"/>
  <c r="G986" i="13"/>
  <c r="G1235" i="13"/>
  <c r="E1229" i="13"/>
  <c r="G1289" i="13"/>
  <c r="G135" i="13"/>
  <c r="G148" i="13"/>
  <c r="G220" i="13"/>
  <c r="G258" i="13"/>
  <c r="G289" i="13"/>
  <c r="G319" i="13"/>
  <c r="G383" i="13"/>
  <c r="G425" i="13"/>
  <c r="E454" i="13"/>
  <c r="E557" i="13"/>
  <c r="G581" i="13"/>
  <c r="G738" i="13"/>
  <c r="G798" i="13"/>
  <c r="G969" i="13"/>
  <c r="G987" i="13"/>
  <c r="G1039" i="13"/>
  <c r="G1076" i="13"/>
  <c r="E1188" i="13"/>
  <c r="G1236" i="13"/>
  <c r="E1230" i="13"/>
  <c r="G1337" i="13"/>
  <c r="G1470" i="13"/>
  <c r="G1523" i="13"/>
  <c r="G1622" i="13"/>
  <c r="G1718" i="13"/>
  <c r="G1750" i="13"/>
  <c r="G206" i="13"/>
  <c r="E192" i="13"/>
  <c r="G494" i="13"/>
  <c r="G1018" i="13"/>
  <c r="G1265" i="13"/>
  <c r="G357" i="13"/>
  <c r="G1181" i="13"/>
  <c r="E1148" i="13"/>
  <c r="G1618" i="13"/>
  <c r="G219" i="13"/>
  <c r="G99" i="13"/>
  <c r="G149" i="13"/>
  <c r="G261" i="13"/>
  <c r="G384" i="13"/>
  <c r="G426" i="13"/>
  <c r="G510" i="13"/>
  <c r="G506" i="13"/>
  <c r="G614" i="13"/>
  <c r="G674" i="13"/>
  <c r="G739" i="13"/>
  <c r="G884" i="13"/>
  <c r="G1078" i="13"/>
  <c r="E1061" i="13"/>
  <c r="G1170" i="13"/>
  <c r="G1237" i="13"/>
  <c r="E1232" i="13"/>
  <c r="G1266" i="13"/>
  <c r="G1338" i="13"/>
  <c r="G1375" i="13"/>
  <c r="G1471" i="13"/>
  <c r="G1524" i="13"/>
  <c r="G1516" i="13"/>
  <c r="G1608" i="13"/>
  <c r="G1767" i="13"/>
  <c r="G96" i="13"/>
  <c r="G1661" i="13"/>
  <c r="G408" i="13"/>
  <c r="G806" i="13"/>
  <c r="E1014" i="13"/>
  <c r="G1435" i="13"/>
  <c r="E1428" i="13"/>
  <c r="G204" i="13"/>
  <c r="G894" i="13"/>
  <c r="G524" i="13"/>
  <c r="G138" i="13"/>
  <c r="G150" i="13"/>
  <c r="G485" i="13"/>
  <c r="G511" i="13"/>
  <c r="G615" i="13"/>
  <c r="G699" i="13"/>
  <c r="G740" i="13"/>
  <c r="G816" i="13"/>
  <c r="G885" i="13"/>
  <c r="G1087" i="13"/>
  <c r="G1047" i="13"/>
  <c r="G1088" i="13"/>
  <c r="G1171" i="13"/>
  <c r="G1200" i="13"/>
  <c r="G1248" i="13"/>
  <c r="E1233" i="13"/>
  <c r="E1328" i="13"/>
  <c r="G1358" i="13"/>
  <c r="G1530" i="13"/>
  <c r="G1540" i="13"/>
  <c r="G1575" i="13"/>
  <c r="G1525" i="13"/>
  <c r="G1609" i="13"/>
  <c r="G1722" i="13"/>
  <c r="G1768" i="13"/>
  <c r="G246" i="13"/>
  <c r="E1346" i="13"/>
  <c r="G1578" i="13"/>
  <c r="E214" i="13"/>
  <c r="G646" i="13"/>
  <c r="G1299" i="13"/>
  <c r="G63" i="13"/>
  <c r="E287" i="13"/>
  <c r="G1279" i="13"/>
  <c r="G528" i="13"/>
  <c r="E1345" i="13"/>
  <c r="G1325" i="13" s="1"/>
  <c r="G50" i="13"/>
  <c r="G196" i="13"/>
  <c r="E190" i="13"/>
  <c r="G228" i="13"/>
  <c r="G355" i="13"/>
  <c r="G391" i="13"/>
  <c r="G405" i="13"/>
  <c r="G486" i="13"/>
  <c r="G589" i="13"/>
  <c r="G682" i="13"/>
  <c r="G700" i="13"/>
  <c r="G804" i="13"/>
  <c r="G1017" i="13"/>
  <c r="G1120" i="13"/>
  <c r="G1055" i="13"/>
  <c r="G1264" i="13"/>
  <c r="G1377" i="13"/>
  <c r="G1541" i="13"/>
  <c r="G1576" i="13"/>
  <c r="G1660" i="13"/>
  <c r="G1769" i="13"/>
  <c r="G406" i="13"/>
  <c r="G1203" i="13"/>
  <c r="G1152" i="13"/>
  <c r="G237" i="13"/>
  <c r="G457" i="13"/>
  <c r="G1098" i="13"/>
  <c r="G1436" i="13"/>
  <c r="E1429" i="13"/>
  <c r="G231" i="13"/>
  <c r="G900" i="13"/>
  <c r="G954" i="13"/>
  <c r="G1100" i="13"/>
  <c r="G1071" i="13"/>
  <c r="G1675" i="13"/>
  <c r="G296" i="13"/>
  <c r="G597" i="13"/>
  <c r="G645" i="13"/>
  <c r="G818" i="13"/>
  <c r="G1121" i="13"/>
  <c r="G1290" i="13"/>
  <c r="G308" i="13"/>
  <c r="G953" i="13"/>
  <c r="G1070" i="13"/>
  <c r="G1673" i="13"/>
  <c r="G71" i="13"/>
  <c r="G87" i="13"/>
  <c r="G310" i="13"/>
  <c r="G363" i="13"/>
  <c r="G374" i="13"/>
  <c r="G731" i="13"/>
  <c r="G761" i="13"/>
  <c r="G827" i="13"/>
  <c r="G936" i="13"/>
  <c r="G982" i="13"/>
  <c r="E1059" i="13"/>
  <c r="G1117" i="13"/>
  <c r="G1177" i="13"/>
  <c r="E1326" i="13"/>
  <c r="G1551" i="13"/>
  <c r="G1710" i="13"/>
  <c r="G1742" i="13"/>
  <c r="E1187" i="13"/>
  <c r="G229" i="13"/>
  <c r="G805" i="13"/>
  <c r="E193" i="13"/>
  <c r="G559" i="13"/>
  <c r="G893" i="13"/>
  <c r="G1097" i="13"/>
  <c r="G1204" i="13"/>
  <c r="G1276" i="13"/>
  <c r="G1460" i="13"/>
  <c r="G37" i="13"/>
  <c r="G825" i="13"/>
  <c r="G1549" i="13"/>
  <c r="G70" i="13"/>
  <c r="E453" i="13"/>
  <c r="G935" i="13"/>
  <c r="G1063" i="13"/>
  <c r="E1058" i="13"/>
  <c r="G1619" i="13"/>
  <c r="G79" i="13"/>
  <c r="G364" i="13"/>
  <c r="G399" i="13"/>
  <c r="G416" i="13"/>
  <c r="G502" i="13"/>
  <c r="G604" i="13"/>
  <c r="G653" i="13"/>
  <c r="G732" i="13"/>
  <c r="G767" i="13"/>
  <c r="E813" i="13"/>
  <c r="G862" i="13"/>
  <c r="E932" i="13"/>
  <c r="G1178" i="13"/>
  <c r="G1243" i="13"/>
  <c r="G1331" i="13"/>
  <c r="E1327" i="13"/>
  <c r="G1349" i="13"/>
  <c r="G1386" i="13"/>
  <c r="E1412" i="13"/>
  <c r="G1445" i="13"/>
  <c r="G1558" i="13"/>
  <c r="G1623" i="13"/>
  <c r="G977" i="13"/>
  <c r="E1015" i="13"/>
  <c r="G1277" i="13"/>
  <c r="G38" i="13"/>
  <c r="G205" i="13"/>
  <c r="G251" i="13"/>
  <c r="E556" i="13"/>
  <c r="G730" i="13"/>
  <c r="G760" i="13"/>
  <c r="G826" i="13"/>
  <c r="G1025" i="13"/>
  <c r="E1168" i="13"/>
  <c r="G1550" i="13"/>
  <c r="G1566" i="13"/>
  <c r="G1741" i="13"/>
  <c r="G45" i="13"/>
  <c r="G92" i="13"/>
  <c r="E207" i="13"/>
  <c r="E186" i="13" s="1"/>
  <c r="E22" i="13" s="1"/>
  <c r="E353" i="13"/>
  <c r="G464" i="13"/>
  <c r="G529" i="13"/>
  <c r="G567" i="13"/>
  <c r="G654" i="13"/>
  <c r="G666" i="13"/>
  <c r="G689" i="13"/>
  <c r="G796" i="13"/>
  <c r="G863" i="13"/>
  <c r="G945" i="13"/>
  <c r="G967" i="13"/>
  <c r="G1108" i="13"/>
  <c r="G1037" i="13"/>
  <c r="G1288" i="13"/>
  <c r="G1244" i="13"/>
  <c r="G1350" i="13"/>
  <c r="G1387" i="13"/>
  <c r="E1413" i="13"/>
  <c r="G1453" i="13"/>
  <c r="E1432" i="13"/>
  <c r="G1411" i="13" s="1"/>
  <c r="G1514" i="13"/>
  <c r="G1571" i="13"/>
  <c r="F66" i="1"/>
  <c r="F67" i="1"/>
  <c r="E81" i="1"/>
  <c r="E79" i="1" s="1"/>
  <c r="E1727" i="13"/>
  <c r="F1498" i="13"/>
  <c r="F1492" i="13" s="1"/>
  <c r="F1499" i="13"/>
  <c r="F1493" i="13" s="1"/>
  <c r="D1739" i="13"/>
  <c r="E1766" i="13"/>
  <c r="E1725" i="13"/>
  <c r="F1694" i="13"/>
  <c r="E1599" i="13"/>
  <c r="E1726" i="13"/>
  <c r="E1702" i="13"/>
  <c r="E1705" i="13"/>
  <c r="E1706" i="13"/>
  <c r="E1729" i="13"/>
  <c r="D1728" i="13"/>
  <c r="D1723" i="13" s="1"/>
  <c r="D1656" i="13"/>
  <c r="D1651" i="13" s="1"/>
  <c r="D1731" i="13"/>
  <c r="G1711" i="13"/>
  <c r="G1744" i="13"/>
  <c r="G1732" i="13"/>
  <c r="G1733" i="13"/>
  <c r="F1651" i="13"/>
  <c r="D1716" i="13"/>
  <c r="D1513" i="13"/>
  <c r="D1501" i="13" s="1"/>
  <c r="G1719" i="13"/>
  <c r="F1703" i="13"/>
  <c r="D1703" i="13"/>
  <c r="D1499" i="13"/>
  <c r="D1493" i="13" s="1"/>
  <c r="E1654" i="13"/>
  <c r="E1655" i="13"/>
  <c r="D1649" i="13"/>
  <c r="D1643" i="13" s="1"/>
  <c r="D1498" i="13"/>
  <c r="E1657" i="13"/>
  <c r="E1604" i="13"/>
  <c r="E1658" i="13"/>
  <c r="E1646" i="13" s="1"/>
  <c r="E1653" i="13"/>
  <c r="D1607" i="13"/>
  <c r="D1595" i="13" s="1"/>
  <c r="G1662" i="13"/>
  <c r="G1659" i="13"/>
  <c r="D1658" i="13"/>
  <c r="E1606" i="13"/>
  <c r="F17" i="1"/>
  <c r="F1600" i="13"/>
  <c r="E1510" i="13"/>
  <c r="D1600" i="13"/>
  <c r="G1610" i="13"/>
  <c r="G1617" i="13"/>
  <c r="E1603" i="13"/>
  <c r="E1505" i="13"/>
  <c r="D1511" i="13"/>
  <c r="D1506" i="13" s="1"/>
  <c r="E1509" i="13"/>
  <c r="E43" i="1"/>
  <c r="E1508" i="13"/>
  <c r="E1512" i="13"/>
  <c r="E1564" i="13"/>
  <c r="E39" i="1"/>
  <c r="D921" i="13"/>
  <c r="F921" i="13"/>
  <c r="E788" i="13"/>
  <c r="E1534" i="13"/>
  <c r="E1563" i="13"/>
  <c r="G1532" i="13" s="1"/>
  <c r="E37" i="1"/>
  <c r="E1535" i="13"/>
  <c r="E65" i="1"/>
  <c r="E722" i="13"/>
  <c r="E854" i="13"/>
  <c r="E1537" i="13"/>
  <c r="G1517" i="13"/>
  <c r="D1559" i="13"/>
  <c r="E1513" i="13"/>
  <c r="F1559" i="13"/>
  <c r="E1539" i="13"/>
  <c r="G1542" i="13"/>
  <c r="F1506" i="13"/>
  <c r="E1562" i="13"/>
  <c r="G1572" i="13"/>
  <c r="D1536" i="13"/>
  <c r="D1531" i="13" s="1"/>
  <c r="D1547" i="13"/>
  <c r="D1503" i="13" s="1"/>
  <c r="E1533" i="13"/>
  <c r="G1565" i="13"/>
  <c r="E1561" i="13"/>
  <c r="F16" i="1"/>
  <c r="D1442" i="13"/>
  <c r="D1407" i="13" s="1"/>
  <c r="D1321" i="13"/>
  <c r="E1459" i="13"/>
  <c r="E1457" i="13"/>
  <c r="D1410" i="13"/>
  <c r="G1437" i="13"/>
  <c r="E1434" i="13"/>
  <c r="D1454" i="13"/>
  <c r="D1368" i="13"/>
  <c r="F1410" i="13"/>
  <c r="E1456" i="13"/>
  <c r="D1405" i="13"/>
  <c r="C65" i="1" s="1"/>
  <c r="D1426" i="13"/>
  <c r="G1417" i="13"/>
  <c r="E1415" i="13"/>
  <c r="E1409" i="13"/>
  <c r="G1416" i="13"/>
  <c r="G1425" i="13"/>
  <c r="G1444" i="13"/>
  <c r="G1466" i="13"/>
  <c r="E1371" i="13"/>
  <c r="E1285" i="13"/>
  <c r="G1367" i="13"/>
  <c r="D1281" i="13"/>
  <c r="D1340" i="13"/>
  <c r="E1342" i="13"/>
  <c r="G1376" i="13"/>
  <c r="E1226" i="13"/>
  <c r="G1363" i="13"/>
  <c r="E1323" i="13"/>
  <c r="E1329" i="13"/>
  <c r="E1370" i="13"/>
  <c r="E1374" i="13"/>
  <c r="D1324" i="13"/>
  <c r="G1330" i="13"/>
  <c r="D1319" i="13"/>
  <c r="C63" i="1" s="1"/>
  <c r="G1359" i="13"/>
  <c r="G1382" i="13"/>
  <c r="E63" i="1"/>
  <c r="E1343" i="13"/>
  <c r="E1348" i="13"/>
  <c r="F1324" i="13"/>
  <c r="G1339" i="13"/>
  <c r="E1372" i="13"/>
  <c r="G1351" i="13"/>
  <c r="E1284" i="13"/>
  <c r="E1287" i="13"/>
  <c r="E1262" i="13"/>
  <c r="E1261" i="13"/>
  <c r="D1142" i="13"/>
  <c r="E1260" i="13"/>
  <c r="E1259" i="13"/>
  <c r="G1280" i="13"/>
  <c r="E1263" i="13"/>
  <c r="G1295" i="13"/>
  <c r="D1225" i="13"/>
  <c r="D1143" i="13"/>
  <c r="D1257" i="13"/>
  <c r="D1222" i="13"/>
  <c r="C61" i="1" s="1"/>
  <c r="D1227" i="13"/>
  <c r="E1234" i="13"/>
  <c r="F1257" i="13"/>
  <c r="F1227" i="13"/>
  <c r="E1283" i="13"/>
  <c r="D1005" i="13"/>
  <c r="C57" i="1" s="1"/>
  <c r="D1185" i="13"/>
  <c r="E1166" i="13"/>
  <c r="E57" i="1"/>
  <c r="F1164" i="13"/>
  <c r="E1105" i="13"/>
  <c r="E1167" i="13"/>
  <c r="G1182" i="13"/>
  <c r="D1101" i="13"/>
  <c r="E1104" i="13"/>
  <c r="E1144" i="13"/>
  <c r="D1164" i="13"/>
  <c r="D1008" i="13"/>
  <c r="E1150" i="13"/>
  <c r="D1145" i="13"/>
  <c r="G1153" i="13"/>
  <c r="E1151" i="13"/>
  <c r="D1140" i="13"/>
  <c r="E1147" i="13"/>
  <c r="G1192" i="13"/>
  <c r="E1149" i="13"/>
  <c r="E1169" i="13"/>
  <c r="F1145" i="13"/>
  <c r="G1154" i="13"/>
  <c r="G1184" i="13"/>
  <c r="G1163" i="13"/>
  <c r="G1199" i="13"/>
  <c r="G1193" i="13"/>
  <c r="E1009" i="13"/>
  <c r="E1083" i="13"/>
  <c r="E1107" i="13"/>
  <c r="E1085" i="13"/>
  <c r="E1031" i="13"/>
  <c r="D1044" i="13"/>
  <c r="D1007" i="13" s="1"/>
  <c r="E1012" i="13"/>
  <c r="G1026" i="13"/>
  <c r="D926" i="13"/>
  <c r="E1013" i="13"/>
  <c r="D1056" i="13"/>
  <c r="E1030" i="13"/>
  <c r="F926" i="13"/>
  <c r="E1034" i="13"/>
  <c r="E1103" i="13"/>
  <c r="D1028" i="13"/>
  <c r="F23" i="13"/>
  <c r="E972" i="13"/>
  <c r="F1056" i="13"/>
  <c r="E1062" i="13"/>
  <c r="G1064" i="13"/>
  <c r="E1036" i="13"/>
  <c r="F1010" i="13"/>
  <c r="G1046" i="13"/>
  <c r="G1038" i="13"/>
  <c r="G1109" i="13"/>
  <c r="E927" i="13"/>
  <c r="E973" i="13"/>
  <c r="D1079" i="13"/>
  <c r="E1082" i="13"/>
  <c r="F1079" i="13"/>
  <c r="D1010" i="13"/>
  <c r="G1019" i="13"/>
  <c r="G1086" i="13"/>
  <c r="G1027" i="13"/>
  <c r="G1116" i="13"/>
  <c r="E1016" i="13"/>
  <c r="E1084" i="13"/>
  <c r="E1081" i="13"/>
  <c r="E975" i="13"/>
  <c r="E793" i="13"/>
  <c r="E948" i="13"/>
  <c r="E810" i="13"/>
  <c r="F946" i="13"/>
  <c r="E933" i="13"/>
  <c r="E930" i="13"/>
  <c r="E931" i="13"/>
  <c r="D923" i="13"/>
  <c r="D970" i="13"/>
  <c r="F855" i="13"/>
  <c r="E949" i="13"/>
  <c r="E951" i="13"/>
  <c r="G937" i="13"/>
  <c r="E934" i="13"/>
  <c r="D928" i="13"/>
  <c r="G966" i="13"/>
  <c r="F928" i="13"/>
  <c r="D946" i="13"/>
  <c r="E952" i="13"/>
  <c r="G976" i="13"/>
  <c r="E876" i="13"/>
  <c r="D23" i="13"/>
  <c r="D718" i="13"/>
  <c r="C37" i="1" s="1"/>
  <c r="F723" i="13"/>
  <c r="D855" i="13"/>
  <c r="E794" i="13"/>
  <c r="E576" i="13"/>
  <c r="E743" i="13"/>
  <c r="E857" i="13"/>
  <c r="E858" i="13"/>
  <c r="E744" i="13"/>
  <c r="D850" i="13"/>
  <c r="C43" i="1" s="1"/>
  <c r="D784" i="13"/>
  <c r="C39" i="1" s="1"/>
  <c r="E573" i="13"/>
  <c r="E811" i="13"/>
  <c r="E601" i="13"/>
  <c r="G883" i="13"/>
  <c r="D586" i="13"/>
  <c r="D549" i="13" s="1"/>
  <c r="E860" i="13"/>
  <c r="D746" i="13"/>
  <c r="D741" i="13" s="1"/>
  <c r="G864" i="13"/>
  <c r="E861" i="13"/>
  <c r="E878" i="13"/>
  <c r="E882" i="13"/>
  <c r="G892" i="13"/>
  <c r="D879" i="13"/>
  <c r="D874" i="13" s="1"/>
  <c r="E877" i="13"/>
  <c r="E880" i="13"/>
  <c r="G833" i="13"/>
  <c r="D812" i="13"/>
  <c r="D807" i="13" s="1"/>
  <c r="E815" i="13"/>
  <c r="D789" i="13"/>
  <c r="E792" i="13"/>
  <c r="E791" i="13"/>
  <c r="E795" i="13"/>
  <c r="D786" i="13"/>
  <c r="G817" i="13"/>
  <c r="F789" i="13"/>
  <c r="E809" i="13"/>
  <c r="K40" i="1"/>
  <c r="E729" i="13"/>
  <c r="E660" i="13"/>
  <c r="E726" i="13"/>
  <c r="E747" i="13"/>
  <c r="D720" i="13"/>
  <c r="E728" i="13"/>
  <c r="E727" i="13"/>
  <c r="D723" i="13"/>
  <c r="G750" i="13"/>
  <c r="E725" i="13"/>
  <c r="E745" i="13"/>
  <c r="E749" i="13"/>
  <c r="G759" i="13"/>
  <c r="G751" i="13"/>
  <c r="E31" i="1"/>
  <c r="E33" i="1"/>
  <c r="E600" i="13"/>
  <c r="E551" i="13"/>
  <c r="E35" i="1"/>
  <c r="D547" i="13"/>
  <c r="C33" i="1" s="1"/>
  <c r="F638" i="13"/>
  <c r="G606" i="13"/>
  <c r="E641" i="13"/>
  <c r="G691" i="13"/>
  <c r="G649" i="13"/>
  <c r="D661" i="13"/>
  <c r="D656" i="13" s="1"/>
  <c r="E640" i="13"/>
  <c r="G655" i="13"/>
  <c r="E644" i="13"/>
  <c r="E555" i="13"/>
  <c r="E637" i="13"/>
  <c r="D683" i="13"/>
  <c r="E662" i="13"/>
  <c r="D635" i="13"/>
  <c r="E658" i="13"/>
  <c r="D633" i="13"/>
  <c r="D638" i="13"/>
  <c r="E685" i="13"/>
  <c r="E686" i="13"/>
  <c r="E688" i="13"/>
  <c r="E642" i="13"/>
  <c r="E659" i="13"/>
  <c r="E664" i="13"/>
  <c r="G647" i="13"/>
  <c r="G665" i="13"/>
  <c r="G675" i="13"/>
  <c r="K41" i="1"/>
  <c r="G605" i="13"/>
  <c r="F552" i="13"/>
  <c r="E514" i="13"/>
  <c r="D598" i="13"/>
  <c r="E558" i="13"/>
  <c r="G569" i="13"/>
  <c r="G560" i="13"/>
  <c r="E448" i="13"/>
  <c r="G588" i="13"/>
  <c r="E578" i="13"/>
  <c r="D570" i="13"/>
  <c r="G580" i="13"/>
  <c r="E572" i="13"/>
  <c r="D552" i="13"/>
  <c r="E554" i="13"/>
  <c r="G561" i="13"/>
  <c r="G579" i="13"/>
  <c r="E603" i="13"/>
  <c r="E411" i="13"/>
  <c r="E469" i="13"/>
  <c r="E504" i="13"/>
  <c r="E446" i="13" s="1"/>
  <c r="E515" i="13"/>
  <c r="D483" i="13"/>
  <c r="D446" i="13" s="1"/>
  <c r="G505" i="13"/>
  <c r="E499" i="13"/>
  <c r="E495" i="13" s="1"/>
  <c r="F495" i="13"/>
  <c r="F449" i="13"/>
  <c r="D447" i="13"/>
  <c r="D346" i="13"/>
  <c r="D512" i="13"/>
  <c r="E451" i="13"/>
  <c r="D495" i="13"/>
  <c r="D472" i="13"/>
  <c r="D467" i="13" s="1"/>
  <c r="E472" i="13"/>
  <c r="G476" i="13"/>
  <c r="D444" i="13"/>
  <c r="C31" i="1" s="1"/>
  <c r="D449" i="13"/>
  <c r="G458" i="13"/>
  <c r="E452" i="13"/>
  <c r="E455" i="13"/>
  <c r="G477" i="13"/>
  <c r="G488" i="13"/>
  <c r="G501" i="13"/>
  <c r="G518" i="13"/>
  <c r="E473" i="13"/>
  <c r="G478" i="13"/>
  <c r="G509" i="13"/>
  <c r="G519" i="13"/>
  <c r="G456" i="13"/>
  <c r="E470" i="13"/>
  <c r="G466" i="13"/>
  <c r="E517" i="13"/>
  <c r="E412" i="13"/>
  <c r="E347" i="13"/>
  <c r="F348" i="13"/>
  <c r="E350" i="13"/>
  <c r="E351" i="13"/>
  <c r="G367" i="13"/>
  <c r="G417" i="13"/>
  <c r="E352" i="13"/>
  <c r="E371" i="13"/>
  <c r="E397" i="13"/>
  <c r="E369" i="13"/>
  <c r="G375" i="13"/>
  <c r="D315" i="13"/>
  <c r="D280" i="13" s="1"/>
  <c r="E286" i="13"/>
  <c r="D304" i="13"/>
  <c r="D299" i="13" s="1"/>
  <c r="E401" i="13"/>
  <c r="E345" i="13" s="1"/>
  <c r="D392" i="13"/>
  <c r="E414" i="13"/>
  <c r="E354" i="13"/>
  <c r="D348" i="13"/>
  <c r="G415" i="13"/>
  <c r="D366" i="13"/>
  <c r="G402" i="13"/>
  <c r="G376" i="13"/>
  <c r="D381" i="13"/>
  <c r="D345" i="13" s="1"/>
  <c r="G398" i="13"/>
  <c r="G365" i="13"/>
  <c r="E373" i="13"/>
  <c r="G356" i="13"/>
  <c r="E368" i="13"/>
  <c r="E285" i="13"/>
  <c r="E301" i="13"/>
  <c r="E305" i="13"/>
  <c r="E123" i="13"/>
  <c r="E302" i="13"/>
  <c r="G309" i="13"/>
  <c r="E307" i="13"/>
  <c r="E288" i="13"/>
  <c r="E303" i="13"/>
  <c r="F283" i="13"/>
  <c r="D283" i="13"/>
  <c r="G320" i="13"/>
  <c r="E304" i="13"/>
  <c r="G298" i="13"/>
  <c r="G317" i="13"/>
  <c r="G290" i="13"/>
  <c r="F188" i="13"/>
  <c r="E213" i="13"/>
  <c r="E23" i="1"/>
  <c r="D188" i="13"/>
  <c r="E244" i="13"/>
  <c r="D238" i="13"/>
  <c r="E216" i="13"/>
  <c r="G230" i="13"/>
  <c r="E243" i="13"/>
  <c r="E218" i="13"/>
  <c r="E124" i="13"/>
  <c r="D186" i="13"/>
  <c r="G198" i="13"/>
  <c r="G252" i="13"/>
  <c r="G208" i="13"/>
  <c r="G221" i="13"/>
  <c r="D226" i="13"/>
  <c r="D185" i="13" s="1"/>
  <c r="E241" i="13"/>
  <c r="G245" i="13"/>
  <c r="E187" i="13"/>
  <c r="E195" i="13"/>
  <c r="G211" i="13"/>
  <c r="E25" i="1"/>
  <c r="D215" i="13"/>
  <c r="D210" i="13" s="1"/>
  <c r="E212" i="13"/>
  <c r="E215" i="13"/>
  <c r="E240" i="13"/>
  <c r="G137" i="13"/>
  <c r="E145" i="13"/>
  <c r="D121" i="13"/>
  <c r="E142" i="13"/>
  <c r="E126" i="13"/>
  <c r="G72" i="13"/>
  <c r="E147" i="13"/>
  <c r="E127" i="13"/>
  <c r="G128" i="13"/>
  <c r="G136" i="13"/>
  <c r="G157" i="13"/>
  <c r="G129" i="13"/>
  <c r="G158" i="13"/>
  <c r="E143" i="13"/>
  <c r="G143" i="13" s="1"/>
  <c r="E82" i="13"/>
  <c r="E83" i="13"/>
  <c r="D57" i="13"/>
  <c r="D52" i="13" s="1"/>
  <c r="E85" i="13"/>
  <c r="E25" i="13" s="1"/>
  <c r="G86" i="13"/>
  <c r="E57" i="13"/>
  <c r="E52" i="13" s="1"/>
  <c r="E33" i="13"/>
  <c r="G51" i="13"/>
  <c r="E32" i="13"/>
  <c r="G61" i="13"/>
  <c r="G62" i="13"/>
  <c r="G46" i="13"/>
  <c r="G39" i="13"/>
  <c r="F1491" i="13" l="1"/>
  <c r="E1559" i="13"/>
  <c r="E1501" i="13"/>
  <c r="E1405" i="13"/>
  <c r="E1454" i="13"/>
  <c r="E1410" i="13"/>
  <c r="E1319" i="13"/>
  <c r="E1368" i="13"/>
  <c r="E1324" i="13"/>
  <c r="E1340" i="13"/>
  <c r="E1005" i="13"/>
  <c r="E1222" i="13"/>
  <c r="E1281" i="13"/>
  <c r="E1185" i="13"/>
  <c r="E1257" i="13"/>
  <c r="E1227" i="13"/>
  <c r="E1140" i="13"/>
  <c r="E1164" i="13"/>
  <c r="E1145" i="13"/>
  <c r="E1101" i="13"/>
  <c r="E59" i="1"/>
  <c r="G1106" i="13"/>
  <c r="E1079" i="13"/>
  <c r="E1056" i="13"/>
  <c r="E1010" i="13"/>
  <c r="E923" i="13"/>
  <c r="E970" i="13"/>
  <c r="E946" i="13"/>
  <c r="E850" i="13"/>
  <c r="E928" i="13"/>
  <c r="E855" i="13"/>
  <c r="E784" i="13"/>
  <c r="E718" i="13"/>
  <c r="E789" i="13"/>
  <c r="E723" i="13"/>
  <c r="E683" i="13"/>
  <c r="E633" i="13"/>
  <c r="E638" i="13"/>
  <c r="E547" i="13"/>
  <c r="E598" i="13"/>
  <c r="E552" i="13"/>
  <c r="E444" i="13"/>
  <c r="E512" i="13"/>
  <c r="E467" i="13"/>
  <c r="E343" i="13"/>
  <c r="G343" i="13" s="1"/>
  <c r="E409" i="13"/>
  <c r="E348" i="13"/>
  <c r="E278" i="13"/>
  <c r="G281" i="13"/>
  <c r="E299" i="13"/>
  <c r="D342" i="13"/>
  <c r="C28" i="1" s="1"/>
  <c r="F342" i="13"/>
  <c r="E28" i="1" s="1"/>
  <c r="E283" i="13"/>
  <c r="E238" i="13"/>
  <c r="C27" i="1"/>
  <c r="D277" i="13"/>
  <c r="C26" i="1" s="1"/>
  <c r="E27" i="1"/>
  <c r="F277" i="13"/>
  <c r="E183" i="13"/>
  <c r="E210" i="13"/>
  <c r="E116" i="13"/>
  <c r="E188" i="13"/>
  <c r="E121" i="13"/>
  <c r="E139" i="13"/>
  <c r="G139" i="13" s="1"/>
  <c r="E80" i="13"/>
  <c r="F24" i="13"/>
  <c r="D24" i="13"/>
  <c r="C20" i="1" s="1"/>
  <c r="E30" i="13"/>
  <c r="F15" i="1"/>
  <c r="G1188" i="13"/>
  <c r="G1346" i="13"/>
  <c r="G1168" i="13"/>
  <c r="G643" i="13"/>
  <c r="G191" i="13"/>
  <c r="G194" i="13"/>
  <c r="G1014" i="13"/>
  <c r="G1059" i="13"/>
  <c r="G932" i="13"/>
  <c r="G214" i="13"/>
  <c r="G556" i="13"/>
  <c r="G56" i="13"/>
  <c r="G192" i="13"/>
  <c r="G190" i="13"/>
  <c r="G1429" i="13"/>
  <c r="G454" i="13"/>
  <c r="G1230" i="13"/>
  <c r="G1015" i="13"/>
  <c r="G207" i="13"/>
  <c r="G287" i="13"/>
  <c r="G1413" i="13"/>
  <c r="G1766" i="13"/>
  <c r="G1345" i="13"/>
  <c r="G1327" i="13"/>
  <c r="G1380" i="13"/>
  <c r="G1464" i="13"/>
  <c r="G1229" i="13"/>
  <c r="G1432" i="13"/>
  <c r="G35" i="13"/>
  <c r="G353" i="13"/>
  <c r="G1326" i="13"/>
  <c r="G557" i="13"/>
  <c r="G813" i="13"/>
  <c r="G1233" i="13"/>
  <c r="G859" i="13"/>
  <c r="G125" i="13"/>
  <c r="G1414" i="13"/>
  <c r="G1606" i="13"/>
  <c r="G578" i="13"/>
  <c r="G949" i="13"/>
  <c r="G1447" i="13"/>
  <c r="G685" i="13"/>
  <c r="G975" i="13"/>
  <c r="G1105" i="13"/>
  <c r="E1696" i="13"/>
  <c r="G32" i="13"/>
  <c r="G58" i="13"/>
  <c r="G255" i="13"/>
  <c r="G124" i="13"/>
  <c r="G202" i="13"/>
  <c r="G301" i="13"/>
  <c r="G472" i="13"/>
  <c r="G522" i="13"/>
  <c r="G551" i="13"/>
  <c r="G727" i="13"/>
  <c r="G877" i="13"/>
  <c r="G973" i="13"/>
  <c r="G1061" i="13"/>
  <c r="G1107" i="13"/>
  <c r="G1169" i="13"/>
  <c r="G1232" i="13"/>
  <c r="G1262" i="13"/>
  <c r="G1226" i="13"/>
  <c r="G1409" i="13"/>
  <c r="G1434" i="13"/>
  <c r="G1564" i="13"/>
  <c r="G1726" i="13"/>
  <c r="E1431" i="13"/>
  <c r="E1426" i="13" s="1"/>
  <c r="G876" i="13"/>
  <c r="G1329" i="13"/>
  <c r="G809" i="13"/>
  <c r="G1068" i="13"/>
  <c r="G60" i="13"/>
  <c r="G483" i="13"/>
  <c r="G858" i="13"/>
  <c r="G1095" i="13"/>
  <c r="G1085" i="13"/>
  <c r="G1261" i="13"/>
  <c r="G1535" i="13"/>
  <c r="G1603" i="13"/>
  <c r="E1644" i="13"/>
  <c r="G126" i="13"/>
  <c r="G218" i="13"/>
  <c r="G315" i="13"/>
  <c r="G423" i="13"/>
  <c r="G517" i="13"/>
  <c r="G603" i="13"/>
  <c r="G448" i="13"/>
  <c r="G640" i="13"/>
  <c r="G728" i="13"/>
  <c r="G601" i="13"/>
  <c r="G743" i="13"/>
  <c r="G1084" i="13"/>
  <c r="G1083" i="13"/>
  <c r="G1149" i="13"/>
  <c r="G1287" i="13"/>
  <c r="G1328" i="13"/>
  <c r="G1563" i="13"/>
  <c r="G1602" i="13"/>
  <c r="G1706" i="13"/>
  <c r="G860" i="13"/>
  <c r="G249" i="13"/>
  <c r="G1708" i="13"/>
  <c r="G83" i="13"/>
  <c r="G215" i="13"/>
  <c r="G243" i="13"/>
  <c r="G394" i="13"/>
  <c r="G470" i="13"/>
  <c r="G453" i="13"/>
  <c r="G500" i="13"/>
  <c r="G498" i="13"/>
  <c r="G658" i="13"/>
  <c r="G747" i="13"/>
  <c r="G791" i="13"/>
  <c r="G811" i="13"/>
  <c r="G576" i="13"/>
  <c r="G1009" i="13"/>
  <c r="G1147" i="13"/>
  <c r="G1104" i="13"/>
  <c r="G1653" i="13"/>
  <c r="G1734" i="13"/>
  <c r="G1725" i="13"/>
  <c r="G347" i="13"/>
  <c r="G744" i="13"/>
  <c r="G722" i="13"/>
  <c r="G94" i="13"/>
  <c r="G241" i="13"/>
  <c r="G396" i="13"/>
  <c r="G591" i="13"/>
  <c r="G1284" i="13"/>
  <c r="G1512" i="13"/>
  <c r="G213" i="13"/>
  <c r="G414" i="13"/>
  <c r="G369" i="13"/>
  <c r="G395" i="13"/>
  <c r="G651" i="13"/>
  <c r="G792" i="13"/>
  <c r="G882" i="13"/>
  <c r="G573" i="13"/>
  <c r="G794" i="13"/>
  <c r="G930" i="13"/>
  <c r="G1372" i="13"/>
  <c r="G788" i="13"/>
  <c r="G1510" i="13"/>
  <c r="G1646" i="13"/>
  <c r="D88" i="1"/>
  <c r="G55" i="13"/>
  <c r="G120" i="13"/>
  <c r="G244" i="13"/>
  <c r="E370" i="13"/>
  <c r="E366" i="13" s="1"/>
  <c r="G475" i="13"/>
  <c r="G526" i="13"/>
  <c r="G555" i="13"/>
  <c r="G948" i="13"/>
  <c r="G1062" i="13"/>
  <c r="G1034" i="13"/>
  <c r="G1031" i="13"/>
  <c r="G1655" i="13"/>
  <c r="G123" i="13"/>
  <c r="G371" i="13"/>
  <c r="G507" i="13"/>
  <c r="G686" i="13"/>
  <c r="G890" i="13"/>
  <c r="G793" i="13"/>
  <c r="E1605" i="13"/>
  <c r="E1600" i="13" s="1"/>
  <c r="G1654" i="13"/>
  <c r="G305" i="13"/>
  <c r="G469" i="13"/>
  <c r="G880" i="13"/>
  <c r="G33" i="13"/>
  <c r="G240" i="13"/>
  <c r="G282" i="13"/>
  <c r="G452" i="13"/>
  <c r="G499" i="13"/>
  <c r="G1144" i="13"/>
  <c r="G1534" i="13"/>
  <c r="G1727" i="13"/>
  <c r="G85" i="13"/>
  <c r="G147" i="13"/>
  <c r="G307" i="13"/>
  <c r="G373" i="13"/>
  <c r="G351" i="13"/>
  <c r="G451" i="13"/>
  <c r="G662" i="13"/>
  <c r="G726" i="13"/>
  <c r="G878" i="13"/>
  <c r="G933" i="13"/>
  <c r="G1012" i="13"/>
  <c r="G1114" i="13"/>
  <c r="G1151" i="13"/>
  <c r="G1374" i="13"/>
  <c r="G1371" i="13"/>
  <c r="G1509" i="13"/>
  <c r="G1604" i="13"/>
  <c r="G304" i="13"/>
  <c r="G688" i="13"/>
  <c r="G1082" i="13"/>
  <c r="G303" i="13"/>
  <c r="G84" i="13"/>
  <c r="G133" i="13"/>
  <c r="G401" i="13"/>
  <c r="G664" i="13"/>
  <c r="G641" i="13"/>
  <c r="G660" i="13"/>
  <c r="G815" i="13"/>
  <c r="G1118" i="13"/>
  <c r="G1148" i="13"/>
  <c r="G1191" i="13"/>
  <c r="G1456" i="13"/>
  <c r="G1537" i="13"/>
  <c r="G1657" i="13"/>
  <c r="G1167" i="13"/>
  <c r="G1562" i="13"/>
  <c r="G1561" i="13"/>
  <c r="G145" i="13"/>
  <c r="G216" i="13"/>
  <c r="G397" i="13"/>
  <c r="G515" i="13"/>
  <c r="G572" i="13"/>
  <c r="G659" i="13"/>
  <c r="G951" i="13"/>
  <c r="G810" i="13"/>
  <c r="G1036" i="13"/>
  <c r="G1103" i="13"/>
  <c r="G1457" i="13"/>
  <c r="G1729" i="13"/>
  <c r="G286" i="13"/>
  <c r="G644" i="13"/>
  <c r="G1323" i="13"/>
  <c r="G142" i="13"/>
  <c r="G931" i="13"/>
  <c r="G1342" i="13"/>
  <c r="G82" i="13"/>
  <c r="G226" i="13"/>
  <c r="G302" i="13"/>
  <c r="G473" i="13"/>
  <c r="G504" i="13"/>
  <c r="G642" i="13"/>
  <c r="G637" i="13"/>
  <c r="G745" i="13"/>
  <c r="G1049" i="13"/>
  <c r="G1297" i="13"/>
  <c r="G1179" i="13"/>
  <c r="G1260" i="13"/>
  <c r="G1343" i="13"/>
  <c r="G1370" i="13"/>
  <c r="G1285" i="13"/>
  <c r="G1459" i="13"/>
  <c r="G1569" i="13"/>
  <c r="G854" i="13"/>
  <c r="F14" i="1"/>
  <c r="F1692" i="13"/>
  <c r="D1492" i="13"/>
  <c r="D1700" i="13"/>
  <c r="D1694" i="13" s="1"/>
  <c r="E1499" i="13"/>
  <c r="E71" i="1"/>
  <c r="F1495" i="13"/>
  <c r="E1598" i="13"/>
  <c r="G1739" i="13"/>
  <c r="E1731" i="13"/>
  <c r="E1698" i="13" s="1"/>
  <c r="D1698" i="13"/>
  <c r="G1712" i="13"/>
  <c r="E1707" i="13"/>
  <c r="E1703" i="13" s="1"/>
  <c r="E1728" i="13"/>
  <c r="E1723" i="13" s="1"/>
  <c r="G1702" i="13"/>
  <c r="D1646" i="13"/>
  <c r="D1640" i="13" s="1"/>
  <c r="D1639" i="13" s="1"/>
  <c r="G1716" i="13"/>
  <c r="E77" i="1"/>
  <c r="F1697" i="13"/>
  <c r="E80" i="1" s="1"/>
  <c r="E73" i="1"/>
  <c r="G1705" i="13"/>
  <c r="G1658" i="13"/>
  <c r="G1599" i="13"/>
  <c r="G1674" i="13"/>
  <c r="E1656" i="13"/>
  <c r="E1651" i="13" s="1"/>
  <c r="G1620" i="13"/>
  <c r="D1497" i="13"/>
  <c r="F1645" i="13"/>
  <c r="E76" i="1" s="1"/>
  <c r="E1607" i="13"/>
  <c r="E1595" i="13" s="1"/>
  <c r="C71" i="1"/>
  <c r="G1611" i="13"/>
  <c r="F17" i="13"/>
  <c r="F11" i="13" s="1"/>
  <c r="G1513" i="13"/>
  <c r="G1573" i="13"/>
  <c r="F1404" i="13"/>
  <c r="E64" i="1" s="1"/>
  <c r="D17" i="13"/>
  <c r="D11" i="13" s="1"/>
  <c r="G1526" i="13"/>
  <c r="E1511" i="13"/>
  <c r="E1506" i="13" s="1"/>
  <c r="D919" i="13"/>
  <c r="F919" i="13"/>
  <c r="G795" i="13"/>
  <c r="G802" i="13"/>
  <c r="G1508" i="13"/>
  <c r="G736" i="13"/>
  <c r="F920" i="13"/>
  <c r="E55" i="1"/>
  <c r="F917" i="13"/>
  <c r="C55" i="1"/>
  <c r="D917" i="13"/>
  <c r="E921" i="13"/>
  <c r="G729" i="13"/>
  <c r="G861" i="13"/>
  <c r="D920" i="13"/>
  <c r="G1505" i="13"/>
  <c r="D1500" i="13"/>
  <c r="C70" i="1" s="1"/>
  <c r="G1552" i="13"/>
  <c r="E1536" i="13"/>
  <c r="E1531" i="13" s="1"/>
  <c r="G1539" i="13"/>
  <c r="G1533" i="13"/>
  <c r="F1500" i="13"/>
  <c r="E70" i="1" s="1"/>
  <c r="G1468" i="13"/>
  <c r="D1404" i="13"/>
  <c r="C64" i="1" s="1"/>
  <c r="G1369" i="13"/>
  <c r="G1415" i="13"/>
  <c r="G1412" i="13"/>
  <c r="G1428" i="13"/>
  <c r="G1384" i="13"/>
  <c r="G1335" i="13"/>
  <c r="D1318" i="13"/>
  <c r="G1241" i="13"/>
  <c r="G1234" i="13"/>
  <c r="G1356" i="13"/>
  <c r="F1318" i="13"/>
  <c r="E62" i="1" s="1"/>
  <c r="G1348" i="13"/>
  <c r="G1293" i="13"/>
  <c r="D1221" i="13"/>
  <c r="C60" i="1" s="1"/>
  <c r="G1175" i="13"/>
  <c r="D1139" i="13"/>
  <c r="C58" i="1" s="1"/>
  <c r="C59" i="1"/>
  <c r="G1283" i="13"/>
  <c r="G1259" i="13"/>
  <c r="F1221" i="13"/>
  <c r="E60" i="1" s="1"/>
  <c r="G1274" i="13"/>
  <c r="G1263" i="13"/>
  <c r="G1201" i="13"/>
  <c r="G1197" i="13"/>
  <c r="G1150" i="13"/>
  <c r="G1187" i="13"/>
  <c r="G1166" i="13"/>
  <c r="F1139" i="13"/>
  <c r="E58" i="1" s="1"/>
  <c r="G1073" i="13"/>
  <c r="G1023" i="13"/>
  <c r="E1033" i="13"/>
  <c r="E1028" i="13" s="1"/>
  <c r="G1058" i="13"/>
  <c r="D1004" i="13"/>
  <c r="C56" i="1" s="1"/>
  <c r="G1013" i="13"/>
  <c r="F21" i="13"/>
  <c r="G1030" i="13"/>
  <c r="E21" i="1"/>
  <c r="F19" i="13"/>
  <c r="G980" i="13"/>
  <c r="E23" i="13"/>
  <c r="G1016" i="13"/>
  <c r="G934" i="13"/>
  <c r="G1081" i="13"/>
  <c r="F1004" i="13"/>
  <c r="E56" i="1" s="1"/>
  <c r="G984" i="13"/>
  <c r="E575" i="13"/>
  <c r="E570" i="13" s="1"/>
  <c r="F922" i="13"/>
  <c r="E54" i="1" s="1"/>
  <c r="F717" i="13"/>
  <c r="D783" i="13"/>
  <c r="C38" i="1" s="1"/>
  <c r="D922" i="13"/>
  <c r="C54" i="1" s="1"/>
  <c r="G972" i="13"/>
  <c r="G952" i="13"/>
  <c r="G927" i="13"/>
  <c r="C21" i="1"/>
  <c r="D19" i="13"/>
  <c r="D22" i="13"/>
  <c r="D21" i="13"/>
  <c r="D849" i="13"/>
  <c r="C42" i="1" s="1"/>
  <c r="F632" i="13"/>
  <c r="E34" i="1" s="1"/>
  <c r="G857" i="13"/>
  <c r="G895" i="13"/>
  <c r="E879" i="13"/>
  <c r="E874" i="13" s="1"/>
  <c r="F849" i="13"/>
  <c r="E42" i="1" s="1"/>
  <c r="F783" i="13"/>
  <c r="E38" i="1" s="1"/>
  <c r="E812" i="13"/>
  <c r="E807" i="13" s="1"/>
  <c r="G828" i="13"/>
  <c r="D632" i="13"/>
  <c r="C34" i="1" s="1"/>
  <c r="C35" i="1"/>
  <c r="D717" i="13"/>
  <c r="C36" i="1" s="1"/>
  <c r="G749" i="13"/>
  <c r="G725" i="13"/>
  <c r="G762" i="13"/>
  <c r="E746" i="13"/>
  <c r="E741" i="13" s="1"/>
  <c r="G612" i="13"/>
  <c r="G697" i="13"/>
  <c r="G558" i="13"/>
  <c r="G677" i="13"/>
  <c r="E661" i="13"/>
  <c r="E656" i="13" s="1"/>
  <c r="G565" i="13"/>
  <c r="G462" i="13"/>
  <c r="G455" i="13"/>
  <c r="D546" i="13"/>
  <c r="C32" i="1" s="1"/>
  <c r="G600" i="13"/>
  <c r="F546" i="13"/>
  <c r="E32" i="1" s="1"/>
  <c r="G554" i="13"/>
  <c r="F443" i="13"/>
  <c r="E30" i="1" s="1"/>
  <c r="G514" i="13"/>
  <c r="D443" i="13"/>
  <c r="C30" i="1" s="1"/>
  <c r="G412" i="13"/>
  <c r="G497" i="13"/>
  <c r="G361" i="13"/>
  <c r="G354" i="13"/>
  <c r="G352" i="13"/>
  <c r="G403" i="13"/>
  <c r="G411" i="13"/>
  <c r="G350" i="13"/>
  <c r="G368" i="13"/>
  <c r="G385" i="13"/>
  <c r="G294" i="13"/>
  <c r="G288" i="13"/>
  <c r="G285" i="13"/>
  <c r="D115" i="13"/>
  <c r="C22" i="1" s="1"/>
  <c r="D182" i="13"/>
  <c r="C24" i="1" s="1"/>
  <c r="G193" i="13"/>
  <c r="F182" i="13"/>
  <c r="E24" i="1" s="1"/>
  <c r="G195" i="13"/>
  <c r="G187" i="13"/>
  <c r="G212" i="13"/>
  <c r="F115" i="13"/>
  <c r="E22" i="1" s="1"/>
  <c r="G127" i="13"/>
  <c r="G159" i="13"/>
  <c r="G141" i="13"/>
  <c r="G73" i="13"/>
  <c r="G48" i="13"/>
  <c r="G36" i="13"/>
  <c r="G54" i="13"/>
  <c r="G29" i="13"/>
  <c r="G34" i="13"/>
  <c r="E53" i="1" l="1"/>
  <c r="G349" i="13"/>
  <c r="E342" i="13"/>
  <c r="G342" i="13" s="1"/>
  <c r="G345" i="13"/>
  <c r="E19" i="1"/>
  <c r="E277" i="13"/>
  <c r="D26" i="1" s="1"/>
  <c r="E26" i="1"/>
  <c r="E20" i="1"/>
  <c r="F18" i="13"/>
  <c r="D18" i="13"/>
  <c r="D77" i="1"/>
  <c r="G77" i="1" s="1"/>
  <c r="G1605" i="13"/>
  <c r="G1504" i="13"/>
  <c r="G1644" i="13"/>
  <c r="G1410" i="13"/>
  <c r="G552" i="13"/>
  <c r="D35" i="1"/>
  <c r="G1142" i="13"/>
  <c r="G550" i="13"/>
  <c r="G68" i="13"/>
  <c r="G1696" i="13"/>
  <c r="G283" i="13"/>
  <c r="G672" i="13"/>
  <c r="G575" i="13"/>
  <c r="E1493" i="13"/>
  <c r="G1408" i="13"/>
  <c r="G299" i="13"/>
  <c r="G1322" i="13"/>
  <c r="G447" i="13"/>
  <c r="G1008" i="13"/>
  <c r="G90" i="13"/>
  <c r="G186" i="13"/>
  <c r="D31" i="1"/>
  <c r="J31" i="1" s="1"/>
  <c r="E926" i="13"/>
  <c r="G1454" i="13"/>
  <c r="G661" i="13"/>
  <c r="G598" i="13"/>
  <c r="G789" i="13"/>
  <c r="G1224" i="13"/>
  <c r="G121" i="13"/>
  <c r="G723" i="13"/>
  <c r="G1079" i="13"/>
  <c r="D57" i="1"/>
  <c r="G57" i="1" s="1"/>
  <c r="G1143" i="13"/>
  <c r="E1640" i="13"/>
  <c r="G346" i="13"/>
  <c r="G495" i="13"/>
  <c r="G855" i="13"/>
  <c r="D37" i="1"/>
  <c r="G636" i="13"/>
  <c r="G1431" i="13"/>
  <c r="D25" i="1"/>
  <c r="J25" i="1" s="1"/>
  <c r="G280" i="13"/>
  <c r="G683" i="13"/>
  <c r="G1033" i="13"/>
  <c r="G1145" i="13"/>
  <c r="G144" i="13"/>
  <c r="G467" i="13"/>
  <c r="G970" i="13"/>
  <c r="G1101" i="13"/>
  <c r="G1559" i="13"/>
  <c r="D33" i="1"/>
  <c r="G586" i="13"/>
  <c r="G1536" i="13"/>
  <c r="G185" i="13"/>
  <c r="G348" i="13"/>
  <c r="G449" i="13"/>
  <c r="G446" i="13"/>
  <c r="G928" i="13"/>
  <c r="G1257" i="13"/>
  <c r="G1340" i="13"/>
  <c r="G1731" i="13"/>
  <c r="G210" i="13"/>
  <c r="D63" i="1"/>
  <c r="D23" i="1"/>
  <c r="G23" i="1" s="1"/>
  <c r="G366" i="13"/>
  <c r="D29" i="1"/>
  <c r="G29" i="1" s="1"/>
  <c r="E632" i="13"/>
  <c r="G812" i="13"/>
  <c r="G1164" i="13"/>
  <c r="G1281" i="13"/>
  <c r="E1649" i="13"/>
  <c r="G1649" i="13" s="1"/>
  <c r="E849" i="13"/>
  <c r="G278" i="13"/>
  <c r="E1004" i="13"/>
  <c r="D61" i="1"/>
  <c r="G61" i="1" s="1"/>
  <c r="G1707" i="13"/>
  <c r="G238" i="13"/>
  <c r="G392" i="13"/>
  <c r="G512" i="13"/>
  <c r="G409" i="13"/>
  <c r="G1010" i="13"/>
  <c r="G1321" i="13"/>
  <c r="G1598" i="13"/>
  <c r="G1225" i="13"/>
  <c r="G1521" i="13"/>
  <c r="G638" i="13"/>
  <c r="G823" i="13"/>
  <c r="G1140" i="13"/>
  <c r="G1368" i="13"/>
  <c r="D43" i="1"/>
  <c r="J43" i="1" s="1"/>
  <c r="E1694" i="13"/>
  <c r="G370" i="13"/>
  <c r="G1324" i="13"/>
  <c r="G1227" i="13"/>
  <c r="G1185" i="13"/>
  <c r="G1056" i="13"/>
  <c r="G188" i="13"/>
  <c r="F1489" i="13"/>
  <c r="F1488" i="13" s="1"/>
  <c r="D1491" i="13"/>
  <c r="D1697" i="13"/>
  <c r="C80" i="1" s="1"/>
  <c r="C78" i="1" s="1"/>
  <c r="G1700" i="13"/>
  <c r="E1498" i="13"/>
  <c r="E78" i="1"/>
  <c r="D1692" i="13"/>
  <c r="D1691" i="13" s="1"/>
  <c r="C81" i="1"/>
  <c r="C79" i="1" s="1"/>
  <c r="C77" i="1"/>
  <c r="C75" i="1" s="1"/>
  <c r="D1645" i="13"/>
  <c r="C76" i="1" s="1"/>
  <c r="C74" i="1" s="1"/>
  <c r="G1656" i="13"/>
  <c r="G1728" i="13"/>
  <c r="G1709" i="13"/>
  <c r="G1650" i="13"/>
  <c r="F1594" i="13"/>
  <c r="E72" i="1" s="1"/>
  <c r="E74" i="1"/>
  <c r="E69" i="1"/>
  <c r="F1691" i="13"/>
  <c r="E75" i="1"/>
  <c r="G1607" i="13"/>
  <c r="F1639" i="13"/>
  <c r="G1499" i="13"/>
  <c r="G1670" i="13"/>
  <c r="G1501" i="13"/>
  <c r="D71" i="1"/>
  <c r="G1615" i="13"/>
  <c r="G1511" i="13"/>
  <c r="E917" i="13"/>
  <c r="D15" i="13"/>
  <c r="F916" i="13"/>
  <c r="G1405" i="13"/>
  <c r="D65" i="1"/>
  <c r="D16" i="13"/>
  <c r="D10" i="13" s="1"/>
  <c r="F16" i="13"/>
  <c r="F10" i="13" s="1"/>
  <c r="D13" i="13"/>
  <c r="E17" i="13"/>
  <c r="F13" i="13"/>
  <c r="F15" i="13"/>
  <c r="F9" i="13" s="1"/>
  <c r="G1547" i="13"/>
  <c r="E52" i="1"/>
  <c r="C53" i="1"/>
  <c r="E36" i="1"/>
  <c r="G1442" i="13"/>
  <c r="D916" i="13"/>
  <c r="C62" i="1"/>
  <c r="E1318" i="13"/>
  <c r="G1319" i="13"/>
  <c r="E1139" i="13"/>
  <c r="D59" i="1"/>
  <c r="G1044" i="13"/>
  <c r="E1221" i="13"/>
  <c r="G1222" i="13"/>
  <c r="G1005" i="13"/>
  <c r="G923" i="13"/>
  <c r="D55" i="1"/>
  <c r="E19" i="13"/>
  <c r="G718" i="13"/>
  <c r="G964" i="13"/>
  <c r="G921" i="13"/>
  <c r="C18" i="1"/>
  <c r="C19" i="1"/>
  <c r="G784" i="13"/>
  <c r="D39" i="1"/>
  <c r="G850" i="13"/>
  <c r="G879" i="13"/>
  <c r="G757" i="13"/>
  <c r="G746" i="13"/>
  <c r="G444" i="13"/>
  <c r="G633" i="13"/>
  <c r="G547" i="13"/>
  <c r="E443" i="13"/>
  <c r="D27" i="1"/>
  <c r="G27" i="1" s="1"/>
  <c r="G381" i="13"/>
  <c r="E182" i="13"/>
  <c r="G116" i="13"/>
  <c r="G183" i="13"/>
  <c r="G25" i="13"/>
  <c r="D21" i="1"/>
  <c r="G155" i="13"/>
  <c r="E24" i="13"/>
  <c r="G57" i="13"/>
  <c r="G80" i="13"/>
  <c r="G43" i="13"/>
  <c r="E17" i="1" l="1"/>
  <c r="G277" i="13"/>
  <c r="G37" i="1"/>
  <c r="J63" i="1"/>
  <c r="D75" i="1"/>
  <c r="J37" i="1"/>
  <c r="J77" i="1"/>
  <c r="K77" i="1" s="1"/>
  <c r="G63" i="1"/>
  <c r="G25" i="1"/>
  <c r="G1426" i="13"/>
  <c r="E783" i="13"/>
  <c r="G43" i="1"/>
  <c r="J57" i="1"/>
  <c r="K57" i="1" s="1"/>
  <c r="J35" i="1"/>
  <c r="G31" i="1"/>
  <c r="G35" i="1"/>
  <c r="G786" i="13"/>
  <c r="G926" i="13"/>
  <c r="E920" i="13"/>
  <c r="E16" i="13" s="1"/>
  <c r="G33" i="1"/>
  <c r="J33" i="1"/>
  <c r="G1531" i="13"/>
  <c r="E919" i="13"/>
  <c r="G656" i="13"/>
  <c r="G1493" i="13"/>
  <c r="E1692" i="13"/>
  <c r="G807" i="13"/>
  <c r="G1640" i="13"/>
  <c r="G1506" i="13"/>
  <c r="G1600" i="13"/>
  <c r="D58" i="1"/>
  <c r="G58" i="1" s="1"/>
  <c r="D73" i="1"/>
  <c r="D69" i="1" s="1"/>
  <c r="G1694" i="13"/>
  <c r="G635" i="13"/>
  <c r="G30" i="13"/>
  <c r="G1407" i="13"/>
  <c r="G1703" i="13"/>
  <c r="E1497" i="13"/>
  <c r="E1491" i="13" s="1"/>
  <c r="G874" i="13"/>
  <c r="G1028" i="13"/>
  <c r="G1651" i="13"/>
  <c r="G570" i="13"/>
  <c r="G1007" i="13"/>
  <c r="G549" i="13"/>
  <c r="E1643" i="13"/>
  <c r="E1492" i="13" s="1"/>
  <c r="G852" i="13"/>
  <c r="G741" i="13"/>
  <c r="J61" i="1"/>
  <c r="K61" i="1" s="1"/>
  <c r="G1723" i="13"/>
  <c r="G52" i="13"/>
  <c r="F7" i="13"/>
  <c r="F6" i="13" s="1"/>
  <c r="D9" i="13"/>
  <c r="E1495" i="13"/>
  <c r="G17" i="13"/>
  <c r="E11" i="13"/>
  <c r="G1698" i="13"/>
  <c r="E67" i="1"/>
  <c r="D81" i="1"/>
  <c r="G1595" i="13"/>
  <c r="E1697" i="13"/>
  <c r="C73" i="1"/>
  <c r="D1495" i="13"/>
  <c r="D1489" i="13" s="1"/>
  <c r="D1488" i="13" s="1"/>
  <c r="D1594" i="13"/>
  <c r="C72" i="1" s="1"/>
  <c r="E68" i="1"/>
  <c r="F1494" i="13"/>
  <c r="G75" i="1"/>
  <c r="E1645" i="13"/>
  <c r="J71" i="1"/>
  <c r="G71" i="1"/>
  <c r="G1597" i="13"/>
  <c r="E1594" i="13"/>
  <c r="C17" i="1"/>
  <c r="F12" i="13"/>
  <c r="G65" i="1"/>
  <c r="J65" i="1"/>
  <c r="G19" i="13"/>
  <c r="E13" i="13"/>
  <c r="G1503" i="13"/>
  <c r="E1500" i="13"/>
  <c r="G1498" i="13"/>
  <c r="E18" i="1"/>
  <c r="E16" i="1" s="1"/>
  <c r="G55" i="1"/>
  <c r="D53" i="1"/>
  <c r="C52" i="1"/>
  <c r="C16" i="1" s="1"/>
  <c r="E1404" i="13"/>
  <c r="G1318" i="13"/>
  <c r="D62" i="1"/>
  <c r="G1221" i="13"/>
  <c r="D60" i="1"/>
  <c r="G1139" i="13"/>
  <c r="G59" i="1"/>
  <c r="J59" i="1"/>
  <c r="G1004" i="13"/>
  <c r="D56" i="1"/>
  <c r="G22" i="13"/>
  <c r="D12" i="13"/>
  <c r="G27" i="13"/>
  <c r="E21" i="13"/>
  <c r="E18" i="13" s="1"/>
  <c r="E546" i="13"/>
  <c r="D19" i="1"/>
  <c r="G946" i="13"/>
  <c r="E922" i="13"/>
  <c r="G925" i="13"/>
  <c r="G849" i="13"/>
  <c r="D42" i="1"/>
  <c r="J39" i="1"/>
  <c r="G39" i="1"/>
  <c r="G632" i="13"/>
  <c r="D34" i="1"/>
  <c r="G720" i="13"/>
  <c r="E717" i="13"/>
  <c r="G443" i="13"/>
  <c r="D30" i="1"/>
  <c r="G26" i="1"/>
  <c r="G182" i="13"/>
  <c r="D24" i="1"/>
  <c r="G118" i="13"/>
  <c r="E115" i="13"/>
  <c r="G8" i="13"/>
  <c r="G23" i="13"/>
  <c r="G28" i="13"/>
  <c r="E15" i="1" l="1"/>
  <c r="J75" i="1"/>
  <c r="K75" i="1" s="1"/>
  <c r="K37" i="1"/>
  <c r="K63" i="1"/>
  <c r="K25" i="1"/>
  <c r="K31" i="1"/>
  <c r="G783" i="13"/>
  <c r="K33" i="1"/>
  <c r="K35" i="1"/>
  <c r="K43" i="1"/>
  <c r="J73" i="1"/>
  <c r="J58" i="1"/>
  <c r="K58" i="1" s="1"/>
  <c r="D28" i="1"/>
  <c r="G28" i="1" s="1"/>
  <c r="D38" i="1"/>
  <c r="G38" i="1" s="1"/>
  <c r="G920" i="13"/>
  <c r="E1489" i="13"/>
  <c r="D32" i="1"/>
  <c r="E1691" i="13"/>
  <c r="G11" i="13"/>
  <c r="E15" i="13"/>
  <c r="E9" i="13" s="1"/>
  <c r="D20" i="1"/>
  <c r="D36" i="1"/>
  <c r="G73" i="1"/>
  <c r="G919" i="13"/>
  <c r="G16" i="13"/>
  <c r="D7" i="13"/>
  <c r="D6" i="13" s="1"/>
  <c r="G1495" i="13"/>
  <c r="E66" i="1"/>
  <c r="D79" i="1"/>
  <c r="D67" i="1" s="1"/>
  <c r="G81" i="1"/>
  <c r="G1697" i="13"/>
  <c r="D80" i="1"/>
  <c r="G1692" i="13"/>
  <c r="D1494" i="13"/>
  <c r="C68" i="1"/>
  <c r="C69" i="1"/>
  <c r="C67" i="1" s="1"/>
  <c r="C15" i="1" s="1"/>
  <c r="G1645" i="13"/>
  <c r="D76" i="1"/>
  <c r="G1594" i="13"/>
  <c r="D72" i="1"/>
  <c r="G1643" i="13"/>
  <c r="E1639" i="13"/>
  <c r="K71" i="1"/>
  <c r="G1500" i="13"/>
  <c r="D70" i="1"/>
  <c r="K65" i="1"/>
  <c r="G1404" i="13"/>
  <c r="D64" i="1"/>
  <c r="G1497" i="13"/>
  <c r="E1494" i="13"/>
  <c r="D17" i="1"/>
  <c r="G53" i="1"/>
  <c r="G62" i="1"/>
  <c r="J62" i="1"/>
  <c r="G60" i="1"/>
  <c r="J60" i="1"/>
  <c r="K59" i="1"/>
  <c r="J56" i="1"/>
  <c r="G56" i="1"/>
  <c r="G922" i="13"/>
  <c r="D54" i="1"/>
  <c r="G546" i="13"/>
  <c r="E916" i="13"/>
  <c r="G917" i="13"/>
  <c r="G42" i="1"/>
  <c r="J42" i="1"/>
  <c r="K39" i="1"/>
  <c r="G717" i="13"/>
  <c r="J34" i="1"/>
  <c r="G34" i="1"/>
  <c r="J30" i="1"/>
  <c r="G30" i="1"/>
  <c r="G24" i="13"/>
  <c r="G24" i="1"/>
  <c r="J24" i="1"/>
  <c r="G115" i="13"/>
  <c r="D22" i="1"/>
  <c r="G22" i="1" s="1"/>
  <c r="G13" i="13"/>
  <c r="G21" i="13"/>
  <c r="D15" i="1" l="1"/>
  <c r="J38" i="1"/>
  <c r="K38" i="1" s="1"/>
  <c r="K73" i="1"/>
  <c r="G1491" i="13"/>
  <c r="G1691" i="13"/>
  <c r="J32" i="1"/>
  <c r="G1492" i="13"/>
  <c r="G1494" i="13"/>
  <c r="G916" i="13"/>
  <c r="G1489" i="13"/>
  <c r="E1488" i="13"/>
  <c r="G18" i="13"/>
  <c r="E10" i="13"/>
  <c r="G69" i="1"/>
  <c r="E7" i="13"/>
  <c r="G32" i="1"/>
  <c r="G1639" i="13"/>
  <c r="E14" i="1"/>
  <c r="D78" i="1"/>
  <c r="G80" i="1"/>
  <c r="C66" i="1"/>
  <c r="D74" i="1"/>
  <c r="G76" i="1"/>
  <c r="J76" i="1"/>
  <c r="D68" i="1"/>
  <c r="G72" i="1"/>
  <c r="J72" i="1"/>
  <c r="J70" i="1"/>
  <c r="G70" i="1"/>
  <c r="J64" i="1"/>
  <c r="G64" i="1"/>
  <c r="G54" i="1"/>
  <c r="D52" i="1"/>
  <c r="K62" i="1"/>
  <c r="K60" i="1"/>
  <c r="K56" i="1"/>
  <c r="K42" i="1"/>
  <c r="D18" i="1"/>
  <c r="K34" i="1"/>
  <c r="J36" i="1"/>
  <c r="G36" i="1"/>
  <c r="K30" i="1"/>
  <c r="K24" i="1"/>
  <c r="G15" i="13"/>
  <c r="E12" i="13"/>
  <c r="K116" i="1"/>
  <c r="K115" i="1"/>
  <c r="K110" i="1"/>
  <c r="K109" i="1"/>
  <c r="K108" i="1"/>
  <c r="K107" i="1"/>
  <c r="K106" i="1"/>
  <c r="K105" i="1"/>
  <c r="K104" i="1"/>
  <c r="K103" i="1"/>
  <c r="K102" i="1"/>
  <c r="K101" i="1"/>
  <c r="K100" i="1"/>
  <c r="K4" i="1"/>
  <c r="F107" i="1"/>
  <c r="F100" i="1" s="1"/>
  <c r="F97" i="1"/>
  <c r="F93" i="1" s="1"/>
  <c r="F96" i="1"/>
  <c r="F94" i="1"/>
  <c r="F89" i="1"/>
  <c r="F13" i="1"/>
  <c r="F12" i="1"/>
  <c r="F8" i="1"/>
  <c r="F7" i="1"/>
  <c r="H14" i="1" l="1"/>
  <c r="K32" i="1"/>
  <c r="E6" i="13"/>
  <c r="G10" i="13"/>
  <c r="G12" i="13"/>
  <c r="G1488" i="13"/>
  <c r="G7" i="13"/>
  <c r="C14" i="1"/>
  <c r="D66" i="1"/>
  <c r="K76" i="1"/>
  <c r="G74" i="1"/>
  <c r="J74" i="1"/>
  <c r="K72" i="1"/>
  <c r="G68" i="1"/>
  <c r="D16" i="1"/>
  <c r="K70" i="1"/>
  <c r="G52" i="1"/>
  <c r="K64" i="1"/>
  <c r="K36" i="1"/>
  <c r="G9" i="13"/>
  <c r="F92" i="1"/>
  <c r="F5" i="1"/>
  <c r="G6" i="13" l="1"/>
  <c r="D14" i="1"/>
  <c r="J66" i="1"/>
  <c r="K74" i="1"/>
  <c r="F115" i="1"/>
  <c r="D8" i="2" l="1"/>
  <c r="D22" i="2" l="1"/>
  <c r="E22" i="2" s="1"/>
  <c r="G3" i="2" l="1"/>
  <c r="C3" i="2" l="1"/>
  <c r="E93" i="1" l="1"/>
  <c r="C93" i="1"/>
  <c r="J97" i="1"/>
  <c r="J96" i="1"/>
  <c r="E92" i="1"/>
  <c r="C92" i="1"/>
  <c r="G97" i="1"/>
  <c r="G96" i="1"/>
  <c r="K96" i="1" l="1"/>
  <c r="K97" i="1"/>
  <c r="D95" i="1" l="1"/>
  <c r="D94" i="1"/>
  <c r="D92" i="1" s="1"/>
  <c r="D13" i="1"/>
  <c r="D12" i="1"/>
  <c r="D11" i="1"/>
  <c r="D10" i="1"/>
  <c r="D9" i="1"/>
  <c r="D8" i="1"/>
  <c r="D7" i="1"/>
  <c r="D6" i="1"/>
  <c r="D93" i="1" l="1"/>
  <c r="J45" i="1" l="1"/>
  <c r="G45" i="1"/>
  <c r="J44" i="1"/>
  <c r="G44" i="1"/>
  <c r="J87" i="1"/>
  <c r="G87" i="1"/>
  <c r="J86" i="1"/>
  <c r="G86" i="1"/>
  <c r="J85" i="1"/>
  <c r="G85" i="1"/>
  <c r="J84" i="1"/>
  <c r="G84" i="1"/>
  <c r="K84" i="1" l="1"/>
  <c r="K86" i="1"/>
  <c r="K45" i="1"/>
  <c r="K44" i="1"/>
  <c r="K85" i="1"/>
  <c r="K87" i="1"/>
  <c r="H8" i="2"/>
  <c r="H21" i="2" l="1"/>
  <c r="J99" i="1" l="1"/>
  <c r="J98" i="1"/>
  <c r="J95" i="1"/>
  <c r="J94" i="1"/>
  <c r="J91" i="1"/>
  <c r="J90" i="1"/>
  <c r="J89" i="1"/>
  <c r="J88" i="1"/>
  <c r="J83" i="1"/>
  <c r="J82" i="1"/>
  <c r="J51" i="1"/>
  <c r="J50" i="1"/>
  <c r="J49" i="1"/>
  <c r="J48" i="1"/>
  <c r="J47" i="1"/>
  <c r="J46" i="1"/>
  <c r="J21" i="1"/>
  <c r="J20" i="1"/>
  <c r="D21" i="2" l="1"/>
  <c r="G99" i="1" l="1"/>
  <c r="K99" i="1" s="1"/>
  <c r="G98" i="1"/>
  <c r="K98" i="1" s="1"/>
  <c r="G95" i="1"/>
  <c r="G94" i="1"/>
  <c r="K94" i="1" s="1"/>
  <c r="D21" i="4"/>
  <c r="D6" i="4"/>
  <c r="D20" i="4" s="1"/>
  <c r="G83" i="1"/>
  <c r="J8" i="1"/>
  <c r="J13" i="1"/>
  <c r="J12" i="1"/>
  <c r="J9" i="1"/>
  <c r="J7" i="1"/>
  <c r="J6" i="1"/>
  <c r="K83" i="1" l="1"/>
  <c r="G79" i="1"/>
  <c r="G67" i="1" s="1"/>
  <c r="K95" i="1"/>
  <c r="G93" i="1"/>
  <c r="G92" i="1"/>
  <c r="J92" i="1"/>
  <c r="J93" i="1"/>
  <c r="D22" i="4"/>
  <c r="G82" i="1"/>
  <c r="K82" i="1" l="1"/>
  <c r="G78" i="1"/>
  <c r="G66" i="1" s="1"/>
  <c r="K93" i="1"/>
  <c r="K92" i="1"/>
  <c r="J79" i="1"/>
  <c r="J78" i="1"/>
  <c r="K66" i="1" l="1"/>
  <c r="K78" i="1"/>
  <c r="K79" i="1"/>
  <c r="J19" i="1" l="1"/>
  <c r="J18" i="1"/>
  <c r="E24" i="2" l="1"/>
  <c r="E21" i="2"/>
  <c r="E19" i="2"/>
  <c r="E16" i="2"/>
  <c r="E15" i="2"/>
  <c r="E12" i="2"/>
  <c r="G89" i="1" l="1"/>
  <c r="K89" i="1" s="1"/>
  <c r="G88" i="1"/>
  <c r="K88" i="1" s="1"/>
  <c r="G51" i="1"/>
  <c r="K51" i="1" s="1"/>
  <c r="G50" i="1"/>
  <c r="K50" i="1" s="1"/>
  <c r="G49" i="1"/>
  <c r="K49" i="1" s="1"/>
  <c r="G48" i="1"/>
  <c r="K48" i="1" s="1"/>
  <c r="G47" i="1"/>
  <c r="K47" i="1" s="1"/>
  <c r="G46" i="1"/>
  <c r="K46" i="1" s="1"/>
  <c r="G21" i="1"/>
  <c r="G20" i="1"/>
  <c r="J11" i="1"/>
  <c r="J10" i="1"/>
  <c r="D10" i="2"/>
  <c r="E10" i="2" s="1"/>
  <c r="H10" i="2"/>
  <c r="I10" i="2" s="1"/>
  <c r="K21" i="1" l="1"/>
  <c r="G19" i="1"/>
  <c r="K20" i="1"/>
  <c r="G18" i="1"/>
  <c r="G13" i="1"/>
  <c r="K13" i="1" s="1"/>
  <c r="G90" i="1"/>
  <c r="K90" i="1" s="1"/>
  <c r="G91" i="1"/>
  <c r="K91" i="1" s="1"/>
  <c r="G9" i="1"/>
  <c r="K9" i="1" s="1"/>
  <c r="G7" i="1"/>
  <c r="K7" i="1" s="1"/>
  <c r="G6" i="1"/>
  <c r="K6" i="1" s="1"/>
  <c r="G8" i="1"/>
  <c r="K8" i="1" s="1"/>
  <c r="G10" i="1"/>
  <c r="K10" i="1" s="1"/>
  <c r="G11" i="1"/>
  <c r="K11" i="1" s="1"/>
  <c r="G12" i="1"/>
  <c r="K12" i="1" s="1"/>
  <c r="E5" i="1"/>
  <c r="D5" i="1"/>
  <c r="C5" i="1"/>
  <c r="D20" i="2"/>
  <c r="E20" i="2" s="1"/>
  <c r="D18" i="2"/>
  <c r="E18" i="2" s="1"/>
  <c r="D17" i="2"/>
  <c r="E17" i="2" s="1"/>
  <c r="D13" i="2"/>
  <c r="E13" i="2" s="1"/>
  <c r="D11" i="2"/>
  <c r="E11" i="2" s="1"/>
  <c r="D9" i="2"/>
  <c r="E9" i="2" s="1"/>
  <c r="E8" i="2"/>
  <c r="D7" i="2"/>
  <c r="E7" i="2" s="1"/>
  <c r="D6" i="2"/>
  <c r="E6" i="2" s="1"/>
  <c r="D5" i="2"/>
  <c r="K19" i="1" l="1"/>
  <c r="G17" i="1"/>
  <c r="K18" i="1"/>
  <c r="G16" i="1"/>
  <c r="J5" i="1"/>
  <c r="G5" i="1"/>
  <c r="H20" i="2"/>
  <c r="I20" i="2" s="1"/>
  <c r="H18" i="2"/>
  <c r="H17" i="2"/>
  <c r="H14" i="2" s="1"/>
  <c r="H9" i="2"/>
  <c r="I9" i="2" s="1"/>
  <c r="I8" i="2"/>
  <c r="H5" i="2"/>
  <c r="H11" i="2"/>
  <c r="K5" i="1" l="1"/>
  <c r="H13" i="2"/>
  <c r="H7" i="2"/>
  <c r="I7" i="2" s="1"/>
  <c r="H6" i="2"/>
  <c r="I6" i="2" s="1"/>
  <c r="I11" i="2"/>
  <c r="J15" i="1" l="1"/>
  <c r="J17" i="1"/>
  <c r="K17" i="1" s="1"/>
  <c r="J16" i="1"/>
  <c r="K16" i="1" s="1"/>
  <c r="C6" i="4"/>
  <c r="D14" i="2" l="1"/>
  <c r="E14" i="2" s="1"/>
  <c r="J14" i="1"/>
  <c r="C21" i="4"/>
  <c r="B6" i="4" l="1"/>
  <c r="B20" i="4" s="1"/>
  <c r="I24" i="2" l="1"/>
  <c r="I21" i="2"/>
  <c r="I19" i="2"/>
  <c r="I16" i="2"/>
  <c r="I15" i="2"/>
  <c r="I12" i="2"/>
  <c r="G113" i="1"/>
  <c r="K113" i="1" s="1"/>
  <c r="G112" i="1"/>
  <c r="G15" i="1" s="1"/>
  <c r="G111" i="1"/>
  <c r="E100" i="1"/>
  <c r="E115" i="1" s="1"/>
  <c r="K111" i="1" l="1"/>
  <c r="G14" i="1"/>
  <c r="K14" i="1" s="1"/>
  <c r="K112" i="1"/>
  <c r="K15" i="1"/>
  <c r="H3" i="2"/>
  <c r="I17" i="2"/>
  <c r="B21" i="4"/>
  <c r="B22" i="4" s="1"/>
  <c r="G114" i="1"/>
  <c r="K114" i="1" s="1"/>
  <c r="I13" i="2"/>
  <c r="E5" i="2"/>
  <c r="D3" i="2" l="1"/>
  <c r="C20" i="4"/>
  <c r="I5" i="2"/>
  <c r="C22" i="4" l="1"/>
  <c r="I18" i="2"/>
  <c r="E3" i="2" l="1"/>
  <c r="I14" i="2"/>
  <c r="I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Gerli Pross</author>
  </authors>
  <commentList>
    <comment ref="D92" authorId="0" shapeId="0" xr:uid="{49E94147-8F7B-494F-A826-BB89ADD35794}">
      <text>
        <r>
          <rPr>
            <b/>
            <sz val="9"/>
            <color indexed="81"/>
            <rFont val="Tahoma"/>
            <family val="2"/>
            <charset val="186"/>
          </rPr>
          <t>Gerli Pross:</t>
        </r>
        <r>
          <rPr>
            <sz val="9"/>
            <color indexed="81"/>
            <rFont val="Tahoma"/>
            <family val="2"/>
            <charset val="186"/>
          </rPr>
          <t xml:space="preserve">
KAISis 6 miljonit</t>
        </r>
      </text>
    </comment>
  </commentList>
</comments>
</file>

<file path=xl/sharedStrings.xml><?xml version="1.0" encoding="utf-8"?>
<sst xmlns="http://schemas.openxmlformats.org/spreadsheetml/2006/main" count="2027" uniqueCount="213">
  <si>
    <t>eurodes</t>
  </si>
  <si>
    <t>Algne eelarve</t>
  </si>
  <si>
    <t>Lõplik eelarve</t>
  </si>
  <si>
    <t>Täitmine miinus lõplik eelarve</t>
  </si>
  <si>
    <t>Saadud toetused</t>
  </si>
  <si>
    <t>Riigilõivud</t>
  </si>
  <si>
    <t>Tulu majandustegevusest</t>
  </si>
  <si>
    <t>Tulu põhivara ja varude müügist</t>
  </si>
  <si>
    <t>Trahvid ja muud varalised karistused</t>
  </si>
  <si>
    <t>Keskkonnatasud</t>
  </si>
  <si>
    <t>Intressi- ja omanikutulud</t>
  </si>
  <si>
    <t>sh piirmääraga vahendid</t>
  </si>
  <si>
    <t>Müüdud põhivara jääkväärtus</t>
  </si>
  <si>
    <t>KULUD</t>
  </si>
  <si>
    <t>KORRIGEERIMISED</t>
  </si>
  <si>
    <t>Kontroll</t>
  </si>
  <si>
    <t>saldoandmik</t>
  </si>
  <si>
    <t>TULUD</t>
  </si>
  <si>
    <t>INVESTEERINGUD</t>
  </si>
  <si>
    <t>Kulud</t>
  </si>
  <si>
    <t>Investeeringud</t>
  </si>
  <si>
    <t xml:space="preserve">JAOTAMATA </t>
  </si>
  <si>
    <t>SAP miinus jaotatud</t>
  </si>
  <si>
    <t>FINANTSEERIMISTEHINGUD</t>
  </si>
  <si>
    <t>Tulemusvaldkond: PÕLLUMAJANDUS JA KALANDUS</t>
  </si>
  <si>
    <t xml:space="preserve">Lisa </t>
  </si>
  <si>
    <t>Eelarve täitmise ja raamatupidamisaruannete võrdlus</t>
  </si>
  <si>
    <t>Kirje</t>
  </si>
  <si>
    <t>Selgitus</t>
  </si>
  <si>
    <t>Finantstulud</t>
  </si>
  <si>
    <t>Finantskulud</t>
  </si>
  <si>
    <t>3sisesed</t>
  </si>
  <si>
    <t>4,5,6sisesed</t>
  </si>
  <si>
    <t>15ettemaksed</t>
  </si>
  <si>
    <t>Valitsemisala</t>
  </si>
  <si>
    <t>Lõpliku eelarve kujunemine</t>
  </si>
  <si>
    <t>Tulud</t>
  </si>
  <si>
    <t>Fin tehingud</t>
  </si>
  <si>
    <t>Esialgne eelarve</t>
  </si>
  <si>
    <t>Üle toodud eelmisest aastast</t>
  </si>
  <si>
    <t>Sihtotstarbeliste vahendite reservist</t>
  </si>
  <si>
    <t>Eelarves kavandatud toetused</t>
  </si>
  <si>
    <t>Tegelikult saadud toetused ja avatud sildfinantseerimine</t>
  </si>
  <si>
    <t>Eelarves kavandatud saastekvootide müügist</t>
  </si>
  <si>
    <t>Saastekvootide müügist saadud eelarve ümberjaotamine</t>
  </si>
  <si>
    <t>Eelarves kavandatud majandustegevusest laekuv tulu</t>
  </si>
  <si>
    <t>Tegelikult majandustegevusest saadud tulu</t>
  </si>
  <si>
    <t xml:space="preserve">Saadud Vabariigi Valitsuse reservfondist </t>
  </si>
  <si>
    <t>Kokku lõplik eelarve</t>
  </si>
  <si>
    <t>Käibemaks</t>
  </si>
  <si>
    <t>Käibemaksukulu tegevuskuludelt</t>
  </si>
  <si>
    <t>Muud tulud</t>
  </si>
  <si>
    <t>Tööjõukulud</t>
  </si>
  <si>
    <t>Majandamiskulud</t>
  </si>
  <si>
    <t>Muud kulud</t>
  </si>
  <si>
    <t>Eelarves kavandatud välistoetuste kaasrahastamine</t>
  </si>
  <si>
    <t>Tegelik välistoetuste kaasrahastamine</t>
  </si>
  <si>
    <t>sh käibemaks</t>
  </si>
  <si>
    <t>Käibemaksukulu investeeringutelt</t>
  </si>
  <si>
    <t>Tegevuskulud, v.a käibemaksukulu</t>
  </si>
  <si>
    <t>Laenunõuded</t>
  </si>
  <si>
    <t>Kulud, investeeringud</t>
  </si>
  <si>
    <t>Maatoimingute korraldamine</t>
  </si>
  <si>
    <t>Ruumiandmete hõive, analüüsid ja kättesaadavaks tegemine</t>
  </si>
  <si>
    <t>Finantseerimistegevuseks antud sihtfinantseerimine</t>
  </si>
  <si>
    <t>Maakasutus</t>
  </si>
  <si>
    <t>Maaparandus</t>
  </si>
  <si>
    <t>Põlvkondade vahetus</t>
  </si>
  <si>
    <t>EMKFi keskkonnakaitsemeetmete rakendamine</t>
  </si>
  <si>
    <t>PK01030100</t>
  </si>
  <si>
    <t>PK01040100</t>
  </si>
  <si>
    <t>PK01040200</t>
  </si>
  <si>
    <t>PK01040300</t>
  </si>
  <si>
    <t>PK01040400</t>
  </si>
  <si>
    <t>PK01050100</t>
  </si>
  <si>
    <t>PK01050200</t>
  </si>
  <si>
    <t>PK01050300</t>
  </si>
  <si>
    <t>PK01050400</t>
  </si>
  <si>
    <t>PK01050500</t>
  </si>
  <si>
    <t>PK02010100</t>
  </si>
  <si>
    <t>PK02010200</t>
  </si>
  <si>
    <t>PK02010300</t>
  </si>
  <si>
    <t>PK02010400</t>
  </si>
  <si>
    <t>PK01050600</t>
  </si>
  <si>
    <t>Ruumilise planeerimise poliitika kujundamine ja korraldamine</t>
  </si>
  <si>
    <t>RV04010300</t>
  </si>
  <si>
    <t>RV04030100</t>
  </si>
  <si>
    <t>Regionaal- ja Põllumajandusministeerium</t>
  </si>
  <si>
    <t xml:space="preserve">REGIONAAL- JA PÕLLUMAJANDUSMINISTEERIUMI valitsemisala </t>
  </si>
  <si>
    <t>PK01070200</t>
  </si>
  <si>
    <t>Põllumajanduskeskkonna hea seisundi tagamine</t>
  </si>
  <si>
    <t>PK01070100</t>
  </si>
  <si>
    <t>Maa- ja rannapiirkonna arendamine</t>
  </si>
  <si>
    <t>PK01070500</t>
  </si>
  <si>
    <t>Kohalike omavalitsuste poliitika ja finantseerimine</t>
  </si>
  <si>
    <t>RV04020300</t>
  </si>
  <si>
    <t>IN003000</t>
  </si>
  <si>
    <t>REM</t>
  </si>
  <si>
    <t>Täitmine 2024</t>
  </si>
  <si>
    <t xml:space="preserve">Osalused avaliku sektori ja sidusüksustes </t>
  </si>
  <si>
    <t>Raamatupidamisandmed 2024</t>
  </si>
  <si>
    <t>RE aruanne 2024</t>
  </si>
  <si>
    <t>Vahe 2024</t>
  </si>
  <si>
    <t>PK02010700</t>
  </si>
  <si>
    <t>Kalavarude haldamine ja kaitse</t>
  </si>
  <si>
    <t>RV04040100</t>
  </si>
  <si>
    <t>RV04050100</t>
  </si>
  <si>
    <t>Ühistransporditeenuse arendamine ja soodustamine</t>
  </si>
  <si>
    <t>TR02010100</t>
  </si>
  <si>
    <t>Osalused</t>
  </si>
  <si>
    <t>Tulem põhivarade ja varude müügist</t>
  </si>
  <si>
    <t>2025. aasta riigieelarve täitmise arunne</t>
  </si>
  <si>
    <t>Täitmine 2025</t>
  </si>
  <si>
    <t>Muud toetused</t>
  </si>
  <si>
    <t>Muud kulud, sh amortisatsioon</t>
  </si>
  <si>
    <t>Seaduses toodud kulude detailsem jaotus asutuste, majandusliku sisu ja liikide lõikes</t>
  </si>
  <si>
    <t>2025. a riigieelarve täitmise aruande lisa</t>
  </si>
  <si>
    <t>Sh piirmääraga kulud</t>
  </si>
  <si>
    <t>Sh arvestuslikud kulud</t>
  </si>
  <si>
    <t>Sh välistoetus koos riigieelarvelise kaasfinantseeringuga</t>
  </si>
  <si>
    <t>Sh muud tuludest sõltuvad kulud</t>
  </si>
  <si>
    <t>Sh amortisatsioon</t>
  </si>
  <si>
    <t>Investeeringutoetused</t>
  </si>
  <si>
    <t>IN005000</t>
  </si>
  <si>
    <t>IN000035</t>
  </si>
  <si>
    <t>Maa ja ruumiloome programm</t>
  </si>
  <si>
    <t>Biomajanduse programm</t>
  </si>
  <si>
    <t>PKBM010100</t>
  </si>
  <si>
    <t>Programmi tegevus: Põllumajanduskeskkonna hea seisundi tagamine</t>
  </si>
  <si>
    <t>Põllumajanduse Registrite ja Informatsiooni Amet</t>
  </si>
  <si>
    <t>Maaelu Teadmuskeskus</t>
  </si>
  <si>
    <t>Ringbiomajanduse arendamine</t>
  </si>
  <si>
    <t>Programmi tegevus: Ringbiomajanduse arendamine</t>
  </si>
  <si>
    <t>PKBM010200</t>
  </si>
  <si>
    <t>Põllumajandus- ja toidusektori konkurentsivõime arendamine</t>
  </si>
  <si>
    <t>Programmi tegevus: Põllumajandus- ja toidusektori konkurentsivõime arendamine</t>
  </si>
  <si>
    <t>IN089306</t>
  </si>
  <si>
    <t>PKBM010300</t>
  </si>
  <si>
    <t>Noorte põllumajandusettevõtjate tegevuse arendamine</t>
  </si>
  <si>
    <t>PKBM010400</t>
  </si>
  <si>
    <t>Programmi tegevus: Noorte põllumajandusettevõtjate tegevuse arendamine</t>
  </si>
  <si>
    <t>PKBM010500</t>
  </si>
  <si>
    <t>Programmi tegevus: Turukorraldus ja kaubanduspoliitika rakendamine</t>
  </si>
  <si>
    <t>Põllumajandus- ja Toiduamet</t>
  </si>
  <si>
    <t>Ühistegevuse ja koostöö arendamine</t>
  </si>
  <si>
    <t>Programmi tegevus: Ühistegevuse ja koostöö arendamine</t>
  </si>
  <si>
    <t>PKBM010600</t>
  </si>
  <si>
    <t>Eesti toidu kuvandi ja müügivõimekuse edendamine</t>
  </si>
  <si>
    <t>PKBM010700</t>
  </si>
  <si>
    <t>Programmi tegevus: Eesti toidu kuvandi ja müügivõimekuse edendamine</t>
  </si>
  <si>
    <t>Kutselise kalapüügi korraldamine</t>
  </si>
  <si>
    <t>Vee-elusressursside töötlemine ja turustamine</t>
  </si>
  <si>
    <t>Vesiviljeluse arendamine</t>
  </si>
  <si>
    <t>Programmi tegevus: Kutselise kalapüügi korraldamine</t>
  </si>
  <si>
    <t>PKBM010800</t>
  </si>
  <si>
    <t>Programmi tegevus: Vee-elusressursside töötlemine ja turustamine</t>
  </si>
  <si>
    <t>PKBM010900</t>
  </si>
  <si>
    <t>Programmi tegevus: Vesiviljeluse arendamine</t>
  </si>
  <si>
    <t>PKBM011000</t>
  </si>
  <si>
    <t>Programmi tegevus: Kalavarude haldamine ja kaitse</t>
  </si>
  <si>
    <t>PKBM011100</t>
  </si>
  <si>
    <t>Toiduohutuse programm</t>
  </si>
  <si>
    <t>Looma- ja taimetervise poliitika kujundamine ja rakendamine</t>
  </si>
  <si>
    <t>Toiduohutuse poliitika kujundamine ja rakendamine</t>
  </si>
  <si>
    <t>Mahepõllumajanduse poliitika kujundamine ja rakendamine</t>
  </si>
  <si>
    <t>Taimekaitse ja väetiste poliitika kujundamine ja rakendamine</t>
  </si>
  <si>
    <t>IN089336</t>
  </si>
  <si>
    <t>Programmi tegevus: Taimekaitse ja väetiste poliitika kujundamine ja rakendamine</t>
  </si>
  <si>
    <t>PKTO010100</t>
  </si>
  <si>
    <t>Programmi tegevus: Looma- ja taimetervise poliitika kujundamine ja rakendamine</t>
  </si>
  <si>
    <t>PKTO010200</t>
  </si>
  <si>
    <t>Programmi tegevus: Toiduohutuse poliitika kujundamine ja rakendamine</t>
  </si>
  <si>
    <t>PKTO010300</t>
  </si>
  <si>
    <t>PKTO010400</t>
  </si>
  <si>
    <t>Programmi tegevus: Tõuaretuse poliitika kujundamine ja rakendamine</t>
  </si>
  <si>
    <t>PKTO010500</t>
  </si>
  <si>
    <t>Programmi tegevus: Mahepõllumajanduse poliitika kujundamine ja rakendamine</t>
  </si>
  <si>
    <t>PKTO010600</t>
  </si>
  <si>
    <t>Regionaalarengu programm</t>
  </si>
  <si>
    <t>Regionaal- ja maaelupoliitika kujundamine ja rakendamine</t>
  </si>
  <si>
    <t>Programmi tegevus: Regionaal- ja maaelupoliitika kujundamine ja rakendamine</t>
  </si>
  <si>
    <t>ELRA010100</t>
  </si>
  <si>
    <t>IN080027,IN005000</t>
  </si>
  <si>
    <t>Programmi tegevus: Kohalike omavalitsuste poliitika ja finantseerimine</t>
  </si>
  <si>
    <t>ELRA010200</t>
  </si>
  <si>
    <t>Ühistranspordi programm</t>
  </si>
  <si>
    <t>Programmi tegevus: Ühistransporditeenuse arendamine ja soodustamine</t>
  </si>
  <si>
    <t>ELYT010100</t>
  </si>
  <si>
    <t>Programmi tegevus: Põllumajandusmaa ja maaparanduse poliitika kujundamine</t>
  </si>
  <si>
    <t>ELMR010500</t>
  </si>
  <si>
    <t>Sordiaretuse ja paljundusmaterjali poliitika kujundamine</t>
  </si>
  <si>
    <t>Muudatused 18.06.2025 lisaeelarve seaduse alusel</t>
  </si>
  <si>
    <t>Muudatused 03.12.2025 teise lisaeelarve seaduse alusel</t>
  </si>
  <si>
    <t>Tuludest sõltuvate kulude tegelik limiit</t>
  </si>
  <si>
    <t>Finantseerimistegevuseks antud sihtfinantseerimise laekumine</t>
  </si>
  <si>
    <t>Regionaal- ja Põllumajandusministeeriumi Infotehnoloogia Keskus</t>
  </si>
  <si>
    <t>Riigi Laboriuuringute ja Riskihindamise Keskus</t>
  </si>
  <si>
    <t>Raamatupidamisandmed 2025</t>
  </si>
  <si>
    <t>RE aruanne 2025</t>
  </si>
  <si>
    <t>Vahe 2025</t>
  </si>
  <si>
    <t>Tõuaretuse poliitika kujundamine ja rakendamine</t>
  </si>
  <si>
    <t>Turukorraldus ja kaubanduspoliitika rakendamine</t>
  </si>
  <si>
    <t>Programmi tegevus: Sordiaretuse ja paljundusmaterjali poliitika kujundamine</t>
  </si>
  <si>
    <t>Tulemusvaldkond: ELUKESKKOND, LIIKUVUS JA MERENDUS</t>
  </si>
  <si>
    <t>Saadud riigisisesed toetused</t>
  </si>
  <si>
    <t>Saadud välistoetused vahendamiseks riigiasutustele</t>
  </si>
  <si>
    <t>Kohalikele omavalitsuste toetus- ja tasandusfond, mis kajastatakse Vabariigi Valitsuse eelarve osas</t>
  </si>
  <si>
    <t>Ebatõenäoliselt laekuvad nõuded (tulude taastamine)</t>
  </si>
  <si>
    <t>Ebatõenäoliselt laekuvad nõuded (kulude taastamine)</t>
  </si>
  <si>
    <t>Edasiantud välistoetused ja kaasfinantseerimine riigiasutustele</t>
  </si>
  <si>
    <t>Antud mitterahalised toetused</t>
  </si>
  <si>
    <t xml:space="preserve">Põllumajandusmaa ja maaparanduse poliitika kujundamine </t>
  </si>
  <si>
    <t>Kulud kokku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</si>
</sst>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rgb="FF0000FF"/>
      <name val="Times New Roman"/>
      <family val="1"/>
      <charset val="186"/>
    </font>
    <font>
      <sz val="10"/>
      <name val="Arial"/>
      <family val="2"/>
      <charset val="186"/>
    </font>
    <font>
      <sz val="12"/>
      <color theme="5" tint="-0.499984740745262"/>
      <name val="Times New Roman"/>
      <family val="1"/>
      <charset val="186"/>
    </font>
    <font>
      <b/>
      <sz val="12"/>
      <color theme="5" tint="-0.49998474074526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10"/>
      <color rgb="FFFF0000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b/>
      <sz val="12"/>
      <color rgb="FFFF0000"/>
      <name val="Times New Roman"/>
      <family val="1"/>
      <charset val="186"/>
    </font>
    <font>
      <sz val="11"/>
      <color rgb="FFC00000"/>
      <name val="Calibri"/>
      <family val="2"/>
      <charset val="186"/>
      <scheme val="minor"/>
    </font>
    <font>
      <sz val="12"/>
      <color rgb="FF156082"/>
      <name val="Aptos"/>
      <family val="2"/>
    </font>
    <font>
      <sz val="11"/>
      <color theme="5" tint="-0.249977111117893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1">
    <xf numFmtId="0" fontId="0" fillId="0" borderId="0" xfId="0"/>
    <xf numFmtId="3" fontId="4" fillId="0" borderId="0" xfId="0" applyNumberFormat="1" applyFont="1"/>
    <xf numFmtId="3" fontId="0" fillId="0" borderId="0" xfId="0" applyNumberFormat="1"/>
    <xf numFmtId="0" fontId="0" fillId="0" borderId="1" xfId="0" applyBorder="1"/>
    <xf numFmtId="3" fontId="3" fillId="0" borderId="1" xfId="0" applyNumberFormat="1" applyFont="1" applyBorder="1" applyAlignment="1">
      <alignment horizontal="center" wrapText="1"/>
    </xf>
    <xf numFmtId="3" fontId="0" fillId="0" borderId="1" xfId="0" applyNumberFormat="1" applyBorder="1"/>
    <xf numFmtId="3" fontId="5" fillId="0" borderId="1" xfId="0" applyNumberFormat="1" applyFont="1" applyBorder="1" applyAlignment="1">
      <alignment horizontal="right"/>
    </xf>
    <xf numFmtId="3" fontId="7" fillId="0" borderId="1" xfId="2" applyNumberFormat="1" applyFont="1" applyBorder="1" applyAlignment="1" applyProtection="1">
      <alignment horizontal="right"/>
      <protection locked="0"/>
    </xf>
    <xf numFmtId="3" fontId="7" fillId="3" borderId="1" xfId="0" applyNumberFormat="1" applyFont="1" applyFill="1" applyBorder="1" applyAlignment="1">
      <alignment horizontal="right"/>
    </xf>
    <xf numFmtId="3" fontId="10" fillId="3" borderId="1" xfId="0" applyNumberFormat="1" applyFont="1" applyFill="1" applyBorder="1" applyAlignment="1">
      <alignment horizontal="right"/>
    </xf>
    <xf numFmtId="3" fontId="5" fillId="3" borderId="1" xfId="2" applyNumberFormat="1" applyFont="1" applyFill="1" applyBorder="1" applyAlignment="1" applyProtection="1">
      <alignment horizontal="right"/>
      <protection locked="0"/>
    </xf>
    <xf numFmtId="3" fontId="5" fillId="3" borderId="1" xfId="0" applyNumberFormat="1" applyFont="1" applyFill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6" fillId="3" borderId="1" xfId="0" applyNumberFormat="1" applyFont="1" applyFill="1" applyBorder="1" applyAlignment="1">
      <alignment horizontal="right"/>
    </xf>
    <xf numFmtId="3" fontId="8" fillId="3" borderId="1" xfId="0" applyNumberFormat="1" applyFont="1" applyFill="1" applyBorder="1" applyAlignment="1">
      <alignment horizontal="right"/>
    </xf>
    <xf numFmtId="3" fontId="11" fillId="3" borderId="1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2" fillId="0" borderId="0" xfId="0" applyFont="1"/>
    <xf numFmtId="3" fontId="9" fillId="0" borderId="0" xfId="0" applyNumberFormat="1" applyFont="1"/>
    <xf numFmtId="4" fontId="9" fillId="0" borderId="0" xfId="0" applyNumberFormat="1" applyFont="1"/>
    <xf numFmtId="4" fontId="9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2" fillId="0" borderId="0" xfId="0" applyNumberFormat="1" applyFont="1" applyAlignment="1">
      <alignment wrapText="1"/>
    </xf>
    <xf numFmtId="4" fontId="0" fillId="0" borderId="0" xfId="0" applyNumberFormat="1"/>
    <xf numFmtId="0" fontId="12" fillId="3" borderId="1" xfId="0" applyFont="1" applyFill="1" applyBorder="1" applyAlignment="1">
      <alignment vertical="top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left"/>
    </xf>
    <xf numFmtId="0" fontId="14" fillId="0" borderId="0" xfId="0" applyFont="1"/>
    <xf numFmtId="3" fontId="14" fillId="0" borderId="0" xfId="0" applyNumberFormat="1" applyFont="1" applyAlignment="1">
      <alignment vertical="top"/>
    </xf>
    <xf numFmtId="0" fontId="12" fillId="4" borderId="1" xfId="0" applyFont="1" applyFill="1" applyBorder="1" applyAlignment="1">
      <alignment vertical="top"/>
    </xf>
    <xf numFmtId="3" fontId="14" fillId="4" borderId="1" xfId="0" applyNumberFormat="1" applyFont="1" applyFill="1" applyBorder="1" applyAlignment="1">
      <alignment horizontal="center" vertical="top" wrapText="1"/>
    </xf>
    <xf numFmtId="0" fontId="14" fillId="0" borderId="1" xfId="0" applyFont="1" applyBorder="1" applyAlignment="1">
      <alignment vertical="top"/>
    </xf>
    <xf numFmtId="3" fontId="14" fillId="0" borderId="1" xfId="0" applyNumberFormat="1" applyFont="1" applyBorder="1" applyAlignment="1">
      <alignment vertical="top"/>
    </xf>
    <xf numFmtId="0" fontId="14" fillId="0" borderId="1" xfId="0" applyFont="1" applyBorder="1"/>
    <xf numFmtId="0" fontId="12" fillId="0" borderId="1" xfId="0" applyFont="1" applyBorder="1" applyAlignment="1">
      <alignment vertical="top"/>
    </xf>
    <xf numFmtId="3" fontId="12" fillId="0" borderId="1" xfId="0" applyNumberFormat="1" applyFont="1" applyBorder="1" applyAlignment="1">
      <alignment vertical="top"/>
    </xf>
    <xf numFmtId="3" fontId="14" fillId="0" borderId="0" xfId="0" applyNumberFormat="1" applyFont="1"/>
    <xf numFmtId="0" fontId="13" fillId="0" borderId="0" xfId="0" applyFont="1"/>
    <xf numFmtId="4" fontId="13" fillId="0" borderId="0" xfId="0" applyNumberFormat="1" applyFont="1"/>
    <xf numFmtId="0" fontId="13" fillId="0" borderId="1" xfId="0" applyFont="1" applyBorder="1"/>
    <xf numFmtId="3" fontId="13" fillId="0" borderId="1" xfId="0" applyNumberFormat="1" applyFont="1" applyBorder="1"/>
    <xf numFmtId="4" fontId="0" fillId="0" borderId="0" xfId="0" applyNumberFormat="1" applyAlignment="1">
      <alignment horizontal="right"/>
    </xf>
    <xf numFmtId="3" fontId="6" fillId="0" borderId="1" xfId="2" applyNumberFormat="1" applyFont="1" applyBorder="1" applyAlignment="1" applyProtection="1">
      <alignment horizontal="right"/>
      <protection locked="0"/>
    </xf>
    <xf numFmtId="3" fontId="5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43" fontId="0" fillId="0" borderId="0" xfId="6" applyFont="1"/>
    <xf numFmtId="4" fontId="9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 wrapText="1"/>
    </xf>
    <xf numFmtId="43" fontId="1" fillId="0" borderId="0" xfId="6" applyFont="1"/>
    <xf numFmtId="43" fontId="13" fillId="0" borderId="0" xfId="6" applyFont="1"/>
    <xf numFmtId="0" fontId="3" fillId="0" borderId="0" xfId="0" applyFont="1"/>
    <xf numFmtId="3" fontId="5" fillId="0" borderId="0" xfId="0" applyNumberFormat="1" applyFont="1"/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3" fontId="3" fillId="0" borderId="1" xfId="0" applyNumberFormat="1" applyFont="1" applyBorder="1"/>
    <xf numFmtId="3" fontId="6" fillId="0" borderId="1" xfId="2" applyNumberFormat="1" applyFont="1" applyBorder="1" applyAlignment="1" applyProtection="1">
      <alignment horizontal="left"/>
      <protection locked="0"/>
    </xf>
    <xf numFmtId="3" fontId="7" fillId="0" borderId="1" xfId="2" applyNumberFormat="1" applyFont="1" applyBorder="1" applyAlignment="1" applyProtection="1">
      <alignment horizontal="center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5" fillId="0" borderId="1" xfId="2" applyFont="1" applyBorder="1" applyAlignment="1" applyProtection="1">
      <alignment horizontal="left"/>
      <protection locked="0"/>
    </xf>
    <xf numFmtId="0" fontId="7" fillId="0" borderId="1" xfId="2" applyFont="1" applyBorder="1" applyAlignment="1" applyProtection="1">
      <alignment horizontal="center"/>
      <protection locked="0"/>
    </xf>
    <xf numFmtId="0" fontId="3" fillId="0" borderId="1" xfId="1" applyFont="1" applyBorder="1" applyAlignment="1" applyProtection="1">
      <alignment horizontal="left"/>
      <protection locked="0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0" borderId="1" xfId="1" applyFont="1" applyBorder="1" applyAlignment="1" applyProtection="1">
      <alignment horizontal="left"/>
      <protection locked="0"/>
    </xf>
    <xf numFmtId="0" fontId="5" fillId="0" borderId="1" xfId="0" applyFont="1" applyBorder="1"/>
    <xf numFmtId="0" fontId="3" fillId="3" borderId="1" xfId="0" applyFont="1" applyFill="1" applyBorder="1" applyAlignment="1">
      <alignment horizontal="left"/>
    </xf>
    <xf numFmtId="3" fontId="3" fillId="3" borderId="1" xfId="0" applyNumberFormat="1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horizontal="left"/>
    </xf>
    <xf numFmtId="0" fontId="5" fillId="3" borderId="1" xfId="2" applyFont="1" applyFill="1" applyBorder="1" applyAlignment="1" applyProtection="1">
      <alignment horizontal="left"/>
      <protection locked="0"/>
    </xf>
    <xf numFmtId="0" fontId="3" fillId="0" borderId="1" xfId="0" applyFont="1" applyBorder="1"/>
    <xf numFmtId="0" fontId="5" fillId="2" borderId="1" xfId="0" applyFont="1" applyFill="1" applyBorder="1" applyProtection="1">
      <protection locked="0"/>
    </xf>
    <xf numFmtId="0" fontId="5" fillId="0" borderId="1" xfId="0" applyFont="1" applyBorder="1" applyAlignment="1" applyProtection="1">
      <alignment vertical="top"/>
      <protection locked="0"/>
    </xf>
    <xf numFmtId="0" fontId="7" fillId="0" borderId="1" xfId="0" applyFont="1" applyBorder="1" applyAlignment="1" applyProtection="1">
      <alignment vertical="top"/>
      <protection locked="0"/>
    </xf>
    <xf numFmtId="0" fontId="3" fillId="5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left"/>
    </xf>
    <xf numFmtId="3" fontId="2" fillId="0" borderId="0" xfId="0" applyNumberFormat="1" applyFont="1"/>
    <xf numFmtId="0" fontId="0" fillId="5" borderId="1" xfId="0" applyFill="1" applyBorder="1"/>
    <xf numFmtId="3" fontId="0" fillId="5" borderId="1" xfId="0" applyNumberFormat="1" applyFill="1" applyBorder="1"/>
    <xf numFmtId="3" fontId="13" fillId="0" borderId="0" xfId="0" applyNumberFormat="1" applyFont="1"/>
    <xf numFmtId="0" fontId="3" fillId="0" borderId="1" xfId="0" applyFont="1" applyBorder="1" applyAlignment="1" applyProtection="1">
      <alignment vertical="top"/>
      <protection locked="0"/>
    </xf>
    <xf numFmtId="4" fontId="18" fillId="3" borderId="1" xfId="0" applyNumberFormat="1" applyFont="1" applyFill="1" applyBorder="1" applyAlignment="1">
      <alignment horizontal="right" vertical="top" wrapText="1"/>
    </xf>
    <xf numFmtId="4" fontId="18" fillId="3" borderId="1" xfId="0" applyNumberFormat="1" applyFont="1" applyFill="1" applyBorder="1" applyAlignment="1">
      <alignment vertical="top"/>
    </xf>
    <xf numFmtId="4" fontId="18" fillId="3" borderId="1" xfId="0" applyNumberFormat="1" applyFont="1" applyFill="1" applyBorder="1" applyAlignment="1">
      <alignment vertical="top" wrapText="1"/>
    </xf>
    <xf numFmtId="0" fontId="18" fillId="3" borderId="1" xfId="0" applyFont="1" applyFill="1" applyBorder="1" applyAlignment="1">
      <alignment vertical="top"/>
    </xf>
    <xf numFmtId="0" fontId="2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/>
    <xf numFmtId="4" fontId="21" fillId="0" borderId="0" xfId="0" applyNumberFormat="1" applyFont="1"/>
    <xf numFmtId="3" fontId="19" fillId="0" borderId="1" xfId="0" applyNumberFormat="1" applyFont="1" applyBorder="1"/>
    <xf numFmtId="3" fontId="4" fillId="0" borderId="1" xfId="0" applyNumberFormat="1" applyFont="1" applyBorder="1"/>
    <xf numFmtId="0" fontId="4" fillId="0" borderId="1" xfId="0" applyFont="1" applyBorder="1"/>
    <xf numFmtId="0" fontId="15" fillId="0" borderId="1" xfId="2" applyFont="1" applyBorder="1" applyAlignment="1" applyProtection="1">
      <alignment horizontal="left"/>
      <protection locked="0"/>
    </xf>
    <xf numFmtId="0" fontId="7" fillId="0" borderId="1" xfId="0" applyFont="1" applyBorder="1" applyAlignment="1">
      <alignment horizontal="left"/>
    </xf>
    <xf numFmtId="0" fontId="7" fillId="0" borderId="1" xfId="2" applyFont="1" applyBorder="1" applyAlignment="1" applyProtection="1">
      <alignment horizontal="left"/>
      <protection locked="0"/>
    </xf>
    <xf numFmtId="0" fontId="20" fillId="0" borderId="1" xfId="2" applyFont="1" applyBorder="1" applyAlignment="1" applyProtection="1">
      <alignment horizontal="left"/>
      <protection locked="0"/>
    </xf>
    <xf numFmtId="3" fontId="14" fillId="0" borderId="1" xfId="0" applyNumberFormat="1" applyFont="1" applyBorder="1" applyAlignment="1" applyProtection="1">
      <alignment horizontal="right" vertical="top"/>
      <protection locked="0"/>
    </xf>
    <xf numFmtId="0" fontId="2" fillId="0" borderId="0" xfId="0" applyFont="1"/>
    <xf numFmtId="0" fontId="19" fillId="0" borderId="1" xfId="0" applyFont="1" applyBorder="1"/>
    <xf numFmtId="4" fontId="2" fillId="0" borderId="0" xfId="0" applyNumberFormat="1" applyFont="1"/>
  </cellXfs>
  <cellStyles count="9">
    <cellStyle name="Comma" xfId="6" builtinId="3"/>
    <cellStyle name="Comma 2" xfId="7" xr:uid="{68AF3142-48B6-46A0-9B66-4AC016C8CCBB}"/>
    <cellStyle name="Comma 3" xfId="8" xr:uid="{BE1105A8-617E-442C-8BD9-85885E660217}"/>
    <cellStyle name="Normaallaad 2" xfId="5" xr:uid="{625F7053-1720-45B8-BC60-DA405838C2BD}"/>
    <cellStyle name="Normal" xfId="0" builtinId="0"/>
    <cellStyle name="Normal 10 2" xfId="1" xr:uid="{D70F4CDE-1FE7-448C-B78C-16802263EF7D}"/>
    <cellStyle name="Normal 25 3 6" xfId="4" xr:uid="{C2461F04-5869-445E-B9DC-9D0918BE1F25}"/>
    <cellStyle name="Normal 25 9" xfId="2" xr:uid="{8906365B-27A6-4989-AF6D-1E0C5258DC94}"/>
    <cellStyle name="Normal 25 9 2" xfId="3" xr:uid="{9FD4BB3A-C968-4E24-8E39-E7D1D70EBE26}"/>
  </cellStyles>
  <dxfs count="0"/>
  <tableStyles count="0" defaultTableStyle="TableStyleMedium2" defaultPivotStyle="PivotStyleLight16"/>
  <colors>
    <mruColors>
      <color rgb="FFFFCCFF"/>
      <color rgb="FFFEE8E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09F5C-00A4-4BD3-B743-9BFC60E719C1}">
  <dimension ref="A1:K116"/>
  <sheetViews>
    <sheetView tabSelected="1" zoomScale="90" zoomScaleNormal="90" workbookViewId="0">
      <selection activeCell="A81" sqref="A81"/>
    </sheetView>
  </sheetViews>
  <sheetFormatPr defaultRowHeight="15" x14ac:dyDescent="0.25"/>
  <cols>
    <col min="1" max="1" width="7.42578125" customWidth="1"/>
    <col min="2" max="2" width="57.7109375" customWidth="1"/>
    <col min="3" max="7" width="22" style="2" customWidth="1"/>
    <col min="8" max="8" width="19.7109375" style="47" customWidth="1"/>
    <col min="9" max="9" width="18.85546875" style="47" bestFit="1" customWidth="1"/>
    <col min="10" max="11" width="18.85546875" style="47" customWidth="1"/>
  </cols>
  <sheetData>
    <row r="1" spans="1:11" ht="15.75" x14ac:dyDescent="0.25">
      <c r="A1" s="52" t="s">
        <v>111</v>
      </c>
      <c r="C1" s="1"/>
      <c r="E1" s="77"/>
      <c r="F1" s="77"/>
      <c r="G1" s="53"/>
    </row>
    <row r="2" spans="1:11" ht="15.75" x14ac:dyDescent="0.25">
      <c r="A2" t="s">
        <v>0</v>
      </c>
      <c r="C2" s="1"/>
      <c r="G2" s="53"/>
    </row>
    <row r="3" spans="1:11" ht="31.5" x14ac:dyDescent="0.25">
      <c r="A3" s="3"/>
      <c r="B3" s="3"/>
      <c r="C3" s="4" t="s">
        <v>1</v>
      </c>
      <c r="D3" s="4" t="s">
        <v>2</v>
      </c>
      <c r="E3" s="4" t="s">
        <v>112</v>
      </c>
      <c r="F3" s="4" t="s">
        <v>98</v>
      </c>
      <c r="G3" s="4" t="s">
        <v>3</v>
      </c>
    </row>
    <row r="4" spans="1:11" ht="15.75" x14ac:dyDescent="0.25">
      <c r="A4" s="75" t="s">
        <v>88</v>
      </c>
      <c r="B4" s="76"/>
      <c r="C4" s="12"/>
      <c r="D4" s="13"/>
      <c r="E4" s="45"/>
      <c r="F4" s="45"/>
      <c r="G4" s="6"/>
      <c r="K4" s="47">
        <f t="shared" ref="K4:K51" si="0">J4-G4</f>
        <v>0</v>
      </c>
    </row>
    <row r="5" spans="1:11" ht="15.75" x14ac:dyDescent="0.25">
      <c r="A5" s="59" t="s">
        <v>17</v>
      </c>
      <c r="B5" s="59"/>
      <c r="C5" s="44">
        <f t="shared" ref="C5:E5" si="1">SUM(C6:C13)</f>
        <v>487369241</v>
      </c>
      <c r="D5" s="44">
        <f t="shared" si="1"/>
        <v>487369241</v>
      </c>
      <c r="E5" s="44">
        <f t="shared" si="1"/>
        <v>473365743.43000001</v>
      </c>
      <c r="F5" s="44">
        <f t="shared" ref="F5" si="2">SUM(F6:F13)</f>
        <v>372520030.88000005</v>
      </c>
      <c r="G5" s="44">
        <f>SUM(G6:G13)</f>
        <v>-14003497.570000008</v>
      </c>
      <c r="J5" s="47">
        <f t="shared" ref="J5:J21" si="3">E5-D5</f>
        <v>-14003497.569999993</v>
      </c>
      <c r="K5" s="47">
        <f t="shared" si="0"/>
        <v>1.4901161193847656E-8</v>
      </c>
    </row>
    <row r="6" spans="1:11" ht="15.75" x14ac:dyDescent="0.25">
      <c r="A6" s="61"/>
      <c r="B6" s="60" t="s">
        <v>5</v>
      </c>
      <c r="C6" s="7">
        <v>1356288</v>
      </c>
      <c r="D6" s="7">
        <f>C6</f>
        <v>1356288</v>
      </c>
      <c r="E6" s="7">
        <v>1242282.96</v>
      </c>
      <c r="F6" s="7">
        <v>1387745.04</v>
      </c>
      <c r="G6" s="7">
        <f>E6-D6</f>
        <v>-114005.04000000004</v>
      </c>
      <c r="H6" s="50"/>
      <c r="I6" s="50"/>
      <c r="J6" s="47">
        <f t="shared" si="3"/>
        <v>-114005.04000000004</v>
      </c>
      <c r="K6" s="47">
        <f t="shared" si="0"/>
        <v>0</v>
      </c>
    </row>
    <row r="7" spans="1:11" ht="15.75" x14ac:dyDescent="0.25">
      <c r="A7" s="61"/>
      <c r="B7" s="60" t="s">
        <v>6</v>
      </c>
      <c r="C7" s="7">
        <v>9100450</v>
      </c>
      <c r="D7" s="7">
        <f t="shared" ref="D7:D13" si="4">C7</f>
        <v>9100450</v>
      </c>
      <c r="E7" s="7">
        <f>9983828.73+30531.92-223114.64</f>
        <v>9791246.0099999998</v>
      </c>
      <c r="F7" s="7">
        <f>9621624.41+8496252.41-52344.25</f>
        <v>18065532.57</v>
      </c>
      <c r="G7" s="7">
        <f t="shared" ref="G7:G13" si="5">E7-D7</f>
        <v>690796.00999999978</v>
      </c>
      <c r="H7" s="50"/>
      <c r="I7" s="50"/>
      <c r="J7" s="47">
        <f t="shared" si="3"/>
        <v>690796.00999999978</v>
      </c>
      <c r="K7" s="47">
        <f t="shared" si="0"/>
        <v>0</v>
      </c>
    </row>
    <row r="8" spans="1:11" ht="15.75" x14ac:dyDescent="0.25">
      <c r="A8" s="61"/>
      <c r="B8" s="60" t="s">
        <v>4</v>
      </c>
      <c r="C8" s="7">
        <v>474861176</v>
      </c>
      <c r="D8" s="7">
        <f t="shared" si="4"/>
        <v>474861176</v>
      </c>
      <c r="E8" s="7">
        <f>488061391.99-31958795.94-574854.42-3121781.81</f>
        <v>452405959.81999999</v>
      </c>
      <c r="F8" s="7">
        <f>344230743.85-19727212.96-2222406.34-384739.86</f>
        <v>321896384.69000006</v>
      </c>
      <c r="G8" s="7">
        <f t="shared" si="5"/>
        <v>-22455216.180000007</v>
      </c>
      <c r="H8" s="50"/>
      <c r="I8" s="50"/>
      <c r="J8" s="47">
        <f t="shared" si="3"/>
        <v>-22455216.180000007</v>
      </c>
      <c r="K8" s="47">
        <f t="shared" si="0"/>
        <v>0</v>
      </c>
    </row>
    <row r="9" spans="1:11" ht="15.75" x14ac:dyDescent="0.25">
      <c r="A9" s="61"/>
      <c r="B9" s="60" t="s">
        <v>7</v>
      </c>
      <c r="C9" s="7">
        <v>0</v>
      </c>
      <c r="D9" s="7">
        <f t="shared" si="4"/>
        <v>0</v>
      </c>
      <c r="E9" s="7">
        <v>0</v>
      </c>
      <c r="F9" s="7">
        <v>21903835.93</v>
      </c>
      <c r="G9" s="7">
        <f t="shared" si="5"/>
        <v>0</v>
      </c>
      <c r="H9" s="50"/>
      <c r="I9" s="50"/>
      <c r="J9" s="47">
        <f t="shared" si="3"/>
        <v>0</v>
      </c>
      <c r="K9" s="47">
        <f t="shared" si="0"/>
        <v>0</v>
      </c>
    </row>
    <row r="10" spans="1:11" ht="15.75" x14ac:dyDescent="0.25">
      <c r="A10" s="61"/>
      <c r="B10" s="60" t="s">
        <v>8</v>
      </c>
      <c r="C10" s="7">
        <v>10602</v>
      </c>
      <c r="D10" s="7">
        <f t="shared" si="4"/>
        <v>10602</v>
      </c>
      <c r="E10" s="7">
        <v>31817.360000000001</v>
      </c>
      <c r="F10" s="7">
        <v>19235.490000000002</v>
      </c>
      <c r="G10" s="7">
        <f t="shared" si="5"/>
        <v>21215.360000000001</v>
      </c>
      <c r="H10" s="50"/>
      <c r="I10" s="50"/>
      <c r="J10" s="47">
        <f t="shared" si="3"/>
        <v>21215.360000000001</v>
      </c>
      <c r="K10" s="47">
        <f t="shared" si="0"/>
        <v>0</v>
      </c>
    </row>
    <row r="11" spans="1:11" ht="15.75" x14ac:dyDescent="0.25">
      <c r="A11" s="61"/>
      <c r="B11" s="60" t="s">
        <v>9</v>
      </c>
      <c r="C11" s="7">
        <v>1261812</v>
      </c>
      <c r="D11" s="7">
        <f t="shared" si="4"/>
        <v>1261812</v>
      </c>
      <c r="E11" s="7">
        <v>1582696.52</v>
      </c>
      <c r="F11" s="7">
        <v>1294265.6499999999</v>
      </c>
      <c r="G11" s="7">
        <f t="shared" si="5"/>
        <v>320884.52</v>
      </c>
      <c r="H11" s="50"/>
      <c r="I11" s="50"/>
      <c r="J11" s="47">
        <f t="shared" si="3"/>
        <v>320884.52</v>
      </c>
      <c r="K11" s="47">
        <f t="shared" si="0"/>
        <v>0</v>
      </c>
    </row>
    <row r="12" spans="1:11" ht="15.75" x14ac:dyDescent="0.25">
      <c r="A12" s="61"/>
      <c r="B12" s="60" t="s">
        <v>51</v>
      </c>
      <c r="C12" s="7">
        <v>115953</v>
      </c>
      <c r="D12" s="7">
        <f t="shared" si="4"/>
        <v>115953</v>
      </c>
      <c r="E12" s="7">
        <f>2505969.29-31817.36-1582696.52-8724.5</f>
        <v>882730.91000000015</v>
      </c>
      <c r="F12" s="7">
        <f>1904551.63-3302.99-1294265.65</f>
        <v>606982.99</v>
      </c>
      <c r="G12" s="7">
        <f t="shared" si="5"/>
        <v>766777.91000000015</v>
      </c>
      <c r="H12" s="50"/>
      <c r="I12" s="50"/>
      <c r="J12" s="47">
        <f t="shared" si="3"/>
        <v>766777.91000000015</v>
      </c>
      <c r="K12" s="47">
        <f t="shared" si="0"/>
        <v>0</v>
      </c>
    </row>
    <row r="13" spans="1:11" ht="15.75" x14ac:dyDescent="0.25">
      <c r="A13" s="61"/>
      <c r="B13" s="60" t="s">
        <v>10</v>
      </c>
      <c r="C13" s="7">
        <v>662960</v>
      </c>
      <c r="D13" s="7">
        <f t="shared" si="4"/>
        <v>662960</v>
      </c>
      <c r="E13" s="7">
        <f>66461.57+7362548.28</f>
        <v>7429009.8500000006</v>
      </c>
      <c r="F13" s="7">
        <f>81662.02+7264386.5</f>
        <v>7346048.5199999996</v>
      </c>
      <c r="G13" s="7">
        <f t="shared" si="5"/>
        <v>6766049.8500000006</v>
      </c>
      <c r="H13" s="50"/>
      <c r="I13" s="50"/>
      <c r="J13" s="47">
        <f t="shared" si="3"/>
        <v>6766049.8500000006</v>
      </c>
      <c r="K13" s="47">
        <f t="shared" si="0"/>
        <v>0</v>
      </c>
    </row>
    <row r="14" spans="1:11" ht="15.75" x14ac:dyDescent="0.25">
      <c r="A14" s="59" t="s">
        <v>13</v>
      </c>
      <c r="B14" s="59"/>
      <c r="C14" s="44">
        <f>C16+C66+C88+C111</f>
        <v>-791744303</v>
      </c>
      <c r="D14" s="44">
        <f t="shared" ref="D14:G14" si="6">D16+D66+D88+D111</f>
        <v>-824986410.22567809</v>
      </c>
      <c r="E14" s="44">
        <f t="shared" si="6"/>
        <v>-778897497.29256821</v>
      </c>
      <c r="F14" s="44">
        <f t="shared" si="6"/>
        <v>-635190140.18000019</v>
      </c>
      <c r="G14" s="44">
        <f t="shared" si="6"/>
        <v>46088912.933109842</v>
      </c>
      <c r="H14" s="47">
        <f>E14+E89+6340902.12</f>
        <v>-782836924.27256823</v>
      </c>
      <c r="J14" s="47">
        <f t="shared" si="3"/>
        <v>46088912.933109879</v>
      </c>
      <c r="K14" s="47">
        <f t="shared" si="0"/>
        <v>0</v>
      </c>
    </row>
    <row r="15" spans="1:11" ht="15.75" x14ac:dyDescent="0.25">
      <c r="A15" s="61"/>
      <c r="B15" s="60" t="s">
        <v>11</v>
      </c>
      <c r="C15" s="7">
        <f>C17+C67+C112</f>
        <v>-213277023</v>
      </c>
      <c r="D15" s="7">
        <f>D17+D67+D112</f>
        <v>-285487321.39999998</v>
      </c>
      <c r="E15" s="7">
        <f>E17+E67+E112</f>
        <v>-264497941.29000002</v>
      </c>
      <c r="F15" s="7">
        <f t="shared" ref="F15:G15" si="7">F17+F67+F112</f>
        <v>-258473595.39000002</v>
      </c>
      <c r="G15" s="7">
        <f t="shared" si="7"/>
        <v>20989380.109999999</v>
      </c>
      <c r="J15" s="47">
        <f t="shared" si="3"/>
        <v>20989380.109999955</v>
      </c>
      <c r="K15" s="47">
        <f t="shared" si="0"/>
        <v>-4.4703483581542969E-8</v>
      </c>
    </row>
    <row r="16" spans="1:11" ht="15.75" x14ac:dyDescent="0.25">
      <c r="A16" s="54" t="s">
        <v>24</v>
      </c>
      <c r="B16" s="54"/>
      <c r="C16" s="14">
        <f>C18+C52</f>
        <v>-447464805</v>
      </c>
      <c r="D16" s="14">
        <f t="shared" ref="D16:G16" si="8">D18+D52</f>
        <v>-447160491.9656781</v>
      </c>
      <c r="E16" s="14">
        <f t="shared" si="8"/>
        <v>-422313481.97256827</v>
      </c>
      <c r="F16" s="14">
        <f t="shared" si="8"/>
        <v>-399948529.8300001</v>
      </c>
      <c r="G16" s="14">
        <f t="shared" si="8"/>
        <v>24847009.993109841</v>
      </c>
      <c r="J16" s="47">
        <f t="shared" si="3"/>
        <v>24847009.993109822</v>
      </c>
      <c r="K16" s="47">
        <f t="shared" si="0"/>
        <v>0</v>
      </c>
    </row>
    <row r="17" spans="1:11" ht="15.75" x14ac:dyDescent="0.25">
      <c r="A17" s="55"/>
      <c r="B17" s="60" t="s">
        <v>11</v>
      </c>
      <c r="C17" s="12">
        <f>C19+C53</f>
        <v>-57929903</v>
      </c>
      <c r="D17" s="12">
        <f t="shared" ref="D17:G17" si="9">D19+D53</f>
        <v>-86442714.850000009</v>
      </c>
      <c r="E17" s="12">
        <f t="shared" si="9"/>
        <v>-71167955.039999992</v>
      </c>
      <c r="F17" s="12">
        <f t="shared" si="9"/>
        <v>-67952077.650000006</v>
      </c>
      <c r="G17" s="12">
        <f t="shared" si="9"/>
        <v>15274759.81000001</v>
      </c>
      <c r="H17" s="50"/>
      <c r="I17" s="50"/>
      <c r="J17" s="47">
        <f t="shared" si="3"/>
        <v>15274759.810000017</v>
      </c>
      <c r="K17" s="47">
        <f t="shared" si="0"/>
        <v>0</v>
      </c>
    </row>
    <row r="18" spans="1:11" ht="15.75" x14ac:dyDescent="0.25">
      <c r="A18" s="56" t="s">
        <v>126</v>
      </c>
      <c r="B18" s="54"/>
      <c r="C18" s="14">
        <f>C20+C22+C24+C26+C28+C30+C32+C34+C36+C38+C40+C42+C44+C46+C48+C50</f>
        <v>-361681684</v>
      </c>
      <c r="D18" s="14">
        <f t="shared" ref="D18:F18" si="10">D20+D22+D24+D26+D28+D30+D32+D34+D36+D38+D40+D42+D44+D46+D48+D50</f>
        <v>-334584858.65999997</v>
      </c>
      <c r="E18" s="14">
        <f t="shared" si="10"/>
        <v>-327473314.49000001</v>
      </c>
      <c r="F18" s="14">
        <f t="shared" si="10"/>
        <v>-315729266.9000001</v>
      </c>
      <c r="G18" s="14">
        <f t="shared" ref="G18" si="11">G20+G22+G24+G26+G28+G30+G32+G34+G36+G38+G40+G42+G44+G46+G48+G50</f>
        <v>7111544.1700000083</v>
      </c>
      <c r="J18" s="47">
        <f t="shared" si="3"/>
        <v>7111544.1699999571</v>
      </c>
      <c r="K18" s="47">
        <f t="shared" si="0"/>
        <v>-5.1222741603851318E-8</v>
      </c>
    </row>
    <row r="19" spans="1:11" ht="15.75" x14ac:dyDescent="0.25">
      <c r="A19" s="55"/>
      <c r="B19" s="60" t="s">
        <v>11</v>
      </c>
      <c r="C19" s="12">
        <f>C21+C23+C25+C27+C29+C31+C33+C35+C37+C39+C41+C43+C45+C47+C49+C51</f>
        <v>-20342625</v>
      </c>
      <c r="D19" s="12">
        <f t="shared" ref="D19:F19" si="12">D21+D23+D25+D27+D29+D31+D33+D35+D37+D39+D41+D43+D45+D47+D49+D51</f>
        <v>-23907904.73</v>
      </c>
      <c r="E19" s="12">
        <f t="shared" si="12"/>
        <v>-21452414.119999994</v>
      </c>
      <c r="F19" s="12">
        <f t="shared" si="12"/>
        <v>-30489130.699999996</v>
      </c>
      <c r="G19" s="12">
        <f t="shared" ref="G19" si="13">G21+G23+G25+G27+G29+G31+G33+G35+G37+G39+G41+G43+G45+G47+G49+G51</f>
        <v>2455490.6100000022</v>
      </c>
      <c r="I19" s="50"/>
      <c r="J19" s="50">
        <f t="shared" si="3"/>
        <v>2455490.6100000069</v>
      </c>
      <c r="K19" s="50">
        <f t="shared" si="0"/>
        <v>4.6566128730773926E-9</v>
      </c>
    </row>
    <row r="20" spans="1:11" ht="15.75" x14ac:dyDescent="0.25">
      <c r="A20" s="73" t="s">
        <v>90</v>
      </c>
      <c r="B20" s="60"/>
      <c r="C20" s="12">
        <f>LISA!D24</f>
        <v>-62528065</v>
      </c>
      <c r="D20" s="12">
        <f>LISA!E24</f>
        <v>-56801855.729999997</v>
      </c>
      <c r="E20" s="12">
        <f>LISA!F24</f>
        <v>-55414334.250000007</v>
      </c>
      <c r="F20" s="12">
        <v>-55527263.490000002</v>
      </c>
      <c r="G20" s="7">
        <f t="shared" ref="G20:G51" si="14">E20-D20</f>
        <v>1387521.4799999893</v>
      </c>
      <c r="H20" s="47" t="s">
        <v>127</v>
      </c>
      <c r="I20" s="47" t="s">
        <v>91</v>
      </c>
      <c r="J20" s="47">
        <f t="shared" si="3"/>
        <v>1387521.4799999893</v>
      </c>
      <c r="K20" s="47">
        <f t="shared" si="0"/>
        <v>0</v>
      </c>
    </row>
    <row r="21" spans="1:11" ht="15.75" x14ac:dyDescent="0.25">
      <c r="A21" s="73"/>
      <c r="B21" s="60" t="s">
        <v>11</v>
      </c>
      <c r="C21" s="12">
        <f>LISA!D25</f>
        <v>-3243247</v>
      </c>
      <c r="D21" s="12">
        <f>LISA!E25</f>
        <v>-3795264.05</v>
      </c>
      <c r="E21" s="12">
        <f>LISA!F25</f>
        <v>-3174649.0899999994</v>
      </c>
      <c r="F21" s="12">
        <v>-4481313.3099999996</v>
      </c>
      <c r="G21" s="7">
        <f t="shared" si="14"/>
        <v>620614.96000000043</v>
      </c>
      <c r="J21" s="47">
        <f t="shared" si="3"/>
        <v>620614.96000000043</v>
      </c>
      <c r="K21" s="47">
        <f t="shared" si="0"/>
        <v>0</v>
      </c>
    </row>
    <row r="22" spans="1:11" ht="15.75" x14ac:dyDescent="0.25">
      <c r="A22" s="73" t="s">
        <v>131</v>
      </c>
      <c r="B22" s="60"/>
      <c r="C22" s="12">
        <f>LISA!D115</f>
        <v>-7713002</v>
      </c>
      <c r="D22" s="12">
        <f>LISA!E115</f>
        <v>-13837799.35</v>
      </c>
      <c r="E22" s="12">
        <f>LISA!F115</f>
        <v>-13568825.499999996</v>
      </c>
      <c r="F22" s="12">
        <v>0</v>
      </c>
      <c r="G22" s="7">
        <f t="shared" si="14"/>
        <v>268973.85000000335</v>
      </c>
      <c r="H22" s="47" t="s">
        <v>133</v>
      </c>
    </row>
    <row r="23" spans="1:11" ht="15.75" x14ac:dyDescent="0.25">
      <c r="A23" s="73"/>
      <c r="B23" s="60" t="s">
        <v>11</v>
      </c>
      <c r="C23" s="12">
        <f>LISA!D116</f>
        <v>-144957</v>
      </c>
      <c r="D23" s="12">
        <f>LISA!E116</f>
        <v>-145105.86999999997</v>
      </c>
      <c r="E23" s="12">
        <f>LISA!F116</f>
        <v>-136356.18999999997</v>
      </c>
      <c r="F23" s="12">
        <v>0</v>
      </c>
      <c r="G23" s="7">
        <f t="shared" si="14"/>
        <v>8749.679999999993</v>
      </c>
    </row>
    <row r="24" spans="1:11" ht="15.75" x14ac:dyDescent="0.25">
      <c r="A24" s="73" t="s">
        <v>134</v>
      </c>
      <c r="B24" s="60"/>
      <c r="C24" s="12">
        <f>LISA!D182</f>
        <v>-129394515</v>
      </c>
      <c r="D24" s="12">
        <f>LISA!E182</f>
        <v>-108391262.84</v>
      </c>
      <c r="E24" s="12">
        <f>LISA!F182</f>
        <v>-104838748.46999998</v>
      </c>
      <c r="F24" s="12">
        <v>-73204234.930000007</v>
      </c>
      <c r="G24" s="7">
        <f t="shared" ref="G24:G41" si="15">E24-D24</f>
        <v>3552514.3700000197</v>
      </c>
      <c r="H24" s="47" t="s">
        <v>137</v>
      </c>
      <c r="I24" s="47" t="s">
        <v>74</v>
      </c>
      <c r="J24" s="47">
        <f t="shared" ref="J24:J25" si="16">E24-D24</f>
        <v>3552514.3700000197</v>
      </c>
      <c r="K24" s="47">
        <f t="shared" ref="K24:K25" si="17">J24-G24</f>
        <v>0</v>
      </c>
    </row>
    <row r="25" spans="1:11" ht="15.75" x14ac:dyDescent="0.25">
      <c r="A25" s="73"/>
      <c r="B25" s="60" t="s">
        <v>11</v>
      </c>
      <c r="C25" s="12">
        <f>LISA!D183</f>
        <v>-8779620</v>
      </c>
      <c r="D25" s="12">
        <f>LISA!E183</f>
        <v>-10502313.560000001</v>
      </c>
      <c r="E25" s="12">
        <f>LISA!F183</f>
        <v>-9886156.6099999994</v>
      </c>
      <c r="F25" s="12">
        <v>-7725061.3499999996</v>
      </c>
      <c r="G25" s="7">
        <f t="shared" si="15"/>
        <v>616156.95000000112</v>
      </c>
      <c r="J25" s="47">
        <f t="shared" si="16"/>
        <v>616156.95000000112</v>
      </c>
      <c r="K25" s="47">
        <f t="shared" si="17"/>
        <v>0</v>
      </c>
    </row>
    <row r="26" spans="1:11" ht="15.75" x14ac:dyDescent="0.25">
      <c r="A26" s="73" t="s">
        <v>138</v>
      </c>
      <c r="B26" s="60"/>
      <c r="C26" s="12">
        <f>LISA!D277</f>
        <v>-11703112</v>
      </c>
      <c r="D26" s="12">
        <f>LISA!E277</f>
        <v>-9537197.9200000018</v>
      </c>
      <c r="E26" s="12">
        <f>LISA!F277</f>
        <v>-9456376.3300000001</v>
      </c>
      <c r="F26" s="12">
        <v>0</v>
      </c>
      <c r="G26" s="7">
        <f t="shared" si="15"/>
        <v>80821.590000001714</v>
      </c>
      <c r="H26" s="47" t="s">
        <v>139</v>
      </c>
    </row>
    <row r="27" spans="1:11" ht="15.75" x14ac:dyDescent="0.25">
      <c r="A27" s="73"/>
      <c r="B27" s="60" t="s">
        <v>11</v>
      </c>
      <c r="C27" s="12">
        <f>LISA!D278</f>
        <v>-547440</v>
      </c>
      <c r="D27" s="12">
        <f>LISA!E278</f>
        <v>-636794.97999999986</v>
      </c>
      <c r="E27" s="12">
        <f>LISA!F278</f>
        <v>-577628.81999999995</v>
      </c>
      <c r="F27" s="12">
        <v>0</v>
      </c>
      <c r="G27" s="7">
        <f t="shared" si="15"/>
        <v>59166.159999999916</v>
      </c>
    </row>
    <row r="28" spans="1:11" ht="15.75" x14ac:dyDescent="0.25">
      <c r="A28" s="74" t="s">
        <v>201</v>
      </c>
      <c r="B28" s="95"/>
      <c r="C28" s="12">
        <f>LISA!D342</f>
        <v>-119185731</v>
      </c>
      <c r="D28" s="12">
        <f>LISA!E342</f>
        <v>-119904304.45999999</v>
      </c>
      <c r="E28" s="12">
        <f>LISA!F342</f>
        <v>-119377027.17</v>
      </c>
      <c r="F28" s="12">
        <v>-117719085.54000001</v>
      </c>
      <c r="G28" s="7">
        <f t="shared" si="15"/>
        <v>527277.28999999166</v>
      </c>
      <c r="H28" s="47" t="s">
        <v>141</v>
      </c>
      <c r="I28" s="47" t="s">
        <v>76</v>
      </c>
    </row>
    <row r="29" spans="1:11" ht="15.75" x14ac:dyDescent="0.25">
      <c r="A29" s="73"/>
      <c r="B29" s="60" t="s">
        <v>11</v>
      </c>
      <c r="C29" s="12">
        <f>LISA!D343</f>
        <v>-2059183</v>
      </c>
      <c r="D29" s="12">
        <f>LISA!E343</f>
        <v>-2724937.1200000006</v>
      </c>
      <c r="E29" s="12">
        <f>LISA!F343</f>
        <v>-2274055.0100000002</v>
      </c>
      <c r="F29" s="12">
        <v>-2782384.44</v>
      </c>
      <c r="G29" s="7">
        <f t="shared" si="15"/>
        <v>450882.11000000034</v>
      </c>
    </row>
    <row r="30" spans="1:11" ht="15.75" x14ac:dyDescent="0.25">
      <c r="A30" s="73" t="s">
        <v>144</v>
      </c>
      <c r="B30" s="60"/>
      <c r="C30" s="12">
        <f>LISA!D443</f>
        <v>-1640511</v>
      </c>
      <c r="D30" s="12">
        <f>LISA!E443</f>
        <v>-1603622.03</v>
      </c>
      <c r="E30" s="12">
        <f>LISA!F443</f>
        <v>-1410148.23</v>
      </c>
      <c r="F30" s="12">
        <v>-1322284.8999999999</v>
      </c>
      <c r="G30" s="7">
        <f t="shared" si="15"/>
        <v>193473.80000000005</v>
      </c>
      <c r="H30" s="47" t="s">
        <v>146</v>
      </c>
      <c r="I30" s="47" t="s">
        <v>77</v>
      </c>
      <c r="J30" s="47">
        <f t="shared" ref="J30:J43" si="18">E30-D30</f>
        <v>193473.80000000005</v>
      </c>
      <c r="K30" s="47">
        <f t="shared" ref="K30:K43" si="19">J30-G30</f>
        <v>0</v>
      </c>
    </row>
    <row r="31" spans="1:11" ht="15.75" x14ac:dyDescent="0.25">
      <c r="A31" s="73"/>
      <c r="B31" s="60" t="s">
        <v>11</v>
      </c>
      <c r="C31" s="12">
        <f>LISA!D444</f>
        <v>-821257</v>
      </c>
      <c r="D31" s="12">
        <f>LISA!E444</f>
        <v>-920598.45</v>
      </c>
      <c r="E31" s="12">
        <f>LISA!F444</f>
        <v>-777066.5199999999</v>
      </c>
      <c r="F31" s="12">
        <v>-820684.73</v>
      </c>
      <c r="G31" s="7">
        <f t="shared" si="15"/>
        <v>143531.93000000005</v>
      </c>
      <c r="J31" s="47">
        <f t="shared" si="18"/>
        <v>143531.93000000005</v>
      </c>
      <c r="K31" s="47">
        <f t="shared" si="19"/>
        <v>0</v>
      </c>
    </row>
    <row r="32" spans="1:11" ht="15.75" x14ac:dyDescent="0.25">
      <c r="A32" s="73" t="s">
        <v>147</v>
      </c>
      <c r="B32" s="60"/>
      <c r="C32" s="12">
        <f>LISA!D546</f>
        <v>-3821643</v>
      </c>
      <c r="D32" s="12">
        <f>LISA!E546</f>
        <v>-2925414.95</v>
      </c>
      <c r="E32" s="12">
        <f>LISA!F546</f>
        <v>-2551106.04</v>
      </c>
      <c r="F32" s="12">
        <v>-1582549.55</v>
      </c>
      <c r="G32" s="7">
        <f t="shared" si="15"/>
        <v>374308.91000000015</v>
      </c>
      <c r="H32" s="47" t="s">
        <v>148</v>
      </c>
      <c r="I32" s="47" t="s">
        <v>78</v>
      </c>
      <c r="J32" s="47">
        <f t="shared" si="18"/>
        <v>374308.91000000015</v>
      </c>
      <c r="K32" s="47">
        <f t="shared" si="19"/>
        <v>0</v>
      </c>
    </row>
    <row r="33" spans="1:11" ht="15.75" x14ac:dyDescent="0.25">
      <c r="A33" s="73"/>
      <c r="B33" s="60" t="s">
        <v>11</v>
      </c>
      <c r="C33" s="12">
        <f>LISA!D547</f>
        <v>-1320103</v>
      </c>
      <c r="D33" s="12">
        <f>LISA!E547</f>
        <v>-1488568.8900000001</v>
      </c>
      <c r="E33" s="12">
        <f>LISA!F547</f>
        <v>-1173847.47</v>
      </c>
      <c r="F33" s="12">
        <v>-1111375.69</v>
      </c>
      <c r="G33" s="7">
        <f t="shared" si="15"/>
        <v>314721.42000000016</v>
      </c>
      <c r="J33" s="47">
        <f t="shared" si="18"/>
        <v>314721.42000000016</v>
      </c>
      <c r="K33" s="47">
        <f t="shared" si="19"/>
        <v>0</v>
      </c>
    </row>
    <row r="34" spans="1:11" ht="15.75" x14ac:dyDescent="0.25">
      <c r="A34" s="73" t="s">
        <v>150</v>
      </c>
      <c r="B34" s="60"/>
      <c r="C34" s="12">
        <f>LISA!D632</f>
        <v>-10364418</v>
      </c>
      <c r="D34" s="12">
        <f>LISA!E632</f>
        <v>-7980646.4900000002</v>
      </c>
      <c r="E34" s="12">
        <f>LISA!F632</f>
        <v>-7580400.6399999997</v>
      </c>
      <c r="F34" s="12">
        <v>-3142880.62</v>
      </c>
      <c r="G34" s="7">
        <f t="shared" si="15"/>
        <v>400245.85000000056</v>
      </c>
      <c r="H34" s="47" t="s">
        <v>154</v>
      </c>
      <c r="I34" s="47" t="s">
        <v>79</v>
      </c>
      <c r="J34" s="47">
        <f t="shared" si="18"/>
        <v>400245.85000000056</v>
      </c>
      <c r="K34" s="47">
        <f t="shared" si="19"/>
        <v>0</v>
      </c>
    </row>
    <row r="35" spans="1:11" ht="15.75" x14ac:dyDescent="0.25">
      <c r="A35" s="73"/>
      <c r="B35" s="60" t="s">
        <v>11</v>
      </c>
      <c r="C35" s="12">
        <f>LISA!D633</f>
        <v>-1423114</v>
      </c>
      <c r="D35" s="12">
        <f>LISA!E633</f>
        <v>-1454288.79</v>
      </c>
      <c r="E35" s="12">
        <f>LISA!F633</f>
        <v>-1391408.7</v>
      </c>
      <c r="F35" s="12">
        <v>-1234408.8799999999</v>
      </c>
      <c r="G35" s="7">
        <f t="shared" si="15"/>
        <v>62880.090000000084</v>
      </c>
      <c r="J35" s="47">
        <f t="shared" si="18"/>
        <v>62880.090000000084</v>
      </c>
      <c r="K35" s="47">
        <f t="shared" si="19"/>
        <v>0</v>
      </c>
    </row>
    <row r="36" spans="1:11" ht="15.75" x14ac:dyDescent="0.25">
      <c r="A36" s="73" t="s">
        <v>151</v>
      </c>
      <c r="B36" s="60"/>
      <c r="C36" s="12">
        <f>LISA!D717</f>
        <v>-6934834</v>
      </c>
      <c r="D36" s="12">
        <f>LISA!E717</f>
        <v>-5306139.6900000004</v>
      </c>
      <c r="E36" s="12">
        <f>LISA!F717</f>
        <v>-5133354.629999999</v>
      </c>
      <c r="F36" s="12">
        <v>-1887711.07</v>
      </c>
      <c r="G36" s="7">
        <f t="shared" si="15"/>
        <v>172785.06000000145</v>
      </c>
      <c r="H36" s="47" t="s">
        <v>156</v>
      </c>
      <c r="I36" s="47" t="s">
        <v>80</v>
      </c>
      <c r="J36" s="47">
        <f t="shared" si="18"/>
        <v>172785.06000000145</v>
      </c>
      <c r="K36" s="47">
        <f t="shared" si="19"/>
        <v>0</v>
      </c>
    </row>
    <row r="37" spans="1:11" ht="15.75" x14ac:dyDescent="0.25">
      <c r="A37" s="73"/>
      <c r="B37" s="60" t="s">
        <v>11</v>
      </c>
      <c r="C37" s="12">
        <f>LISA!D718</f>
        <v>-687941</v>
      </c>
      <c r="D37" s="12">
        <f>LISA!E718</f>
        <v>-689649.03</v>
      </c>
      <c r="E37" s="12">
        <f>LISA!F718</f>
        <v>-621354.97000000009</v>
      </c>
      <c r="F37" s="12">
        <v>-446601.79</v>
      </c>
      <c r="G37" s="7">
        <f t="shared" si="15"/>
        <v>68294.059999999939</v>
      </c>
      <c r="J37" s="47">
        <f t="shared" si="18"/>
        <v>68294.059999999939</v>
      </c>
      <c r="K37" s="47">
        <f t="shared" si="19"/>
        <v>0</v>
      </c>
    </row>
    <row r="38" spans="1:11" ht="15.75" x14ac:dyDescent="0.25">
      <c r="A38" s="73" t="s">
        <v>152</v>
      </c>
      <c r="B38" s="60"/>
      <c r="C38" s="12">
        <f>LISA!D783</f>
        <v>-2905373</v>
      </c>
      <c r="D38" s="12">
        <f>LISA!E783</f>
        <v>-2289351.8600000003</v>
      </c>
      <c r="E38" s="12">
        <f>LISA!F783</f>
        <v>-2163169.44</v>
      </c>
      <c r="F38" s="12">
        <v>-432822.31</v>
      </c>
      <c r="G38" s="7">
        <f t="shared" si="15"/>
        <v>126182.42000000039</v>
      </c>
      <c r="H38" s="47" t="s">
        <v>158</v>
      </c>
      <c r="I38" s="47" t="s">
        <v>81</v>
      </c>
      <c r="J38" s="47">
        <f t="shared" si="18"/>
        <v>126182.42000000039</v>
      </c>
      <c r="K38" s="47">
        <f t="shared" si="19"/>
        <v>0</v>
      </c>
    </row>
    <row r="39" spans="1:11" ht="15.75" x14ac:dyDescent="0.25">
      <c r="A39" s="73"/>
      <c r="B39" s="60" t="s">
        <v>11</v>
      </c>
      <c r="C39" s="12">
        <f>LISA!D784</f>
        <v>-457734</v>
      </c>
      <c r="D39" s="12">
        <f>LISA!E784</f>
        <v>-458119.56</v>
      </c>
      <c r="E39" s="12">
        <f>LISA!F784</f>
        <v>-388949.88</v>
      </c>
      <c r="F39" s="12">
        <v>-165685.81</v>
      </c>
      <c r="G39" s="7">
        <f t="shared" si="15"/>
        <v>69169.679999999993</v>
      </c>
      <c r="J39" s="47">
        <f t="shared" si="18"/>
        <v>69169.679999999993</v>
      </c>
      <c r="K39" s="47">
        <f t="shared" si="19"/>
        <v>0</v>
      </c>
    </row>
    <row r="40" spans="1:11" ht="15.75" x14ac:dyDescent="0.25">
      <c r="A40" s="73" t="s">
        <v>68</v>
      </c>
      <c r="B40" s="60"/>
      <c r="C40" s="12">
        <v>0</v>
      </c>
      <c r="D40" s="7">
        <v>0</v>
      </c>
      <c r="E40" s="12">
        <v>0</v>
      </c>
      <c r="F40" s="12">
        <v>-1371610.28</v>
      </c>
      <c r="G40" s="7">
        <f t="shared" si="15"/>
        <v>0</v>
      </c>
      <c r="I40" s="47" t="s">
        <v>82</v>
      </c>
      <c r="J40" s="47">
        <f t="shared" si="18"/>
        <v>0</v>
      </c>
      <c r="K40" s="47">
        <f t="shared" si="19"/>
        <v>0</v>
      </c>
    </row>
    <row r="41" spans="1:11" ht="15.75" x14ac:dyDescent="0.25">
      <c r="A41" s="66"/>
      <c r="B41" s="60" t="s">
        <v>11</v>
      </c>
      <c r="C41" s="12">
        <v>0</v>
      </c>
      <c r="D41" s="7">
        <v>0</v>
      </c>
      <c r="E41" s="12">
        <v>0</v>
      </c>
      <c r="F41" s="12">
        <v>-254981.86</v>
      </c>
      <c r="G41" s="7">
        <f t="shared" si="15"/>
        <v>0</v>
      </c>
      <c r="J41" s="47">
        <f t="shared" si="18"/>
        <v>0</v>
      </c>
      <c r="K41" s="47">
        <f t="shared" si="19"/>
        <v>0</v>
      </c>
    </row>
    <row r="42" spans="1:11" ht="15.75" x14ac:dyDescent="0.25">
      <c r="A42" s="55" t="s">
        <v>104</v>
      </c>
      <c r="B42" s="55"/>
      <c r="C42" s="12">
        <f>LISA!D849</f>
        <v>-5490480</v>
      </c>
      <c r="D42" s="12">
        <f>LISA!E849</f>
        <v>-6007263.3399999999</v>
      </c>
      <c r="E42" s="12">
        <f>LISA!F849</f>
        <v>-5979823.79</v>
      </c>
      <c r="F42" s="12">
        <v>-2329620.14</v>
      </c>
      <c r="G42" s="7">
        <f>E42-D42</f>
        <v>27439.549999999814</v>
      </c>
      <c r="H42" s="47" t="s">
        <v>160</v>
      </c>
      <c r="I42" s="50" t="s">
        <v>103</v>
      </c>
      <c r="J42" s="47">
        <f t="shared" si="18"/>
        <v>27439.549999999814</v>
      </c>
      <c r="K42" s="47">
        <f t="shared" si="19"/>
        <v>0</v>
      </c>
    </row>
    <row r="43" spans="1:11" ht="15.75" x14ac:dyDescent="0.25">
      <c r="A43" s="66"/>
      <c r="B43" s="60" t="s">
        <v>11</v>
      </c>
      <c r="C43" s="12">
        <f>LISA!D850</f>
        <v>-858029</v>
      </c>
      <c r="D43" s="12">
        <f>LISA!E850</f>
        <v>-1092264.43</v>
      </c>
      <c r="E43" s="12">
        <f>LISA!F850</f>
        <v>-1050940.8599999999</v>
      </c>
      <c r="F43" s="12">
        <v>-1097188.8899999999</v>
      </c>
      <c r="G43" s="7">
        <f>E43-D43</f>
        <v>41323.570000000065</v>
      </c>
      <c r="J43" s="47">
        <f t="shared" si="18"/>
        <v>41323.570000000065</v>
      </c>
      <c r="K43" s="47">
        <f t="shared" si="19"/>
        <v>0</v>
      </c>
    </row>
    <row r="44" spans="1:11" ht="15.75" x14ac:dyDescent="0.25">
      <c r="A44" s="73" t="s">
        <v>92</v>
      </c>
      <c r="B44" s="60"/>
      <c r="C44" s="12">
        <v>0</v>
      </c>
      <c r="D44" s="12">
        <v>0</v>
      </c>
      <c r="E44" s="12">
        <v>0</v>
      </c>
      <c r="F44" s="12">
        <v>-25493930.359999999</v>
      </c>
      <c r="G44" s="7">
        <f t="shared" ref="G44:G45" si="20">E44-D44</f>
        <v>0</v>
      </c>
      <c r="I44" s="47" t="s">
        <v>93</v>
      </c>
      <c r="J44" s="47">
        <f t="shared" ref="J44:J45" si="21">E44-D44</f>
        <v>0</v>
      </c>
      <c r="K44" s="47">
        <f t="shared" si="0"/>
        <v>0</v>
      </c>
    </row>
    <row r="45" spans="1:11" ht="15.75" x14ac:dyDescent="0.25">
      <c r="A45" s="73"/>
      <c r="B45" s="60" t="s">
        <v>11</v>
      </c>
      <c r="C45" s="12">
        <v>0</v>
      </c>
      <c r="D45" s="12">
        <v>0</v>
      </c>
      <c r="E45" s="12">
        <v>0</v>
      </c>
      <c r="F45" s="12">
        <v>-4465469.08</v>
      </c>
      <c r="G45" s="7">
        <f t="shared" si="20"/>
        <v>0</v>
      </c>
      <c r="J45" s="47">
        <f t="shared" si="21"/>
        <v>0</v>
      </c>
      <c r="K45" s="47">
        <f t="shared" si="0"/>
        <v>0</v>
      </c>
    </row>
    <row r="46" spans="1:11" ht="15.75" x14ac:dyDescent="0.25">
      <c r="A46" s="73" t="s">
        <v>65</v>
      </c>
      <c r="B46" s="60"/>
      <c r="C46" s="12">
        <v>0</v>
      </c>
      <c r="D46" s="12">
        <v>0</v>
      </c>
      <c r="E46" s="12">
        <v>0</v>
      </c>
      <c r="F46" s="12">
        <v>-9260322.4700000007</v>
      </c>
      <c r="G46" s="7">
        <f t="shared" si="14"/>
        <v>0</v>
      </c>
      <c r="I46" s="47" t="s">
        <v>70</v>
      </c>
      <c r="J46" s="47">
        <f t="shared" ref="J46:J79" si="22">E46-D46</f>
        <v>0</v>
      </c>
      <c r="K46" s="47">
        <f t="shared" si="0"/>
        <v>0</v>
      </c>
    </row>
    <row r="47" spans="1:11" ht="15.75" x14ac:dyDescent="0.25">
      <c r="A47" s="73"/>
      <c r="B47" s="60" t="s">
        <v>11</v>
      </c>
      <c r="C47" s="12">
        <v>0</v>
      </c>
      <c r="D47" s="12">
        <v>0</v>
      </c>
      <c r="E47" s="12">
        <v>0</v>
      </c>
      <c r="F47" s="12">
        <v>-2062491.72</v>
      </c>
      <c r="G47" s="7">
        <f t="shared" si="14"/>
        <v>0</v>
      </c>
      <c r="J47" s="47">
        <f t="shared" si="22"/>
        <v>0</v>
      </c>
      <c r="K47" s="47">
        <f t="shared" si="0"/>
        <v>0</v>
      </c>
    </row>
    <row r="48" spans="1:11" ht="15.75" x14ac:dyDescent="0.25">
      <c r="A48" s="73" t="s">
        <v>66</v>
      </c>
      <c r="B48" s="60"/>
      <c r="C48" s="12">
        <v>0</v>
      </c>
      <c r="D48" s="12">
        <v>0</v>
      </c>
      <c r="E48" s="12">
        <v>0</v>
      </c>
      <c r="F48" s="12">
        <v>-9828934.1099999994</v>
      </c>
      <c r="G48" s="7">
        <f t="shared" si="14"/>
        <v>0</v>
      </c>
      <c r="I48" s="47" t="s">
        <v>71</v>
      </c>
      <c r="J48" s="47">
        <f t="shared" si="22"/>
        <v>0</v>
      </c>
      <c r="K48" s="47">
        <f t="shared" si="0"/>
        <v>0</v>
      </c>
    </row>
    <row r="49" spans="1:11" ht="15.75" x14ac:dyDescent="0.25">
      <c r="A49" s="73"/>
      <c r="B49" s="60" t="s">
        <v>11</v>
      </c>
      <c r="C49" s="12">
        <v>0</v>
      </c>
      <c r="D49" s="12">
        <v>0</v>
      </c>
      <c r="E49" s="12">
        <v>0</v>
      </c>
      <c r="F49" s="12">
        <v>-3199152.01</v>
      </c>
      <c r="G49" s="7">
        <f t="shared" si="14"/>
        <v>0</v>
      </c>
      <c r="J49" s="47">
        <f t="shared" si="22"/>
        <v>0</v>
      </c>
      <c r="K49" s="47">
        <f t="shared" si="0"/>
        <v>0</v>
      </c>
    </row>
    <row r="50" spans="1:11" ht="15.75" x14ac:dyDescent="0.25">
      <c r="A50" s="73" t="s">
        <v>67</v>
      </c>
      <c r="B50" s="60"/>
      <c r="C50" s="12">
        <v>0</v>
      </c>
      <c r="D50" s="12">
        <v>0</v>
      </c>
      <c r="E50" s="12">
        <v>0</v>
      </c>
      <c r="F50" s="12">
        <v>-12626017.130000001</v>
      </c>
      <c r="G50" s="7">
        <f t="shared" si="14"/>
        <v>0</v>
      </c>
      <c r="I50" s="47" t="s">
        <v>75</v>
      </c>
      <c r="J50" s="47">
        <f t="shared" si="22"/>
        <v>0</v>
      </c>
      <c r="K50" s="47">
        <f t="shared" si="0"/>
        <v>0</v>
      </c>
    </row>
    <row r="51" spans="1:11" ht="15.75" x14ac:dyDescent="0.25">
      <c r="A51" s="73"/>
      <c r="B51" s="60" t="s">
        <v>11</v>
      </c>
      <c r="C51" s="12">
        <v>0</v>
      </c>
      <c r="D51" s="12">
        <v>0</v>
      </c>
      <c r="E51" s="12">
        <v>0</v>
      </c>
      <c r="F51" s="12">
        <v>-642331.14</v>
      </c>
      <c r="G51" s="7">
        <f t="shared" si="14"/>
        <v>0</v>
      </c>
      <c r="J51" s="47">
        <f t="shared" si="22"/>
        <v>0</v>
      </c>
      <c r="K51" s="47">
        <f t="shared" si="0"/>
        <v>0</v>
      </c>
    </row>
    <row r="52" spans="1:11" s="39" customFormat="1" ht="15.75" x14ac:dyDescent="0.25">
      <c r="A52" s="81" t="s">
        <v>161</v>
      </c>
      <c r="B52" s="59"/>
      <c r="C52" s="14">
        <f>C54+C56+C58+C60+C62+C64</f>
        <v>-85783121</v>
      </c>
      <c r="D52" s="14">
        <f t="shared" ref="D52:G52" si="23">D54+D56+D58+D60+D62+D64</f>
        <v>-112575633.30567813</v>
      </c>
      <c r="E52" s="14">
        <f t="shared" si="23"/>
        <v>-94840167.482568279</v>
      </c>
      <c r="F52" s="14">
        <f t="shared" si="23"/>
        <v>-84219262.930000007</v>
      </c>
      <c r="G52" s="14">
        <f t="shared" si="23"/>
        <v>17735465.823109832</v>
      </c>
      <c r="H52" s="51"/>
      <c r="I52" s="51"/>
      <c r="J52" s="51"/>
      <c r="K52" s="51"/>
    </row>
    <row r="53" spans="1:11" ht="15.75" x14ac:dyDescent="0.25">
      <c r="A53" s="73"/>
      <c r="B53" s="60" t="s">
        <v>11</v>
      </c>
      <c r="C53" s="12">
        <f>C55+C57+C59+C61+C63+C65</f>
        <v>-37587278</v>
      </c>
      <c r="D53" s="12">
        <f t="shared" ref="D53:G53" si="24">D55+D57+D59+D61+D63+D65</f>
        <v>-62534810.120000005</v>
      </c>
      <c r="E53" s="12">
        <f t="shared" si="24"/>
        <v>-49715540.920000002</v>
      </c>
      <c r="F53" s="12">
        <f t="shared" si="24"/>
        <v>-37462946.950000003</v>
      </c>
      <c r="G53" s="12">
        <f t="shared" si="24"/>
        <v>12819269.200000007</v>
      </c>
    </row>
    <row r="54" spans="1:11" ht="15.75" x14ac:dyDescent="0.25">
      <c r="A54" s="73" t="s">
        <v>165</v>
      </c>
      <c r="B54" s="60"/>
      <c r="C54" s="12">
        <f>LISA!D922</f>
        <v>-2928849</v>
      </c>
      <c r="D54" s="12">
        <f>LISA!E922</f>
        <v>-3948391.5999999992</v>
      </c>
      <c r="E54" s="12">
        <f>LISA!F922</f>
        <v>-3407129.4925457798</v>
      </c>
      <c r="F54" s="12">
        <v>0</v>
      </c>
      <c r="G54" s="7">
        <f t="shared" ref="G54:G65" si="25">E54-D54</f>
        <v>541262.10745421937</v>
      </c>
      <c r="H54" s="47" t="s">
        <v>168</v>
      </c>
    </row>
    <row r="55" spans="1:11" ht="15.75" x14ac:dyDescent="0.25">
      <c r="A55" s="73"/>
      <c r="B55" s="60" t="s">
        <v>11</v>
      </c>
      <c r="C55" s="12">
        <f>LISA!D923</f>
        <v>-2703213</v>
      </c>
      <c r="D55" s="12">
        <f>LISA!E923</f>
        <v>-3090221.8199999994</v>
      </c>
      <c r="E55" s="12">
        <f>LISA!F923</f>
        <v>-2706786.42</v>
      </c>
      <c r="F55" s="12">
        <v>0</v>
      </c>
      <c r="G55" s="7">
        <f t="shared" si="25"/>
        <v>383435.39999999944</v>
      </c>
    </row>
    <row r="56" spans="1:11" ht="15.75" x14ac:dyDescent="0.25">
      <c r="A56" s="73" t="s">
        <v>162</v>
      </c>
      <c r="B56" s="60"/>
      <c r="C56" s="12">
        <f>LISA!D1004</f>
        <v>-26761338</v>
      </c>
      <c r="D56" s="12">
        <f>LISA!E1004</f>
        <v>-43771134.495678127</v>
      </c>
      <c r="E56" s="12">
        <f>LISA!F1004</f>
        <v>-33442659.43</v>
      </c>
      <c r="F56" s="12">
        <v>-23978643.079999998</v>
      </c>
      <c r="G56" s="7">
        <f t="shared" si="25"/>
        <v>10328475.065678127</v>
      </c>
      <c r="H56" s="47" t="s">
        <v>170</v>
      </c>
      <c r="I56" s="47" t="s">
        <v>89</v>
      </c>
      <c r="J56" s="47">
        <f t="shared" ref="J56:J66" si="26">E56-D56</f>
        <v>10328475.065678127</v>
      </c>
      <c r="K56" s="47">
        <f t="shared" ref="K56:K66" si="27">J56-G56</f>
        <v>0</v>
      </c>
    </row>
    <row r="57" spans="1:11" ht="15.75" x14ac:dyDescent="0.25">
      <c r="A57" s="73"/>
      <c r="B57" s="60" t="s">
        <v>11</v>
      </c>
      <c r="C57" s="12">
        <f>LISA!D1005</f>
        <v>-10729608</v>
      </c>
      <c r="D57" s="12">
        <f>LISA!E1005</f>
        <v>-31661838.800000004</v>
      </c>
      <c r="E57" s="12">
        <f>LISA!F1005</f>
        <v>-22605528.57</v>
      </c>
      <c r="F57" s="12">
        <v>-10460961.93</v>
      </c>
      <c r="G57" s="7">
        <f t="shared" si="25"/>
        <v>9056310.2300000042</v>
      </c>
      <c r="J57" s="47">
        <f t="shared" si="26"/>
        <v>9056310.2300000042</v>
      </c>
      <c r="K57" s="47">
        <f t="shared" si="27"/>
        <v>0</v>
      </c>
    </row>
    <row r="58" spans="1:11" ht="15.75" x14ac:dyDescent="0.25">
      <c r="A58" s="73" t="s">
        <v>163</v>
      </c>
      <c r="B58" s="60"/>
      <c r="C58" s="12">
        <f>LISA!D1139</f>
        <v>-13253854</v>
      </c>
      <c r="D58" s="12">
        <f>LISA!E1139</f>
        <v>-15669570.93</v>
      </c>
      <c r="E58" s="12">
        <f>LISA!F1139</f>
        <v>-13020135.800000001</v>
      </c>
      <c r="F58" s="12">
        <v>-11942517.960000001</v>
      </c>
      <c r="G58" s="7">
        <f t="shared" si="25"/>
        <v>2649435.129999999</v>
      </c>
      <c r="H58" s="47" t="s">
        <v>172</v>
      </c>
      <c r="I58" s="47" t="s">
        <v>69</v>
      </c>
      <c r="J58" s="47">
        <f t="shared" si="26"/>
        <v>2649435.129999999</v>
      </c>
      <c r="K58" s="47">
        <f t="shared" si="27"/>
        <v>0</v>
      </c>
    </row>
    <row r="59" spans="1:11" ht="15.75" x14ac:dyDescent="0.25">
      <c r="A59" s="73"/>
      <c r="B59" s="60" t="s">
        <v>11</v>
      </c>
      <c r="C59" s="12">
        <f>LISA!D1140</f>
        <v>-8630356</v>
      </c>
      <c r="D59" s="12">
        <f>LISA!E1140</f>
        <v>-9344702.790000001</v>
      </c>
      <c r="E59" s="12">
        <f>LISA!F1140</f>
        <v>-8745418.790000001</v>
      </c>
      <c r="F59" s="12">
        <v>-8677288</v>
      </c>
      <c r="G59" s="7">
        <f t="shared" si="25"/>
        <v>599284</v>
      </c>
      <c r="J59" s="47">
        <f t="shared" si="26"/>
        <v>599284</v>
      </c>
      <c r="K59" s="47">
        <f t="shared" si="27"/>
        <v>0</v>
      </c>
    </row>
    <row r="60" spans="1:11" ht="15.75" x14ac:dyDescent="0.25">
      <c r="A60" s="73" t="s">
        <v>190</v>
      </c>
      <c r="B60" s="60"/>
      <c r="C60" s="12">
        <f>LISA!D1221</f>
        <v>-11551685</v>
      </c>
      <c r="D60" s="12">
        <f>LISA!E1221</f>
        <v>-16772652.75</v>
      </c>
      <c r="E60" s="12">
        <f>LISA!F1221</f>
        <v>-14360855.599999998</v>
      </c>
      <c r="F60" s="12">
        <v>-13180521.390000001</v>
      </c>
      <c r="G60" s="7">
        <f t="shared" si="25"/>
        <v>2411797.1500000022</v>
      </c>
      <c r="H60" s="47" t="s">
        <v>173</v>
      </c>
      <c r="I60" s="47" t="s">
        <v>72</v>
      </c>
      <c r="J60" s="47">
        <f t="shared" si="26"/>
        <v>2411797.1500000022</v>
      </c>
      <c r="K60" s="47">
        <f t="shared" si="27"/>
        <v>0</v>
      </c>
    </row>
    <row r="61" spans="1:11" ht="15.75" x14ac:dyDescent="0.25">
      <c r="A61" s="73"/>
      <c r="B61" s="60" t="s">
        <v>11</v>
      </c>
      <c r="C61" s="12">
        <f>LISA!D1222</f>
        <v>-7885782</v>
      </c>
      <c r="D61" s="12">
        <f>LISA!E1222</f>
        <v>-9199515.5700000003</v>
      </c>
      <c r="E61" s="12">
        <f>LISA!F1222</f>
        <v>-8038460.919999999</v>
      </c>
      <c r="F61" s="12">
        <v>-7731043.0999999996</v>
      </c>
      <c r="G61" s="7">
        <f t="shared" si="25"/>
        <v>1161054.6500000013</v>
      </c>
      <c r="J61" s="47">
        <f t="shared" si="26"/>
        <v>1161054.6500000013</v>
      </c>
      <c r="K61" s="47">
        <f t="shared" si="27"/>
        <v>0</v>
      </c>
    </row>
    <row r="62" spans="1:11" ht="15.75" x14ac:dyDescent="0.25">
      <c r="A62" s="74" t="s">
        <v>200</v>
      </c>
      <c r="B62" s="93"/>
      <c r="C62" s="12">
        <f>LISA!D1318</f>
        <v>-3346100</v>
      </c>
      <c r="D62" s="12">
        <f>LISA!E1318</f>
        <v>-4454441.2</v>
      </c>
      <c r="E62" s="12">
        <f>LISA!F1318</f>
        <v>-4296335.330022512</v>
      </c>
      <c r="F62" s="12">
        <v>-5181898.25</v>
      </c>
      <c r="G62" s="7">
        <f t="shared" si="25"/>
        <v>158105.86997748818</v>
      </c>
      <c r="H62" s="47" t="s">
        <v>175</v>
      </c>
      <c r="I62" s="47" t="s">
        <v>73</v>
      </c>
      <c r="J62" s="47">
        <f t="shared" si="26"/>
        <v>158105.86997748818</v>
      </c>
      <c r="K62" s="47">
        <f t="shared" si="27"/>
        <v>0</v>
      </c>
    </row>
    <row r="63" spans="1:11" ht="15.75" x14ac:dyDescent="0.25">
      <c r="A63" s="73"/>
      <c r="B63" s="60" t="s">
        <v>11</v>
      </c>
      <c r="C63" s="12">
        <f>LISA!D1319</f>
        <v>-3256859</v>
      </c>
      <c r="D63" s="12">
        <f>LISA!E1319</f>
        <v>-3358642.35</v>
      </c>
      <c r="E63" s="12">
        <f>LISA!F1319</f>
        <v>-3270712.02</v>
      </c>
      <c r="F63" s="12">
        <v>-5030702.95</v>
      </c>
      <c r="G63" s="7">
        <f t="shared" si="25"/>
        <v>87930.330000000075</v>
      </c>
      <c r="J63" s="47">
        <f t="shared" si="26"/>
        <v>87930.330000000075</v>
      </c>
      <c r="K63" s="47">
        <f t="shared" si="27"/>
        <v>0</v>
      </c>
    </row>
    <row r="64" spans="1:11" ht="15.75" x14ac:dyDescent="0.25">
      <c r="A64" s="73" t="s">
        <v>164</v>
      </c>
      <c r="B64" s="60"/>
      <c r="C64" s="12">
        <f>LISA!D1404</f>
        <v>-27941295</v>
      </c>
      <c r="D64" s="12">
        <f>LISA!E1404</f>
        <v>-27959442.329999998</v>
      </c>
      <c r="E64" s="12">
        <f>LISA!F1404</f>
        <v>-26313051.830000002</v>
      </c>
      <c r="F64" s="12">
        <v>-29935682.25</v>
      </c>
      <c r="G64" s="7">
        <f t="shared" si="25"/>
        <v>1646390.4999999963</v>
      </c>
      <c r="H64" s="47" t="s">
        <v>177</v>
      </c>
      <c r="I64" s="47" t="s">
        <v>83</v>
      </c>
      <c r="J64" s="47">
        <f t="shared" si="26"/>
        <v>1646390.4999999963</v>
      </c>
      <c r="K64" s="47">
        <f t="shared" si="27"/>
        <v>0</v>
      </c>
    </row>
    <row r="65" spans="1:11" ht="15.75" x14ac:dyDescent="0.25">
      <c r="A65" s="73"/>
      <c r="B65" s="60" t="s">
        <v>11</v>
      </c>
      <c r="C65" s="12">
        <f>LISA!D1405</f>
        <v>-4381460</v>
      </c>
      <c r="D65" s="12">
        <f>LISA!E1405</f>
        <v>-5879888.79</v>
      </c>
      <c r="E65" s="12">
        <f>LISA!F1405</f>
        <v>-4348634.1999999993</v>
      </c>
      <c r="F65" s="12">
        <v>-5562950.9699999997</v>
      </c>
      <c r="G65" s="7">
        <f t="shared" si="25"/>
        <v>1531254.5900000008</v>
      </c>
      <c r="J65" s="47">
        <f t="shared" si="26"/>
        <v>1531254.5900000008</v>
      </c>
      <c r="K65" s="47">
        <f t="shared" si="27"/>
        <v>0</v>
      </c>
    </row>
    <row r="66" spans="1:11" s="39" customFormat="1" ht="15.75" x14ac:dyDescent="0.25">
      <c r="A66" s="54" t="s">
        <v>203</v>
      </c>
      <c r="B66" s="54"/>
      <c r="C66" s="46">
        <f>C68+C74+C78</f>
        <v>-339326667</v>
      </c>
      <c r="D66" s="46">
        <f t="shared" ref="D66:G66" si="28">D68+D74+D78</f>
        <v>-372581288.58999997</v>
      </c>
      <c r="E66" s="46">
        <f t="shared" si="28"/>
        <v>-351610455.63999999</v>
      </c>
      <c r="F66" s="46">
        <f t="shared" si="28"/>
        <v>-229992014.52000001</v>
      </c>
      <c r="G66" s="46">
        <f t="shared" si="28"/>
        <v>20970832.950000003</v>
      </c>
      <c r="H66" s="51"/>
      <c r="I66" s="51"/>
      <c r="J66" s="47">
        <f t="shared" si="26"/>
        <v>20970832.949999988</v>
      </c>
      <c r="K66" s="47">
        <f t="shared" si="27"/>
        <v>0</v>
      </c>
    </row>
    <row r="67" spans="1:11" ht="15.75" x14ac:dyDescent="0.25">
      <c r="A67" s="73"/>
      <c r="B67" s="60" t="s">
        <v>11</v>
      </c>
      <c r="C67" s="12">
        <f>C69+C75+C79</f>
        <v>-155347120</v>
      </c>
      <c r="D67" s="12">
        <f t="shared" ref="D67:G67" si="29">D69+D75+D79</f>
        <v>-199044606.54999998</v>
      </c>
      <c r="E67" s="12">
        <f t="shared" si="29"/>
        <v>-193329986.25000003</v>
      </c>
      <c r="F67" s="12">
        <f t="shared" si="29"/>
        <v>-190521517.74000001</v>
      </c>
      <c r="G67" s="12">
        <f t="shared" si="29"/>
        <v>5714620.2999999886</v>
      </c>
    </row>
    <row r="68" spans="1:11" s="39" customFormat="1" ht="15.75" x14ac:dyDescent="0.25">
      <c r="A68" s="81" t="s">
        <v>178</v>
      </c>
      <c r="B68" s="59"/>
      <c r="C68" s="14">
        <f>C70+C72</f>
        <v>-182982465</v>
      </c>
      <c r="D68" s="14">
        <f t="shared" ref="D68:G68" si="30">D70+D72</f>
        <v>-193748186.53000003</v>
      </c>
      <c r="E68" s="14">
        <f t="shared" si="30"/>
        <v>-177113777.46000001</v>
      </c>
      <c r="F68" s="14">
        <f t="shared" si="30"/>
        <v>-60279129.130000003</v>
      </c>
      <c r="G68" s="14">
        <f t="shared" si="30"/>
        <v>16634409.070000008</v>
      </c>
      <c r="H68" s="51"/>
      <c r="I68" s="51"/>
      <c r="J68" s="51"/>
      <c r="K68" s="51"/>
    </row>
    <row r="69" spans="1:11" ht="15.75" x14ac:dyDescent="0.25">
      <c r="A69" s="73"/>
      <c r="B69" s="60" t="s">
        <v>11</v>
      </c>
      <c r="C69" s="12">
        <f>C71+C73</f>
        <v>-30306676</v>
      </c>
      <c r="D69" s="12">
        <f t="shared" ref="D69:G69" si="31">D71+D73</f>
        <v>-33009344.07</v>
      </c>
      <c r="E69" s="12">
        <f t="shared" si="31"/>
        <v>-30488089.619999997</v>
      </c>
      <c r="F69" s="12">
        <f t="shared" si="31"/>
        <v>-25315418.34</v>
      </c>
      <c r="G69" s="12">
        <f t="shared" si="31"/>
        <v>2521254.4500000011</v>
      </c>
    </row>
    <row r="70" spans="1:11" ht="15.75" x14ac:dyDescent="0.25">
      <c r="A70" s="73" t="s">
        <v>179</v>
      </c>
      <c r="B70" s="60"/>
      <c r="C70" s="12">
        <f>LISA!D1500</f>
        <v>-152359578</v>
      </c>
      <c r="D70" s="12">
        <f>LISA!E1500</f>
        <v>-155222562.55000001</v>
      </c>
      <c r="E70" s="12">
        <f>LISA!F1500</f>
        <v>-152532093.40000001</v>
      </c>
      <c r="F70" s="12">
        <v>-40781725.560000002</v>
      </c>
      <c r="G70" s="7">
        <f t="shared" ref="G70:G71" si="32">E70-D70</f>
        <v>2690469.150000006</v>
      </c>
      <c r="H70" s="47" t="s">
        <v>181</v>
      </c>
      <c r="I70" s="47" t="s">
        <v>85</v>
      </c>
      <c r="J70" s="47">
        <f t="shared" ref="J70:J71" si="33">E70-D70</f>
        <v>2690469.150000006</v>
      </c>
      <c r="K70" s="47">
        <f t="shared" ref="K70:K71" si="34">J70-G70</f>
        <v>0</v>
      </c>
    </row>
    <row r="71" spans="1:11" ht="15.75" x14ac:dyDescent="0.25">
      <c r="A71" s="73"/>
      <c r="B71" s="60" t="s">
        <v>11</v>
      </c>
      <c r="C71" s="12">
        <f>LISA!D1501</f>
        <v>-26148870</v>
      </c>
      <c r="D71" s="12">
        <f>LISA!E1501</f>
        <v>-28578202.859999999</v>
      </c>
      <c r="E71" s="12">
        <f>LISA!F1501</f>
        <v>-26177546.669999998</v>
      </c>
      <c r="F71" s="12">
        <v>-20771923.969999999</v>
      </c>
      <c r="G71" s="7">
        <f t="shared" si="32"/>
        <v>2400656.1900000013</v>
      </c>
      <c r="J71" s="47">
        <f t="shared" si="33"/>
        <v>2400656.1900000013</v>
      </c>
      <c r="K71" s="47">
        <f t="shared" si="34"/>
        <v>0</v>
      </c>
    </row>
    <row r="72" spans="1:11" ht="15.75" x14ac:dyDescent="0.25">
      <c r="A72" s="73" t="s">
        <v>94</v>
      </c>
      <c r="B72" s="60"/>
      <c r="C72" s="12">
        <f>LISA!D1594</f>
        <v>-30622887</v>
      </c>
      <c r="D72" s="12">
        <f>LISA!E1594</f>
        <v>-38525623.980000004</v>
      </c>
      <c r="E72" s="12">
        <f>LISA!F1594</f>
        <v>-24581684.060000002</v>
      </c>
      <c r="F72" s="12">
        <v>-19497403.57</v>
      </c>
      <c r="G72" s="7">
        <f t="shared" ref="G72:G73" si="35">E72-D72</f>
        <v>13943939.920000002</v>
      </c>
      <c r="H72" s="47" t="s">
        <v>184</v>
      </c>
      <c r="I72" s="47" t="s">
        <v>95</v>
      </c>
      <c r="J72" s="47">
        <f t="shared" ref="J72:J77" si="36">E72-D72</f>
        <v>13943939.920000002</v>
      </c>
      <c r="K72" s="47">
        <f t="shared" ref="K72:K77" si="37">J72-G72</f>
        <v>0</v>
      </c>
    </row>
    <row r="73" spans="1:11" ht="15.75" x14ac:dyDescent="0.25">
      <c r="A73" s="73"/>
      <c r="B73" s="60" t="s">
        <v>11</v>
      </c>
      <c r="C73" s="12">
        <f>LISA!D1595</f>
        <v>-4157806</v>
      </c>
      <c r="D73" s="12">
        <f>LISA!E1595</f>
        <v>-4431141.21</v>
      </c>
      <c r="E73" s="12">
        <f>LISA!F1595</f>
        <v>-4310542.95</v>
      </c>
      <c r="F73" s="12">
        <v>-4543494.37</v>
      </c>
      <c r="G73" s="7">
        <f t="shared" si="35"/>
        <v>120598.25999999978</v>
      </c>
      <c r="J73" s="47">
        <f t="shared" si="36"/>
        <v>120598.25999999978</v>
      </c>
      <c r="K73" s="47">
        <f t="shared" si="37"/>
        <v>0</v>
      </c>
    </row>
    <row r="74" spans="1:11" ht="15.75" x14ac:dyDescent="0.25">
      <c r="A74" s="56" t="s">
        <v>185</v>
      </c>
      <c r="B74" s="56"/>
      <c r="C74" s="14">
        <f>C76</f>
        <v>-138918788</v>
      </c>
      <c r="D74" s="14">
        <f t="shared" ref="D74:G75" si="38">D76</f>
        <v>-165425577.59999999</v>
      </c>
      <c r="E74" s="14">
        <f t="shared" si="38"/>
        <v>-162078487.16</v>
      </c>
      <c r="F74" s="14">
        <f t="shared" si="38"/>
        <v>-150098525.93000001</v>
      </c>
      <c r="G74" s="14">
        <f t="shared" si="38"/>
        <v>3347090.4399999976</v>
      </c>
      <c r="J74" s="47">
        <f t="shared" si="36"/>
        <v>3347090.4399999976</v>
      </c>
      <c r="K74" s="47">
        <f t="shared" si="37"/>
        <v>0</v>
      </c>
    </row>
    <row r="75" spans="1:11" ht="15.75" x14ac:dyDescent="0.25">
      <c r="A75" s="56"/>
      <c r="B75" s="60" t="s">
        <v>11</v>
      </c>
      <c r="C75" s="12">
        <f>C77</f>
        <v>-122707015</v>
      </c>
      <c r="D75" s="12">
        <f t="shared" ref="D75:E75" si="39">D77</f>
        <v>-163082377.97</v>
      </c>
      <c r="E75" s="12">
        <f t="shared" si="39"/>
        <v>-160782087.02000001</v>
      </c>
      <c r="F75" s="12">
        <f t="shared" si="38"/>
        <v>-149966946.91</v>
      </c>
      <c r="G75" s="12">
        <f t="shared" si="38"/>
        <v>2300290.9499999881</v>
      </c>
      <c r="J75" s="47">
        <f t="shared" si="36"/>
        <v>2300290.9499999881</v>
      </c>
      <c r="K75" s="47">
        <f t="shared" si="37"/>
        <v>0</v>
      </c>
    </row>
    <row r="76" spans="1:11" ht="15.75" x14ac:dyDescent="0.25">
      <c r="A76" s="73" t="s">
        <v>107</v>
      </c>
      <c r="B76" s="65"/>
      <c r="C76" s="7">
        <f>LISA!D1645</f>
        <v>-138918788</v>
      </c>
      <c r="D76" s="7">
        <f>LISA!E1645</f>
        <v>-165425577.59999999</v>
      </c>
      <c r="E76" s="7">
        <f>LISA!F1645</f>
        <v>-162078487.16</v>
      </c>
      <c r="F76" s="45">
        <v>-150098525.93000001</v>
      </c>
      <c r="G76" s="7">
        <f t="shared" ref="G76:G77" si="40">E76-D76</f>
        <v>3347090.4399999976</v>
      </c>
      <c r="H76" s="50" t="s">
        <v>187</v>
      </c>
      <c r="I76" s="50" t="s">
        <v>108</v>
      </c>
      <c r="J76" s="47">
        <f t="shared" si="36"/>
        <v>3347090.4399999976</v>
      </c>
      <c r="K76" s="47">
        <f t="shared" si="37"/>
        <v>0</v>
      </c>
    </row>
    <row r="77" spans="1:11" ht="15.75" x14ac:dyDescent="0.25">
      <c r="A77" s="18"/>
      <c r="B77" s="60" t="s">
        <v>11</v>
      </c>
      <c r="C77" s="7">
        <f>LISA!D1646</f>
        <v>-122707015</v>
      </c>
      <c r="D77" s="7">
        <f>LISA!E1646</f>
        <v>-163082377.97</v>
      </c>
      <c r="E77" s="7">
        <f>LISA!F1646</f>
        <v>-160782087.02000001</v>
      </c>
      <c r="F77" s="45">
        <v>-149966946.91</v>
      </c>
      <c r="G77" s="7">
        <f t="shared" si="40"/>
        <v>2300290.9499999881</v>
      </c>
      <c r="H77" s="50"/>
      <c r="I77" s="50"/>
      <c r="J77" s="47">
        <f t="shared" si="36"/>
        <v>2300290.9499999881</v>
      </c>
      <c r="K77" s="47">
        <f t="shared" si="37"/>
        <v>0</v>
      </c>
    </row>
    <row r="78" spans="1:11" ht="15.75" x14ac:dyDescent="0.25">
      <c r="A78" s="56" t="s">
        <v>125</v>
      </c>
      <c r="B78" s="54"/>
      <c r="C78" s="14">
        <f>C80+C82+C84+C86</f>
        <v>-17425414</v>
      </c>
      <c r="D78" s="14">
        <f t="shared" ref="D78:G78" si="41">D80+D82+D84+D86</f>
        <v>-13407524.459999999</v>
      </c>
      <c r="E78" s="14">
        <f t="shared" si="41"/>
        <v>-12418191.020000001</v>
      </c>
      <c r="F78" s="14">
        <f t="shared" si="41"/>
        <v>-19614359.460000001</v>
      </c>
      <c r="G78" s="14">
        <f t="shared" si="41"/>
        <v>989333.43999999762</v>
      </c>
      <c r="J78" s="47">
        <f t="shared" si="22"/>
        <v>989333.43999999762</v>
      </c>
      <c r="K78" s="47">
        <f t="shared" ref="K78:K109" si="42">J78-G78</f>
        <v>0</v>
      </c>
    </row>
    <row r="79" spans="1:11" ht="15.75" x14ac:dyDescent="0.25">
      <c r="A79" s="55"/>
      <c r="B79" s="60" t="s">
        <v>11</v>
      </c>
      <c r="C79" s="12">
        <f>C81+C83+C85+C87</f>
        <v>-2333429</v>
      </c>
      <c r="D79" s="12">
        <f t="shared" ref="D79:G79" si="43">D81+D83+D85+D87</f>
        <v>-2952884.51</v>
      </c>
      <c r="E79" s="12">
        <f t="shared" si="43"/>
        <v>-2059809.61</v>
      </c>
      <c r="F79" s="12">
        <f t="shared" si="43"/>
        <v>-15239152.489999998</v>
      </c>
      <c r="G79" s="12">
        <f t="shared" si="43"/>
        <v>893074.89999999967</v>
      </c>
      <c r="H79" s="50"/>
      <c r="I79" s="50"/>
      <c r="J79" s="47">
        <f t="shared" si="22"/>
        <v>893074.89999999967</v>
      </c>
      <c r="K79" s="47">
        <f t="shared" si="42"/>
        <v>0</v>
      </c>
    </row>
    <row r="80" spans="1:11" ht="15.75" x14ac:dyDescent="0.25">
      <c r="A80" s="94" t="s">
        <v>211</v>
      </c>
      <c r="B80" s="95"/>
      <c r="C80" s="12">
        <f>LISA!D1697</f>
        <v>-17425414</v>
      </c>
      <c r="D80" s="12">
        <f>LISA!E1697</f>
        <v>-13407524.459999999</v>
      </c>
      <c r="E80" s="12">
        <f>LISA!F1697</f>
        <v>-12418191.020000001</v>
      </c>
      <c r="F80" s="12">
        <v>0</v>
      </c>
      <c r="G80" s="7">
        <f t="shared" ref="G80:G87" si="44">E80-D80</f>
        <v>989333.43999999762</v>
      </c>
      <c r="H80" s="50" t="s">
        <v>189</v>
      </c>
      <c r="I80" s="50"/>
    </row>
    <row r="81" spans="1:11" ht="15.75" x14ac:dyDescent="0.25">
      <c r="A81" s="55"/>
      <c r="B81" s="60" t="s">
        <v>11</v>
      </c>
      <c r="C81" s="12">
        <f>LISA!D1698</f>
        <v>-2333429</v>
      </c>
      <c r="D81" s="12">
        <f>LISA!E1698</f>
        <v>-2952884.51</v>
      </c>
      <c r="E81" s="12">
        <f>LISA!F1698</f>
        <v>-2059809.61</v>
      </c>
      <c r="F81" s="12">
        <v>0</v>
      </c>
      <c r="G81" s="7">
        <f t="shared" si="44"/>
        <v>893074.89999999967</v>
      </c>
      <c r="H81" s="50"/>
      <c r="I81" s="50"/>
    </row>
    <row r="82" spans="1:11" ht="15.75" x14ac:dyDescent="0.25">
      <c r="A82" s="73" t="s">
        <v>84</v>
      </c>
      <c r="B82" s="60"/>
      <c r="C82" s="12">
        <v>0</v>
      </c>
      <c r="D82" s="7">
        <v>0</v>
      </c>
      <c r="E82" s="12">
        <v>0</v>
      </c>
      <c r="F82" s="12">
        <v>-3828118.44</v>
      </c>
      <c r="G82" s="7">
        <f t="shared" si="44"/>
        <v>0</v>
      </c>
      <c r="I82" s="47" t="s">
        <v>86</v>
      </c>
      <c r="J82" s="47">
        <f t="shared" ref="J82:J99" si="45">E82-D82</f>
        <v>0</v>
      </c>
      <c r="K82" s="47">
        <f t="shared" si="42"/>
        <v>0</v>
      </c>
    </row>
    <row r="83" spans="1:11" ht="15.75" x14ac:dyDescent="0.25">
      <c r="A83" s="55"/>
      <c r="B83" s="60" t="s">
        <v>11</v>
      </c>
      <c r="C83" s="12">
        <v>0</v>
      </c>
      <c r="D83" s="7">
        <v>0</v>
      </c>
      <c r="E83" s="12">
        <v>0</v>
      </c>
      <c r="F83" s="12">
        <v>-3710685.89</v>
      </c>
      <c r="G83" s="7">
        <f t="shared" si="44"/>
        <v>0</v>
      </c>
      <c r="J83" s="47">
        <f t="shared" si="45"/>
        <v>0</v>
      </c>
      <c r="K83" s="47">
        <f t="shared" si="42"/>
        <v>0</v>
      </c>
    </row>
    <row r="84" spans="1:11" ht="15.75" x14ac:dyDescent="0.25">
      <c r="A84" s="72" t="s">
        <v>62</v>
      </c>
      <c r="B84" s="60"/>
      <c r="C84" s="12">
        <v>0</v>
      </c>
      <c r="D84" s="7">
        <v>0</v>
      </c>
      <c r="E84" s="12">
        <v>0</v>
      </c>
      <c r="F84" s="12">
        <v>-7940860.7000000002</v>
      </c>
      <c r="G84" s="7">
        <f t="shared" si="44"/>
        <v>0</v>
      </c>
      <c r="I84" s="47" t="s">
        <v>105</v>
      </c>
      <c r="J84" s="47">
        <f t="shared" si="45"/>
        <v>0</v>
      </c>
      <c r="K84" s="47">
        <f t="shared" si="42"/>
        <v>0</v>
      </c>
    </row>
    <row r="85" spans="1:11" ht="15.75" x14ac:dyDescent="0.25">
      <c r="A85" s="72"/>
      <c r="B85" s="60" t="s">
        <v>11</v>
      </c>
      <c r="C85" s="12">
        <v>0</v>
      </c>
      <c r="D85" s="7">
        <v>0</v>
      </c>
      <c r="E85" s="12">
        <v>0</v>
      </c>
      <c r="F85" s="12">
        <v>-4890258.79</v>
      </c>
      <c r="G85" s="7">
        <f t="shared" si="44"/>
        <v>0</v>
      </c>
      <c r="J85" s="47">
        <f t="shared" si="45"/>
        <v>0</v>
      </c>
      <c r="K85" s="47">
        <f t="shared" si="42"/>
        <v>0</v>
      </c>
    </row>
    <row r="86" spans="1:11" ht="15.75" x14ac:dyDescent="0.25">
      <c r="A86" s="72" t="s">
        <v>63</v>
      </c>
      <c r="B86" s="60"/>
      <c r="C86" s="12">
        <v>0</v>
      </c>
      <c r="D86" s="7">
        <v>0</v>
      </c>
      <c r="E86" s="12">
        <v>0</v>
      </c>
      <c r="F86" s="12">
        <v>-7845380.3200000003</v>
      </c>
      <c r="G86" s="7">
        <f t="shared" si="44"/>
        <v>0</v>
      </c>
      <c r="I86" s="47" t="s">
        <v>106</v>
      </c>
      <c r="J86" s="47">
        <f t="shared" si="45"/>
        <v>0</v>
      </c>
      <c r="K86" s="47">
        <f t="shared" si="42"/>
        <v>0</v>
      </c>
    </row>
    <row r="87" spans="1:11" ht="15.75" x14ac:dyDescent="0.25">
      <c r="A87" s="72"/>
      <c r="B87" s="60" t="s">
        <v>11</v>
      </c>
      <c r="C87" s="12">
        <v>0</v>
      </c>
      <c r="D87" s="7">
        <v>0</v>
      </c>
      <c r="E87" s="12">
        <v>0</v>
      </c>
      <c r="F87" s="12">
        <v>-6638207.8099999996</v>
      </c>
      <c r="G87" s="7">
        <f t="shared" si="44"/>
        <v>0</v>
      </c>
      <c r="J87" s="47">
        <f t="shared" si="45"/>
        <v>0</v>
      </c>
      <c r="K87" s="47">
        <f t="shared" si="42"/>
        <v>0</v>
      </c>
    </row>
    <row r="88" spans="1:11" s="39" customFormat="1" ht="15.75" x14ac:dyDescent="0.25">
      <c r="A88" s="71" t="s">
        <v>49</v>
      </c>
      <c r="B88" s="59"/>
      <c r="C88" s="14">
        <f>LISA!D1766</f>
        <v>-4952831</v>
      </c>
      <c r="D88" s="14">
        <f>LISA!E1766</f>
        <v>-5244629.67</v>
      </c>
      <c r="E88" s="14">
        <f>LISA!F1766</f>
        <v>-4973559.68</v>
      </c>
      <c r="F88" s="14">
        <v>-5249595.83</v>
      </c>
      <c r="G88" s="14">
        <f>E88-D88</f>
        <v>271069.99000000022</v>
      </c>
      <c r="H88" s="51"/>
      <c r="I88" s="51"/>
      <c r="J88" s="47">
        <f t="shared" si="45"/>
        <v>271069.99000000022</v>
      </c>
      <c r="K88" s="47">
        <f t="shared" si="42"/>
        <v>0</v>
      </c>
    </row>
    <row r="89" spans="1:11" s="39" customFormat="1" ht="15.75" x14ac:dyDescent="0.25">
      <c r="A89" s="54" t="s">
        <v>18</v>
      </c>
      <c r="B89" s="59"/>
      <c r="C89" s="14">
        <v>-5679819</v>
      </c>
      <c r="D89" s="14">
        <f>C89-806942.7-468419.36+515400-43200-7776737.96-619863.22</f>
        <v>-14879582.24</v>
      </c>
      <c r="E89" s="14">
        <f>-9057468.84-1222860.26</f>
        <v>-10280329.1</v>
      </c>
      <c r="F89" s="14">
        <f>-10990229.55-2027618.65</f>
        <v>-13017848.200000001</v>
      </c>
      <c r="G89" s="14">
        <f>E89-D89</f>
        <v>4599253.1400000006</v>
      </c>
      <c r="H89" s="51"/>
      <c r="I89" s="51"/>
      <c r="J89" s="47">
        <f t="shared" si="45"/>
        <v>4599253.1400000006</v>
      </c>
      <c r="K89" s="47">
        <f t="shared" si="42"/>
        <v>0</v>
      </c>
    </row>
    <row r="90" spans="1:11" ht="15.75" x14ac:dyDescent="0.25">
      <c r="A90" s="66"/>
      <c r="B90" s="60" t="s">
        <v>11</v>
      </c>
      <c r="C90" s="12">
        <v>-4264883</v>
      </c>
      <c r="D90" s="7">
        <f>C90-806942.7-43200</f>
        <v>-5115025.7</v>
      </c>
      <c r="E90" s="12">
        <v>-2876011.14</v>
      </c>
      <c r="F90" s="12">
        <v>-3294702.19</v>
      </c>
      <c r="G90" s="7">
        <f t="shared" ref="G90:G99" si="46">E90-D90</f>
        <v>2239014.56</v>
      </c>
      <c r="J90" s="47">
        <f t="shared" si="45"/>
        <v>2239014.56</v>
      </c>
      <c r="K90" s="47">
        <f t="shared" si="42"/>
        <v>0</v>
      </c>
    </row>
    <row r="91" spans="1:11" ht="15.75" x14ac:dyDescent="0.25">
      <c r="A91" s="66"/>
      <c r="B91" s="60" t="s">
        <v>57</v>
      </c>
      <c r="C91" s="12">
        <v>-914936</v>
      </c>
      <c r="D91" s="7">
        <f>C91+15400-619863.22</f>
        <v>-1519399.22</v>
      </c>
      <c r="E91" s="12">
        <v>-1222860.26</v>
      </c>
      <c r="F91" s="12">
        <v>-2027618.65</v>
      </c>
      <c r="G91" s="7">
        <f t="shared" si="46"/>
        <v>296538.95999999996</v>
      </c>
      <c r="J91" s="47">
        <f t="shared" si="45"/>
        <v>296538.95999999996</v>
      </c>
      <c r="K91" s="47">
        <f t="shared" si="42"/>
        <v>0</v>
      </c>
    </row>
    <row r="92" spans="1:11" s="39" customFormat="1" ht="15.75" x14ac:dyDescent="0.25">
      <c r="A92" s="71" t="s">
        <v>23</v>
      </c>
      <c r="B92" s="96"/>
      <c r="C92" s="14">
        <f>C94+C98+C96</f>
        <v>6000000</v>
      </c>
      <c r="D92" s="14">
        <f t="shared" ref="D92:G92" si="47">D94+D98+D96</f>
        <v>-18000000</v>
      </c>
      <c r="E92" s="14">
        <f t="shared" si="47"/>
        <v>-9559641.3499999996</v>
      </c>
      <c r="F92" s="14">
        <f t="shared" ref="F92" si="48">F94+F98+F96</f>
        <v>41999638.439999998</v>
      </c>
      <c r="G92" s="14">
        <f t="shared" si="47"/>
        <v>8440358.6500000004</v>
      </c>
      <c r="H92" s="51"/>
      <c r="I92" s="51"/>
      <c r="J92" s="47">
        <f t="shared" si="45"/>
        <v>8440358.6500000004</v>
      </c>
      <c r="K92" s="47">
        <f t="shared" si="42"/>
        <v>0</v>
      </c>
    </row>
    <row r="93" spans="1:11" ht="15.75" x14ac:dyDescent="0.25">
      <c r="A93" s="66"/>
      <c r="B93" s="60" t="s">
        <v>11</v>
      </c>
      <c r="C93" s="12">
        <f>C95+C99+C97</f>
        <v>0</v>
      </c>
      <c r="D93" s="12">
        <f t="shared" ref="D93:G93" si="49">D95+D99+D97</f>
        <v>0</v>
      </c>
      <c r="E93" s="12">
        <f t="shared" si="49"/>
        <v>0</v>
      </c>
      <c r="F93" s="12">
        <f t="shared" ref="F93" si="50">F95+F99+F97</f>
        <v>-20000000</v>
      </c>
      <c r="G93" s="12">
        <f t="shared" si="49"/>
        <v>0</v>
      </c>
      <c r="J93" s="47">
        <f t="shared" si="45"/>
        <v>0</v>
      </c>
      <c r="K93" s="47">
        <f t="shared" si="42"/>
        <v>0</v>
      </c>
    </row>
    <row r="94" spans="1:11" ht="15.75" x14ac:dyDescent="0.25">
      <c r="A94" s="66" t="s">
        <v>60</v>
      </c>
      <c r="B94" s="60"/>
      <c r="C94" s="12">
        <v>0</v>
      </c>
      <c r="D94" s="7">
        <f t="shared" ref="D94:D95" si="51">C94</f>
        <v>0</v>
      </c>
      <c r="E94" s="12"/>
      <c r="F94" s="12">
        <f>-1862.07-4800.78-17287.02-25446.69+2137627.21+1336390.21</f>
        <v>3424620.86</v>
      </c>
      <c r="G94" s="7">
        <f t="shared" si="46"/>
        <v>0</v>
      </c>
      <c r="J94" s="47">
        <f t="shared" si="45"/>
        <v>0</v>
      </c>
      <c r="K94" s="47">
        <f t="shared" si="42"/>
        <v>0</v>
      </c>
    </row>
    <row r="95" spans="1:11" ht="15.75" x14ac:dyDescent="0.25">
      <c r="A95" s="66"/>
      <c r="B95" s="60" t="s">
        <v>11</v>
      </c>
      <c r="C95" s="12">
        <v>0</v>
      </c>
      <c r="D95" s="7">
        <f t="shared" si="51"/>
        <v>0</v>
      </c>
      <c r="E95" s="12"/>
      <c r="F95" s="12">
        <v>0</v>
      </c>
      <c r="G95" s="7">
        <f t="shared" si="46"/>
        <v>0</v>
      </c>
      <c r="J95" s="47">
        <f t="shared" si="45"/>
        <v>0</v>
      </c>
      <c r="K95" s="47">
        <f t="shared" si="42"/>
        <v>0</v>
      </c>
    </row>
    <row r="96" spans="1:11" ht="15.75" x14ac:dyDescent="0.25">
      <c r="A96" s="74" t="s">
        <v>99</v>
      </c>
      <c r="B96" s="60"/>
      <c r="C96" s="7">
        <v>0</v>
      </c>
      <c r="D96" s="12">
        <v>0</v>
      </c>
      <c r="E96" s="45"/>
      <c r="F96" s="45">
        <f>-20000000+44839558</f>
        <v>24839558</v>
      </c>
      <c r="G96" s="7">
        <f t="shared" si="46"/>
        <v>0</v>
      </c>
      <c r="J96" s="47">
        <f t="shared" ref="J96:J97" si="52">E96-D96</f>
        <v>0</v>
      </c>
      <c r="K96" s="47">
        <f t="shared" si="42"/>
        <v>0</v>
      </c>
    </row>
    <row r="97" spans="1:11" ht="15.75" x14ac:dyDescent="0.25">
      <c r="A97" s="74"/>
      <c r="B97" s="60" t="s">
        <v>11</v>
      </c>
      <c r="C97" s="7">
        <v>0</v>
      </c>
      <c r="D97" s="12">
        <v>0</v>
      </c>
      <c r="E97" s="45"/>
      <c r="F97" s="45">
        <f>-20000000</f>
        <v>-20000000</v>
      </c>
      <c r="G97" s="7">
        <f t="shared" si="46"/>
        <v>0</v>
      </c>
      <c r="J97" s="47">
        <f t="shared" si="52"/>
        <v>0</v>
      </c>
      <c r="K97" s="47">
        <f t="shared" si="42"/>
        <v>0</v>
      </c>
    </row>
    <row r="98" spans="1:11" ht="15.75" x14ac:dyDescent="0.25">
      <c r="A98" s="74" t="s">
        <v>64</v>
      </c>
      <c r="B98" s="60"/>
      <c r="C98" s="7">
        <v>6000000</v>
      </c>
      <c r="D98" s="7">
        <f>6000000-24000000</f>
        <v>-18000000</v>
      </c>
      <c r="E98" s="7">
        <f>-24000000+14440358.65</f>
        <v>-9559641.3499999996</v>
      </c>
      <c r="F98" s="7">
        <v>13735459.58</v>
      </c>
      <c r="G98" s="7">
        <f t="shared" si="46"/>
        <v>8440358.6500000004</v>
      </c>
      <c r="H98" s="50"/>
      <c r="I98" s="50"/>
      <c r="J98" s="47">
        <f t="shared" si="45"/>
        <v>8440358.6500000004</v>
      </c>
      <c r="K98" s="47">
        <f t="shared" si="42"/>
        <v>0</v>
      </c>
    </row>
    <row r="99" spans="1:11" ht="15.75" x14ac:dyDescent="0.25">
      <c r="A99" s="18"/>
      <c r="B99" s="60" t="s">
        <v>11</v>
      </c>
      <c r="C99" s="7">
        <v>0</v>
      </c>
      <c r="D99" s="7">
        <v>0</v>
      </c>
      <c r="E99" s="7">
        <v>0</v>
      </c>
      <c r="F99" s="7">
        <v>0</v>
      </c>
      <c r="G99" s="7">
        <f t="shared" si="46"/>
        <v>0</v>
      </c>
      <c r="H99" s="50"/>
      <c r="I99" s="50"/>
      <c r="J99" s="47">
        <f t="shared" si="45"/>
        <v>0</v>
      </c>
      <c r="K99" s="47">
        <f t="shared" si="42"/>
        <v>0</v>
      </c>
    </row>
    <row r="100" spans="1:11" ht="15.75" x14ac:dyDescent="0.25">
      <c r="A100" s="62" t="s">
        <v>14</v>
      </c>
      <c r="B100" s="62"/>
      <c r="C100" s="44"/>
      <c r="D100" s="44"/>
      <c r="E100" s="44">
        <f>SUM(E101:E108)</f>
        <v>-723376346.74000001</v>
      </c>
      <c r="F100" s="44">
        <f>SUM(F101:F108)</f>
        <v>-733833753.46999991</v>
      </c>
      <c r="G100" s="44"/>
      <c r="K100" s="47">
        <f t="shared" si="42"/>
        <v>0</v>
      </c>
    </row>
    <row r="101" spans="1:11" ht="15.75" x14ac:dyDescent="0.25">
      <c r="A101" s="18"/>
      <c r="B101" s="60" t="s">
        <v>204</v>
      </c>
      <c r="C101" s="7"/>
      <c r="D101" s="45"/>
      <c r="E101" s="45">
        <v>574854.42000000004</v>
      </c>
      <c r="F101" s="45">
        <v>384739.86</v>
      </c>
      <c r="G101" s="6"/>
      <c r="K101" s="47">
        <f t="shared" si="42"/>
        <v>0</v>
      </c>
    </row>
    <row r="102" spans="1:11" ht="15.75" x14ac:dyDescent="0.25">
      <c r="A102" s="18"/>
      <c r="B102" s="60" t="s">
        <v>205</v>
      </c>
      <c r="C102" s="7"/>
      <c r="D102" s="45"/>
      <c r="E102" s="45">
        <v>3121781.81</v>
      </c>
      <c r="F102" s="45">
        <v>2222406.34</v>
      </c>
      <c r="G102" s="6"/>
      <c r="K102" s="47">
        <f t="shared" si="42"/>
        <v>0</v>
      </c>
    </row>
    <row r="103" spans="1:11" ht="15.75" x14ac:dyDescent="0.25">
      <c r="A103" s="18"/>
      <c r="B103" s="60" t="s">
        <v>206</v>
      </c>
      <c r="C103" s="7"/>
      <c r="D103" s="45"/>
      <c r="E103" s="45">
        <f>-36703155-130115000-556390845</f>
        <v>-723209000</v>
      </c>
      <c r="F103" s="45">
        <v>-729221229</v>
      </c>
      <c r="G103" s="6"/>
      <c r="K103" s="47">
        <f t="shared" si="42"/>
        <v>0</v>
      </c>
    </row>
    <row r="104" spans="1:11" ht="15.75" x14ac:dyDescent="0.25">
      <c r="A104" s="18"/>
      <c r="B104" s="60" t="s">
        <v>207</v>
      </c>
      <c r="C104" s="7"/>
      <c r="D104" s="45"/>
      <c r="E104" s="45">
        <v>223114.64</v>
      </c>
      <c r="F104" s="45">
        <v>52344.25</v>
      </c>
      <c r="G104" s="6"/>
      <c r="K104" s="47">
        <f t="shared" si="42"/>
        <v>0</v>
      </c>
    </row>
    <row r="105" spans="1:11" ht="15.75" x14ac:dyDescent="0.25">
      <c r="A105" s="18"/>
      <c r="B105" s="60" t="s">
        <v>208</v>
      </c>
      <c r="C105" s="7"/>
      <c r="D105" s="45"/>
      <c r="E105" s="45">
        <v>-223114.64</v>
      </c>
      <c r="F105" s="45">
        <v>-52344.25</v>
      </c>
      <c r="G105" s="6"/>
      <c r="K105" s="47">
        <f t="shared" si="42"/>
        <v>0</v>
      </c>
    </row>
    <row r="106" spans="1:11" ht="15.75" x14ac:dyDescent="0.25">
      <c r="A106" s="18"/>
      <c r="B106" s="60" t="s">
        <v>12</v>
      </c>
      <c r="C106" s="7"/>
      <c r="D106" s="45"/>
      <c r="E106" s="45">
        <v>0</v>
      </c>
      <c r="F106" s="45">
        <v>-2364054.87</v>
      </c>
      <c r="G106" s="6"/>
      <c r="K106" s="47">
        <f t="shared" si="42"/>
        <v>0</v>
      </c>
    </row>
    <row r="107" spans="1:11" ht="15.75" x14ac:dyDescent="0.25">
      <c r="A107" s="18"/>
      <c r="B107" s="60" t="s">
        <v>209</v>
      </c>
      <c r="C107" s="7"/>
      <c r="D107" s="45"/>
      <c r="E107" s="45">
        <f>-742201.16-3121781.81</f>
        <v>-3863982.97</v>
      </c>
      <c r="F107" s="45">
        <f>-550584.55-2222406.34</f>
        <v>-2772990.8899999997</v>
      </c>
      <c r="G107" s="6"/>
      <c r="K107" s="47">
        <f t="shared" si="42"/>
        <v>0</v>
      </c>
    </row>
    <row r="108" spans="1:11" ht="15.75" x14ac:dyDescent="0.25">
      <c r="A108" s="18"/>
      <c r="B108" s="60" t="s">
        <v>210</v>
      </c>
      <c r="C108" s="7"/>
      <c r="D108" s="45"/>
      <c r="E108" s="45">
        <v>0</v>
      </c>
      <c r="F108" s="45">
        <v>-2082624.91</v>
      </c>
      <c r="G108" s="6"/>
      <c r="K108" s="47">
        <f t="shared" si="42"/>
        <v>0</v>
      </c>
    </row>
    <row r="109" spans="1:11" ht="15.75" hidden="1" x14ac:dyDescent="0.25">
      <c r="A109" s="67" t="s">
        <v>21</v>
      </c>
      <c r="B109" s="68"/>
      <c r="C109" s="15"/>
      <c r="D109" s="16"/>
      <c r="E109" s="10"/>
      <c r="F109" s="10"/>
      <c r="G109" s="11"/>
      <c r="K109" s="47">
        <f t="shared" si="42"/>
        <v>0</v>
      </c>
    </row>
    <row r="110" spans="1:11" ht="15.75" hidden="1" x14ac:dyDescent="0.25">
      <c r="A110" s="69" t="s">
        <v>22</v>
      </c>
      <c r="B110" s="69"/>
      <c r="C110" s="15"/>
      <c r="D110" s="17"/>
      <c r="E110" s="10"/>
      <c r="F110" s="10"/>
      <c r="G110" s="11"/>
      <c r="K110" s="47">
        <f t="shared" ref="K110:K116" si="53">J110-G110</f>
        <v>0</v>
      </c>
    </row>
    <row r="111" spans="1:11" ht="15.75" hidden="1" x14ac:dyDescent="0.25">
      <c r="A111" s="64"/>
      <c r="B111" s="67" t="s">
        <v>19</v>
      </c>
      <c r="C111" s="15">
        <v>0</v>
      </c>
      <c r="D111" s="15"/>
      <c r="E111" s="15"/>
      <c r="F111" s="15">
        <v>0</v>
      </c>
      <c r="G111" s="15">
        <f>E111-D111</f>
        <v>0</v>
      </c>
      <c r="K111" s="47">
        <f t="shared" si="53"/>
        <v>0</v>
      </c>
    </row>
    <row r="112" spans="1:11" ht="15.75" hidden="1" x14ac:dyDescent="0.25">
      <c r="A112" s="64"/>
      <c r="B112" s="70" t="s">
        <v>11</v>
      </c>
      <c r="C112" s="8">
        <v>0</v>
      </c>
      <c r="D112" s="8"/>
      <c r="E112" s="8"/>
      <c r="F112" s="8">
        <v>0</v>
      </c>
      <c r="G112" s="8">
        <f>E112-D112</f>
        <v>0</v>
      </c>
      <c r="K112" s="47">
        <f t="shared" si="53"/>
        <v>0</v>
      </c>
    </row>
    <row r="113" spans="1:11" ht="15.75" hidden="1" x14ac:dyDescent="0.25">
      <c r="A113" s="64"/>
      <c r="B113" s="67" t="s">
        <v>20</v>
      </c>
      <c r="C113" s="15">
        <v>0</v>
      </c>
      <c r="D113" s="15"/>
      <c r="E113" s="15">
        <v>0</v>
      </c>
      <c r="F113" s="15">
        <v>0</v>
      </c>
      <c r="G113" s="15">
        <f>E113-D113</f>
        <v>0</v>
      </c>
      <c r="K113" s="47">
        <f t="shared" si="53"/>
        <v>0</v>
      </c>
    </row>
    <row r="114" spans="1:11" ht="15.75" hidden="1" x14ac:dyDescent="0.25">
      <c r="A114" s="64"/>
      <c r="B114" s="70" t="s">
        <v>11</v>
      </c>
      <c r="C114" s="8">
        <v>0</v>
      </c>
      <c r="D114" s="8"/>
      <c r="E114" s="8">
        <v>0</v>
      </c>
      <c r="F114" s="8">
        <v>0</v>
      </c>
      <c r="G114" s="8">
        <f>E114-D114</f>
        <v>0</v>
      </c>
      <c r="K114" s="47">
        <f t="shared" si="53"/>
        <v>0</v>
      </c>
    </row>
    <row r="115" spans="1:11" ht="15.75" hidden="1" x14ac:dyDescent="0.25">
      <c r="A115" s="63"/>
      <c r="B115" s="64" t="s">
        <v>15</v>
      </c>
      <c r="C115" s="8"/>
      <c r="D115" s="9"/>
      <c r="E115" s="10">
        <f>E5+E14+E91+E100</f>
        <v>-1030130960.8625681</v>
      </c>
      <c r="F115" s="10">
        <f>F5+F14+F91+F100</f>
        <v>-998531481.42000008</v>
      </c>
      <c r="G115" s="11"/>
      <c r="K115" s="47">
        <f t="shared" si="53"/>
        <v>0</v>
      </c>
    </row>
    <row r="116" spans="1:11" ht="15.75" hidden="1" x14ac:dyDescent="0.25">
      <c r="A116" s="63"/>
      <c r="B116" s="64" t="s">
        <v>16</v>
      </c>
      <c r="C116" s="8"/>
      <c r="D116" s="9"/>
      <c r="E116" s="10">
        <v>-1030130961.3099999</v>
      </c>
      <c r="F116" s="10">
        <v>-998531481.51999998</v>
      </c>
      <c r="G116" s="11"/>
      <c r="K116" s="47">
        <f t="shared" si="53"/>
        <v>0</v>
      </c>
    </row>
  </sheetData>
  <autoFilter ref="A3:K116" xr:uid="{C8B09F5C-00A4-4BD3-B743-9BFC60E719C1}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5352C-D577-4AC0-AB2D-448D0F264886}">
  <dimension ref="A1:K1769"/>
  <sheetViews>
    <sheetView workbookViewId="0">
      <pane ySplit="4" topLeftCell="A5" activePane="bottomLeft" state="frozen"/>
      <selection activeCell="A16" sqref="A16"/>
      <selection pane="bottomLeft" activeCell="K21" sqref="K21"/>
    </sheetView>
  </sheetViews>
  <sheetFormatPr defaultRowHeight="15" x14ac:dyDescent="0.25"/>
  <cols>
    <col min="1" max="1" width="5.7109375" customWidth="1"/>
    <col min="2" max="2" width="14.7109375" customWidth="1"/>
    <col min="3" max="3" width="52.28515625" bestFit="1" customWidth="1"/>
    <col min="4" max="4" width="13.85546875" style="2" bestFit="1" customWidth="1"/>
    <col min="5" max="5" width="13.28515625" style="2" bestFit="1" customWidth="1"/>
    <col min="6" max="6" width="13.42578125" style="2" bestFit="1" customWidth="1"/>
    <col min="7" max="7" width="13.28515625" style="2" bestFit="1" customWidth="1"/>
    <col min="8" max="8" width="16.85546875" style="25" customWidth="1"/>
    <col min="10" max="10" width="12" bestFit="1" customWidth="1"/>
    <col min="14" max="15" width="9.5703125" bestFit="1" customWidth="1"/>
    <col min="16" max="16" width="9.85546875" customWidth="1"/>
  </cols>
  <sheetData>
    <row r="1" spans="1:9" x14ac:dyDescent="0.25">
      <c r="A1" s="39" t="s">
        <v>116</v>
      </c>
      <c r="B1" s="39"/>
    </row>
    <row r="2" spans="1:9" x14ac:dyDescent="0.25">
      <c r="A2" s="39" t="s">
        <v>115</v>
      </c>
      <c r="B2" s="39"/>
      <c r="H2" s="89"/>
    </row>
    <row r="4" spans="1:9" ht="47.25" x14ac:dyDescent="0.25">
      <c r="A4" s="57"/>
      <c r="B4" s="57"/>
      <c r="C4" s="58"/>
      <c r="D4" s="4" t="s">
        <v>1</v>
      </c>
      <c r="E4" s="4" t="s">
        <v>2</v>
      </c>
      <c r="F4" s="4" t="s">
        <v>112</v>
      </c>
      <c r="G4" s="4" t="s">
        <v>3</v>
      </c>
    </row>
    <row r="5" spans="1:9" ht="15.75" x14ac:dyDescent="0.25">
      <c r="A5" s="75" t="s">
        <v>88</v>
      </c>
      <c r="B5" s="78"/>
      <c r="C5" s="78"/>
      <c r="D5" s="79"/>
      <c r="E5" s="79"/>
      <c r="F5" s="79"/>
      <c r="G5" s="79"/>
      <c r="I5" s="2"/>
    </row>
    <row r="6" spans="1:9" s="39" customFormat="1" ht="15.75" x14ac:dyDescent="0.25">
      <c r="A6" s="54" t="s">
        <v>212</v>
      </c>
      <c r="B6" s="41"/>
      <c r="C6" s="41"/>
      <c r="D6" s="42">
        <f>SUM(D7:D11)</f>
        <v>-791744303</v>
      </c>
      <c r="E6" s="42">
        <f t="shared" ref="E6:F6" si="0">SUM(E7:E11)</f>
        <v>-824986410.22567821</v>
      </c>
      <c r="F6" s="42">
        <f t="shared" si="0"/>
        <v>-778897497.29256821</v>
      </c>
      <c r="G6" s="42">
        <f t="shared" ref="G6:G14" si="1">F6-E6</f>
        <v>46088912.933109999</v>
      </c>
      <c r="H6" s="25"/>
      <c r="I6" s="2"/>
    </row>
    <row r="7" spans="1:9" ht="15.75" x14ac:dyDescent="0.25">
      <c r="A7" s="54"/>
      <c r="B7" s="3" t="s">
        <v>117</v>
      </c>
      <c r="C7" s="3"/>
      <c r="D7" s="5">
        <f>D13+D1489</f>
        <v>-213277023</v>
      </c>
      <c r="E7" s="5">
        <f>E13+E1489</f>
        <v>-285487321.39999998</v>
      </c>
      <c r="F7" s="5">
        <f>F13+F1489</f>
        <v>-264497941.29000002</v>
      </c>
      <c r="G7" s="5">
        <f t="shared" si="1"/>
        <v>20989380.109999955</v>
      </c>
      <c r="I7" s="2"/>
    </row>
    <row r="8" spans="1:9" ht="15.75" x14ac:dyDescent="0.25">
      <c r="A8" s="54"/>
      <c r="B8" s="3" t="s">
        <v>118</v>
      </c>
      <c r="C8" s="3"/>
      <c r="D8" s="5">
        <f>D1767+D14</f>
        <v>-4203037</v>
      </c>
      <c r="E8" s="5">
        <f>E1767+E14</f>
        <v>-4203037</v>
      </c>
      <c r="F8" s="5">
        <f>F1767+F14+F1490</f>
        <v>-4223899.76</v>
      </c>
      <c r="G8" s="5">
        <f t="shared" si="1"/>
        <v>-20862.759999999776</v>
      </c>
      <c r="I8" s="2"/>
    </row>
    <row r="9" spans="1:9" ht="15.75" x14ac:dyDescent="0.25">
      <c r="A9" s="54"/>
      <c r="B9" s="3" t="s">
        <v>119</v>
      </c>
      <c r="C9" s="3"/>
      <c r="D9" s="5">
        <f t="shared" ref="D9:F10" si="2">D15+D1491+D1768</f>
        <v>-530862233</v>
      </c>
      <c r="E9" s="5">
        <f t="shared" si="2"/>
        <v>-476394451.00567818</v>
      </c>
      <c r="F9" s="5">
        <f t="shared" si="2"/>
        <v>-471112876.71002245</v>
      </c>
      <c r="G9" s="5">
        <f t="shared" si="1"/>
        <v>5281574.2956557274</v>
      </c>
      <c r="I9" s="2"/>
    </row>
    <row r="10" spans="1:9" ht="15.75" x14ac:dyDescent="0.25">
      <c r="A10" s="54"/>
      <c r="B10" s="3" t="s">
        <v>120</v>
      </c>
      <c r="C10" s="3"/>
      <c r="D10" s="5">
        <f t="shared" si="2"/>
        <v>-36751114</v>
      </c>
      <c r="E10" s="5">
        <f t="shared" si="2"/>
        <v>-52250704.819999993</v>
      </c>
      <c r="F10" s="5">
        <f t="shared" si="2"/>
        <v>-32721877.392545786</v>
      </c>
      <c r="G10" s="5">
        <f t="shared" si="1"/>
        <v>19528827.427454207</v>
      </c>
      <c r="I10" s="2"/>
    </row>
    <row r="11" spans="1:9" ht="15.75" x14ac:dyDescent="0.25">
      <c r="A11" s="54"/>
      <c r="B11" s="3" t="s">
        <v>121</v>
      </c>
      <c r="C11" s="3"/>
      <c r="D11" s="5">
        <f>D17+D1493</f>
        <v>-6650896</v>
      </c>
      <c r="E11" s="5">
        <f>E17+E1493</f>
        <v>-6650896</v>
      </c>
      <c r="F11" s="5">
        <f>F17+F1493</f>
        <v>-6340902.1399999997</v>
      </c>
      <c r="G11" s="5">
        <f t="shared" si="1"/>
        <v>309993.86000000034</v>
      </c>
      <c r="I11" s="2"/>
    </row>
    <row r="12" spans="1:9" s="39" customFormat="1" ht="15.75" x14ac:dyDescent="0.25">
      <c r="A12" s="54" t="s">
        <v>24</v>
      </c>
      <c r="B12" s="41"/>
      <c r="C12" s="41"/>
      <c r="D12" s="42">
        <f>SUM(D13:D17)</f>
        <v>-447464805</v>
      </c>
      <c r="E12" s="42">
        <f>SUM(E13:E17)</f>
        <v>-447160491.96567816</v>
      </c>
      <c r="F12" s="42">
        <f>SUM(F13:F17)</f>
        <v>-422313481.97256827</v>
      </c>
      <c r="G12" s="42">
        <f t="shared" si="1"/>
        <v>24847009.993109882</v>
      </c>
      <c r="H12" s="25"/>
      <c r="I12" s="2"/>
    </row>
    <row r="13" spans="1:9" ht="15.75" x14ac:dyDescent="0.25">
      <c r="A13" s="54"/>
      <c r="B13" s="3" t="s">
        <v>117</v>
      </c>
      <c r="C13" s="3"/>
      <c r="D13" s="5">
        <f>D19+D917</f>
        <v>-57929903</v>
      </c>
      <c r="E13" s="5">
        <f>E19+E917</f>
        <v>-86442714.850000009</v>
      </c>
      <c r="F13" s="5">
        <f>F19+F917</f>
        <v>-71167955.039999992</v>
      </c>
      <c r="G13" s="5">
        <f t="shared" si="1"/>
        <v>15274759.810000017</v>
      </c>
      <c r="I13" s="2"/>
    </row>
    <row r="14" spans="1:9" ht="15.75" x14ac:dyDescent="0.25">
      <c r="A14" s="54"/>
      <c r="B14" s="3" t="s">
        <v>118</v>
      </c>
      <c r="C14" s="3"/>
      <c r="D14" s="5">
        <f>D20</f>
        <v>0</v>
      </c>
      <c r="E14" s="5">
        <f t="shared" ref="E14" si="3">E20</f>
        <v>0</v>
      </c>
      <c r="F14" s="5">
        <f>F20+F918</f>
        <v>-254341.90000000002</v>
      </c>
      <c r="G14" s="5">
        <f t="shared" si="1"/>
        <v>-254341.90000000002</v>
      </c>
      <c r="I14" s="2"/>
    </row>
    <row r="15" spans="1:9" ht="15.75" x14ac:dyDescent="0.25">
      <c r="A15" s="54"/>
      <c r="B15" s="3" t="s">
        <v>119</v>
      </c>
      <c r="C15" s="3"/>
      <c r="D15" s="5">
        <f t="shared" ref="D15:F17" si="4">D21+D919</f>
        <v>-373842028</v>
      </c>
      <c r="E15" s="5">
        <f t="shared" si="4"/>
        <v>-338146271.92567813</v>
      </c>
      <c r="F15" s="5">
        <f t="shared" si="4"/>
        <v>-333499329.49002248</v>
      </c>
      <c r="G15" s="5">
        <f t="shared" ref="G15:G17" si="5">F15-E15</f>
        <v>4646942.4356556535</v>
      </c>
      <c r="I15" s="2"/>
    </row>
    <row r="16" spans="1:9" ht="15.75" x14ac:dyDescent="0.25">
      <c r="A16" s="54"/>
      <c r="B16" s="3" t="s">
        <v>120</v>
      </c>
      <c r="C16" s="3"/>
      <c r="D16" s="5">
        <f t="shared" si="4"/>
        <v>-9390986</v>
      </c>
      <c r="E16" s="5">
        <f t="shared" si="4"/>
        <v>-16269617.189999999</v>
      </c>
      <c r="F16" s="5">
        <f t="shared" si="4"/>
        <v>-11622200.342545781</v>
      </c>
      <c r="G16" s="5">
        <f t="shared" si="5"/>
        <v>4647416.8474542182</v>
      </c>
      <c r="I16" s="2"/>
    </row>
    <row r="17" spans="1:9" ht="15.75" x14ac:dyDescent="0.25">
      <c r="A17" s="54"/>
      <c r="B17" s="3" t="s">
        <v>121</v>
      </c>
      <c r="C17" s="3"/>
      <c r="D17" s="5">
        <f t="shared" si="4"/>
        <v>-6301888</v>
      </c>
      <c r="E17" s="5">
        <f t="shared" si="4"/>
        <v>-6301888</v>
      </c>
      <c r="F17" s="5">
        <f t="shared" si="4"/>
        <v>-5769655.1999999993</v>
      </c>
      <c r="G17" s="5">
        <f t="shared" si="5"/>
        <v>532232.80000000075</v>
      </c>
      <c r="I17" s="2"/>
    </row>
    <row r="18" spans="1:9" s="39" customFormat="1" ht="15.75" x14ac:dyDescent="0.25">
      <c r="A18" s="56" t="s">
        <v>126</v>
      </c>
      <c r="B18" s="41"/>
      <c r="C18" s="41"/>
      <c r="D18" s="42">
        <f>SUM(D19:D23)</f>
        <v>-361681684</v>
      </c>
      <c r="E18" s="42">
        <f>SUM(E19:E23)</f>
        <v>-334584858.65999997</v>
      </c>
      <c r="F18" s="42">
        <f>SUM(F19:F23)</f>
        <v>-327473314.48999995</v>
      </c>
      <c r="G18" s="42">
        <f t="shared" ref="G18:G29" si="6">F18-E18</f>
        <v>7111544.1700000167</v>
      </c>
      <c r="H18" s="25"/>
      <c r="I18" s="2"/>
    </row>
    <row r="19" spans="1:9" ht="15.75" x14ac:dyDescent="0.25">
      <c r="A19" s="55"/>
      <c r="B19" s="3" t="s">
        <v>117</v>
      </c>
      <c r="C19" s="3"/>
      <c r="D19" s="5">
        <f>D25+D116+D183+D278+D343+D444+D547+D633+D718+D784+D850</f>
        <v>-20342625</v>
      </c>
      <c r="E19" s="5">
        <f>E25+E116+E183+E278+E343+E444+E547+E633+E718+E784+E850</f>
        <v>-23907904.73</v>
      </c>
      <c r="F19" s="5">
        <f>F25+F116+F183+F278+F343+F444+F547+F633+F718+F784+F850</f>
        <v>-21452414.119999994</v>
      </c>
      <c r="G19" s="5">
        <f t="shared" si="6"/>
        <v>2455490.6100000069</v>
      </c>
      <c r="I19" s="2"/>
    </row>
    <row r="20" spans="1:9" ht="15.75" x14ac:dyDescent="0.25">
      <c r="A20" s="55"/>
      <c r="B20" s="3" t="s">
        <v>118</v>
      </c>
      <c r="C20" s="3"/>
      <c r="D20" s="5">
        <f>D26</f>
        <v>0</v>
      </c>
      <c r="E20" s="5">
        <f t="shared" ref="E20" si="7">E26</f>
        <v>0</v>
      </c>
      <c r="F20" s="5">
        <f>F26+F117+F184+F279+F344+F445+F548+F634+F719+F785+F851</f>
        <v>-243107.71000000002</v>
      </c>
      <c r="G20" s="5">
        <f t="shared" si="6"/>
        <v>-243107.71000000002</v>
      </c>
      <c r="I20" s="2"/>
    </row>
    <row r="21" spans="1:9" x14ac:dyDescent="0.25">
      <c r="A21" s="3"/>
      <c r="B21" s="3" t="s">
        <v>119</v>
      </c>
      <c r="C21" s="3"/>
      <c r="D21" s="5">
        <f>D27+D118+D185+D280+D345+D446+D549+D635+D720+D786+D852</f>
        <v>-336022290</v>
      </c>
      <c r="E21" s="5">
        <f>E27+E118+E185+E280+E345+E446+E549+E635+E720+E786+E852</f>
        <v>-304243397.58999997</v>
      </c>
      <c r="F21" s="5">
        <f>F27+F118+F185+F280+F345+F446+F549+F635+F720+F786+F852</f>
        <v>-300973044.48999995</v>
      </c>
      <c r="G21" s="5">
        <f t="shared" si="6"/>
        <v>3270353.1000000238</v>
      </c>
      <c r="I21" s="2"/>
    </row>
    <row r="22" spans="1:9" x14ac:dyDescent="0.25">
      <c r="A22" s="3"/>
      <c r="B22" s="3" t="s">
        <v>120</v>
      </c>
      <c r="C22" s="3"/>
      <c r="D22" s="5">
        <f>D28+D186+D346+D447+D550+D636</f>
        <v>-1639395</v>
      </c>
      <c r="E22" s="5">
        <f>E28+E186+E346+E447+E550+E636+E119+E281+E721+E787+E853</f>
        <v>-2756182.3400000003</v>
      </c>
      <c r="F22" s="5">
        <f>F28+F186+F346+F447+F550+F636+F119+F281+F721+F787+F853</f>
        <v>-1968516.29</v>
      </c>
      <c r="G22" s="5">
        <f t="shared" si="6"/>
        <v>787666.05000000028</v>
      </c>
      <c r="I22" s="2"/>
    </row>
    <row r="23" spans="1:9" x14ac:dyDescent="0.25">
      <c r="A23" s="3"/>
      <c r="B23" s="3" t="s">
        <v>121</v>
      </c>
      <c r="C23" s="3"/>
      <c r="D23" s="5">
        <f>D29+D120+D187+D282+D347+D448+D551+D637+D722+D788+D854</f>
        <v>-3677374</v>
      </c>
      <c r="E23" s="5">
        <f>E29+E120+E187+E282+E347+E448+E551+E637+E722+E788+E854</f>
        <v>-3677374</v>
      </c>
      <c r="F23" s="5">
        <f>F29+F120+F187+F282+F347+F448+F551+F637+F722+F788+F854</f>
        <v>-2836231.88</v>
      </c>
      <c r="G23" s="5">
        <f t="shared" si="6"/>
        <v>841142.12000000011</v>
      </c>
      <c r="I23" s="2"/>
    </row>
    <row r="24" spans="1:9" s="39" customFormat="1" ht="15.75" x14ac:dyDescent="0.25">
      <c r="A24" s="71" t="s">
        <v>128</v>
      </c>
      <c r="B24" s="41"/>
      <c r="C24" s="41"/>
      <c r="D24" s="42">
        <f>SUM(D25:D29)</f>
        <v>-62528065</v>
      </c>
      <c r="E24" s="42">
        <f>SUM(E25:E29)</f>
        <v>-56801855.729999997</v>
      </c>
      <c r="F24" s="42">
        <f>SUM(F25:F29)</f>
        <v>-55414334.250000007</v>
      </c>
      <c r="G24" s="42">
        <f t="shared" si="6"/>
        <v>1387521.4799999893</v>
      </c>
      <c r="H24" s="25"/>
      <c r="I24" s="25"/>
    </row>
    <row r="25" spans="1:9" x14ac:dyDescent="0.25">
      <c r="A25" s="3"/>
      <c r="B25" s="3" t="s">
        <v>117</v>
      </c>
      <c r="C25" s="3"/>
      <c r="D25" s="5">
        <f>D36+D60+D85+D105</f>
        <v>-3243247</v>
      </c>
      <c r="E25" s="5">
        <f>E36+E60+E85+E105</f>
        <v>-3795264.05</v>
      </c>
      <c r="F25" s="5">
        <f t="shared" ref="F25" si="8">F36+F60+F85+F105</f>
        <v>-3174649.0899999994</v>
      </c>
      <c r="G25" s="5">
        <f t="shared" si="6"/>
        <v>620614.96000000043</v>
      </c>
      <c r="I25" s="2"/>
    </row>
    <row r="26" spans="1:9" x14ac:dyDescent="0.25">
      <c r="A26" s="3"/>
      <c r="B26" s="3" t="s">
        <v>118</v>
      </c>
      <c r="C26" s="3"/>
      <c r="D26" s="5">
        <f>D41+D65+D88+D108</f>
        <v>0</v>
      </c>
      <c r="E26" s="5">
        <f t="shared" ref="E26:F26" si="9">E41+E65+E88+E108</f>
        <v>0</v>
      </c>
      <c r="F26" s="5">
        <f t="shared" si="9"/>
        <v>-39835.379999999997</v>
      </c>
      <c r="G26" s="5">
        <f t="shared" ref="G26:G27" si="10">F26-E26</f>
        <v>-39835.379999999997</v>
      </c>
      <c r="I26" s="2"/>
    </row>
    <row r="27" spans="1:9" x14ac:dyDescent="0.25">
      <c r="A27" s="3"/>
      <c r="B27" s="3" t="s">
        <v>119</v>
      </c>
      <c r="C27" s="3"/>
      <c r="D27" s="5">
        <f>D43+D68+D90+D110</f>
        <v>-57568879</v>
      </c>
      <c r="E27" s="5">
        <f>E43+E68+E90+E110</f>
        <v>-50954211.560000002</v>
      </c>
      <c r="F27" s="5">
        <f t="shared" ref="F27" si="11">F43+F68+F90+F110</f>
        <v>-50629502.000000007</v>
      </c>
      <c r="G27" s="5">
        <f t="shared" si="10"/>
        <v>324709.55999999493</v>
      </c>
      <c r="I27" s="2"/>
    </row>
    <row r="28" spans="1:9" x14ac:dyDescent="0.25">
      <c r="A28" s="3"/>
      <c r="B28" s="3" t="s">
        <v>120</v>
      </c>
      <c r="C28" s="3"/>
      <c r="D28" s="5">
        <f>D48+D94+D75</f>
        <v>-792843</v>
      </c>
      <c r="E28" s="5">
        <f>E48+E94+E75</f>
        <v>-1129284.1199999999</v>
      </c>
      <c r="F28" s="5">
        <f t="shared" ref="F28" si="12">F48+F94+F75</f>
        <v>-828882.20000000007</v>
      </c>
      <c r="G28" s="5">
        <f t="shared" si="6"/>
        <v>300401.91999999981</v>
      </c>
      <c r="I28" s="2"/>
    </row>
    <row r="29" spans="1:9" x14ac:dyDescent="0.25">
      <c r="A29" s="3"/>
      <c r="B29" s="3" t="s">
        <v>121</v>
      </c>
      <c r="C29" s="3"/>
      <c r="D29" s="5">
        <f>D51+D79+D99+D114</f>
        <v>-923096</v>
      </c>
      <c r="E29" s="5">
        <f t="shared" ref="E29:F29" si="13">E51+E79+E99+E114</f>
        <v>-923096</v>
      </c>
      <c r="F29" s="5">
        <f t="shared" si="13"/>
        <v>-741465.58000000007</v>
      </c>
      <c r="G29" s="5">
        <f t="shared" si="6"/>
        <v>181630.41999999993</v>
      </c>
      <c r="I29" s="2"/>
    </row>
    <row r="30" spans="1:9" x14ac:dyDescent="0.25">
      <c r="A30" s="41"/>
      <c r="B30" s="41" t="s">
        <v>87</v>
      </c>
      <c r="C30" s="41"/>
      <c r="D30" s="42">
        <f>SUM(D31:D35)</f>
        <v>-1950226</v>
      </c>
      <c r="E30" s="42">
        <f>SUM(E31:E35)</f>
        <v>-1827620.7699999998</v>
      </c>
      <c r="F30" s="42">
        <f t="shared" ref="F30" si="14">SUM(F31:F35)</f>
        <v>-1452344.9300000002</v>
      </c>
      <c r="G30" s="42">
        <f>F30-E30</f>
        <v>375275.83999999962</v>
      </c>
      <c r="I30" s="2"/>
    </row>
    <row r="31" spans="1:9" x14ac:dyDescent="0.25">
      <c r="A31" s="3"/>
      <c r="B31" s="3"/>
      <c r="C31" s="3" t="s">
        <v>193</v>
      </c>
      <c r="D31" s="5">
        <v>0</v>
      </c>
      <c r="E31" s="5">
        <f>E49+E44</f>
        <v>-820208.96</v>
      </c>
      <c r="F31" s="5">
        <v>0</v>
      </c>
      <c r="G31" s="5">
        <f t="shared" ref="G31:G34" si="15">F31-E31</f>
        <v>820208.96</v>
      </c>
      <c r="I31" s="2"/>
    </row>
    <row r="32" spans="1:9" x14ac:dyDescent="0.25">
      <c r="A32" s="3"/>
      <c r="B32" s="3"/>
      <c r="C32" s="3" t="s">
        <v>52</v>
      </c>
      <c r="D32" s="5">
        <f>D37+D45</f>
        <v>-1036711</v>
      </c>
      <c r="E32" s="5">
        <f t="shared" ref="E32:F32" si="16">E37+E45</f>
        <v>-574600.22</v>
      </c>
      <c r="F32" s="5">
        <f t="shared" si="16"/>
        <v>-1064927.94</v>
      </c>
      <c r="G32" s="5">
        <f t="shared" si="15"/>
        <v>-490327.72</v>
      </c>
      <c r="I32" s="2"/>
    </row>
    <row r="33" spans="1:9" x14ac:dyDescent="0.25">
      <c r="A33" s="3"/>
      <c r="B33" s="3"/>
      <c r="C33" s="3" t="s">
        <v>53</v>
      </c>
      <c r="D33" s="5">
        <f>D38+D46+D50</f>
        <v>-857591</v>
      </c>
      <c r="E33" s="5">
        <f t="shared" ref="E33:F33" si="17">E38+E46+E50</f>
        <v>-218400.16999999998</v>
      </c>
      <c r="F33" s="5">
        <f t="shared" si="17"/>
        <v>-170852.31</v>
      </c>
      <c r="G33" s="5">
        <f t="shared" si="15"/>
        <v>47547.859999999986</v>
      </c>
      <c r="I33" s="2"/>
    </row>
    <row r="34" spans="1:9" x14ac:dyDescent="0.25">
      <c r="A34" s="3"/>
      <c r="B34" s="3"/>
      <c r="C34" s="3" t="s">
        <v>113</v>
      </c>
      <c r="D34" s="5">
        <f>D39+D47</f>
        <v>-8600</v>
      </c>
      <c r="E34" s="5">
        <f t="shared" ref="E34:F34" si="18">E39+E47</f>
        <v>-167087.42000000001</v>
      </c>
      <c r="F34" s="5">
        <f t="shared" si="18"/>
        <v>-148828.54999999999</v>
      </c>
      <c r="G34" s="5">
        <f t="shared" si="15"/>
        <v>18258.870000000024</v>
      </c>
      <c r="I34" s="2"/>
    </row>
    <row r="35" spans="1:9" x14ac:dyDescent="0.25">
      <c r="A35" s="3"/>
      <c r="B35" s="3"/>
      <c r="C35" s="3" t="s">
        <v>114</v>
      </c>
      <c r="D35" s="5">
        <f>D51+D42+D40</f>
        <v>-47324</v>
      </c>
      <c r="E35" s="5">
        <f t="shared" ref="E35:F35" si="19">E51+E42+E40</f>
        <v>-47324</v>
      </c>
      <c r="F35" s="5">
        <f t="shared" si="19"/>
        <v>-67736.13</v>
      </c>
      <c r="G35" s="5">
        <f>F35-E35</f>
        <v>-20412.130000000005</v>
      </c>
      <c r="I35" s="2"/>
    </row>
    <row r="36" spans="1:9" x14ac:dyDescent="0.25">
      <c r="A36" s="41"/>
      <c r="B36" s="41"/>
      <c r="C36" s="41" t="s">
        <v>117</v>
      </c>
      <c r="D36" s="42">
        <f>SUM(D37:D40)</f>
        <v>-942436</v>
      </c>
      <c r="E36" s="42">
        <f t="shared" ref="E36:F36" si="20">SUM(E37:E40)</f>
        <v>-960087.80999999994</v>
      </c>
      <c r="F36" s="42">
        <f t="shared" si="20"/>
        <v>-804612.50999999989</v>
      </c>
      <c r="G36" s="42">
        <f>F36-E36</f>
        <v>155475.30000000005</v>
      </c>
      <c r="I36" s="2"/>
    </row>
    <row r="37" spans="1:9" x14ac:dyDescent="0.25">
      <c r="A37" s="3"/>
      <c r="B37" s="3"/>
      <c r="C37" s="3" t="s">
        <v>52</v>
      </c>
      <c r="D37" s="5">
        <v>-528135</v>
      </c>
      <c r="E37" s="5">
        <f>-574600.22</f>
        <v>-574600.22</v>
      </c>
      <c r="F37" s="5">
        <v>-559583.84</v>
      </c>
      <c r="G37" s="5">
        <f t="shared" ref="G37:G42" si="21">F37-E37</f>
        <v>15016.380000000005</v>
      </c>
      <c r="I37" s="2"/>
    </row>
    <row r="38" spans="1:9" x14ac:dyDescent="0.25">
      <c r="A38" s="3"/>
      <c r="B38" s="3"/>
      <c r="C38" s="3" t="s">
        <v>53</v>
      </c>
      <c r="D38" s="5">
        <v>-405701</v>
      </c>
      <c r="E38" s="5">
        <f>-213869.27-4530.9</f>
        <v>-218400.16999999998</v>
      </c>
      <c r="F38" s="5">
        <v>-125755.11</v>
      </c>
      <c r="G38" s="5">
        <f t="shared" si="21"/>
        <v>92645.059999999983</v>
      </c>
      <c r="I38" s="2"/>
    </row>
    <row r="39" spans="1:9" x14ac:dyDescent="0.25">
      <c r="A39" s="3"/>
      <c r="B39" s="3"/>
      <c r="C39" s="3" t="s">
        <v>113</v>
      </c>
      <c r="D39" s="5">
        <v>-8600</v>
      </c>
      <c r="E39" s="5">
        <v>-167087.42000000001</v>
      </c>
      <c r="F39" s="5">
        <v>-119161.08</v>
      </c>
      <c r="G39" s="5">
        <f t="shared" si="21"/>
        <v>47926.340000000011</v>
      </c>
      <c r="I39" s="2"/>
    </row>
    <row r="40" spans="1:9" x14ac:dyDescent="0.25">
      <c r="A40" s="3"/>
      <c r="B40" s="3"/>
      <c r="C40" s="3" t="s">
        <v>114</v>
      </c>
      <c r="D40" s="5">
        <v>0</v>
      </c>
      <c r="E40" s="5">
        <v>0</v>
      </c>
      <c r="F40" s="5">
        <v>-112.48</v>
      </c>
      <c r="G40" s="5">
        <f t="shared" si="21"/>
        <v>-112.48</v>
      </c>
      <c r="I40" s="2"/>
    </row>
    <row r="41" spans="1:9" s="39" customFormat="1" x14ac:dyDescent="0.25">
      <c r="A41" s="41"/>
      <c r="B41" s="41"/>
      <c r="C41" s="41" t="s">
        <v>118</v>
      </c>
      <c r="D41" s="42">
        <f>D42</f>
        <v>0</v>
      </c>
      <c r="E41" s="42">
        <f t="shared" ref="E41:F41" si="22">E42</f>
        <v>0</v>
      </c>
      <c r="F41" s="42">
        <f t="shared" si="22"/>
        <v>-82.83</v>
      </c>
      <c r="G41" s="42">
        <f t="shared" si="21"/>
        <v>-82.83</v>
      </c>
      <c r="H41" s="40"/>
      <c r="I41" s="80"/>
    </row>
    <row r="42" spans="1:9" x14ac:dyDescent="0.25">
      <c r="A42" s="3"/>
      <c r="B42" s="3"/>
      <c r="C42" s="3" t="s">
        <v>54</v>
      </c>
      <c r="D42" s="5">
        <v>0</v>
      </c>
      <c r="E42" s="5">
        <v>0</v>
      </c>
      <c r="F42" s="5">
        <v>-82.83</v>
      </c>
      <c r="G42" s="5">
        <f t="shared" si="21"/>
        <v>-82.83</v>
      </c>
      <c r="I42" s="2"/>
    </row>
    <row r="43" spans="1:9" x14ac:dyDescent="0.25">
      <c r="A43" s="41"/>
      <c r="B43" s="41"/>
      <c r="C43" s="41" t="s">
        <v>119</v>
      </c>
      <c r="D43" s="42">
        <f>SUM(D44:D47)</f>
        <v>-660466</v>
      </c>
      <c r="E43" s="42">
        <f t="shared" ref="E43:F43" si="23">SUM(E44:E47)</f>
        <v>-773596.69</v>
      </c>
      <c r="F43" s="42">
        <f t="shared" si="23"/>
        <v>-542408.77</v>
      </c>
      <c r="G43" s="42">
        <f>F43-E43</f>
        <v>231187.91999999993</v>
      </c>
      <c r="I43" s="2"/>
    </row>
    <row r="44" spans="1:9" x14ac:dyDescent="0.25">
      <c r="A44" s="3"/>
      <c r="B44" s="3"/>
      <c r="C44" s="3" t="s">
        <v>193</v>
      </c>
      <c r="D44" s="5">
        <v>0</v>
      </c>
      <c r="E44" s="5">
        <v>-773596.69</v>
      </c>
      <c r="F44" s="5"/>
      <c r="G44" s="5">
        <f t="shared" ref="G44:G47" si="24">F44-E44</f>
        <v>773596.69</v>
      </c>
      <c r="I44" s="2"/>
    </row>
    <row r="45" spans="1:9" x14ac:dyDescent="0.25">
      <c r="A45" s="3"/>
      <c r="B45" s="3"/>
      <c r="C45" s="3" t="s">
        <v>52</v>
      </c>
      <c r="D45" s="5">
        <v>-508576</v>
      </c>
      <c r="E45" s="5">
        <v>0</v>
      </c>
      <c r="F45" s="5">
        <v>-505344.1</v>
      </c>
      <c r="G45" s="5">
        <f t="shared" si="24"/>
        <v>-505344.1</v>
      </c>
      <c r="I45" s="2"/>
    </row>
    <row r="46" spans="1:9" x14ac:dyDescent="0.25">
      <c r="A46" s="3"/>
      <c r="B46" s="3"/>
      <c r="C46" s="3" t="s">
        <v>53</v>
      </c>
      <c r="D46" s="5">
        <v>-151890</v>
      </c>
      <c r="E46" s="5">
        <v>0</v>
      </c>
      <c r="F46" s="5">
        <v>-7397.2</v>
      </c>
      <c r="G46" s="5">
        <f t="shared" si="24"/>
        <v>-7397.2</v>
      </c>
      <c r="I46" s="2"/>
    </row>
    <row r="47" spans="1:9" x14ac:dyDescent="0.25">
      <c r="A47" s="3"/>
      <c r="B47" s="3"/>
      <c r="C47" s="3" t="s">
        <v>113</v>
      </c>
      <c r="D47" s="5">
        <v>0</v>
      </c>
      <c r="E47" s="5">
        <v>0</v>
      </c>
      <c r="F47" s="5">
        <v>-29667.47</v>
      </c>
      <c r="G47" s="5">
        <f t="shared" si="24"/>
        <v>-29667.47</v>
      </c>
      <c r="I47" s="2"/>
    </row>
    <row r="48" spans="1:9" x14ac:dyDescent="0.25">
      <c r="A48" s="41"/>
      <c r="B48" s="41"/>
      <c r="C48" s="41" t="s">
        <v>120</v>
      </c>
      <c r="D48" s="42">
        <f>SUM(D49:D50)</f>
        <v>-300000</v>
      </c>
      <c r="E48" s="42">
        <f t="shared" ref="E48:F48" si="25">SUM(E49:E50)</f>
        <v>-46612.27</v>
      </c>
      <c r="F48" s="42">
        <f t="shared" si="25"/>
        <v>-37700</v>
      </c>
      <c r="G48" s="42">
        <f>F48-E48</f>
        <v>8912.2699999999968</v>
      </c>
      <c r="I48" s="2"/>
    </row>
    <row r="49" spans="1:9" x14ac:dyDescent="0.25">
      <c r="A49" s="3"/>
      <c r="B49" s="3"/>
      <c r="C49" s="3" t="s">
        <v>193</v>
      </c>
      <c r="D49" s="5">
        <v>0</v>
      </c>
      <c r="E49" s="5">
        <v>-46612.27</v>
      </c>
      <c r="F49" s="5">
        <v>0</v>
      </c>
      <c r="G49" s="5">
        <f t="shared" ref="G49:G50" si="26">F49-E49</f>
        <v>46612.27</v>
      </c>
      <c r="I49" s="2"/>
    </row>
    <row r="50" spans="1:9" x14ac:dyDescent="0.25">
      <c r="A50" s="41"/>
      <c r="B50" s="41"/>
      <c r="C50" s="3" t="s">
        <v>53</v>
      </c>
      <c r="D50" s="5">
        <v>-300000</v>
      </c>
      <c r="E50" s="5">
        <v>0</v>
      </c>
      <c r="F50" s="5">
        <v>-37700</v>
      </c>
      <c r="G50" s="5">
        <f t="shared" si="26"/>
        <v>-37700</v>
      </c>
      <c r="I50" s="2"/>
    </row>
    <row r="51" spans="1:9" s="39" customFormat="1" x14ac:dyDescent="0.25">
      <c r="A51" s="41"/>
      <c r="B51" s="41"/>
      <c r="C51" s="41" t="s">
        <v>121</v>
      </c>
      <c r="D51" s="42">
        <v>-47324</v>
      </c>
      <c r="E51" s="42">
        <f>D51</f>
        <v>-47324</v>
      </c>
      <c r="F51" s="42">
        <v>-67540.820000000007</v>
      </c>
      <c r="G51" s="42">
        <f>F51-E51</f>
        <v>-20216.820000000007</v>
      </c>
      <c r="H51" s="25"/>
      <c r="I51" s="2"/>
    </row>
    <row r="52" spans="1:9" x14ac:dyDescent="0.25">
      <c r="A52" s="41"/>
      <c r="B52" s="41" t="s">
        <v>129</v>
      </c>
      <c r="C52" s="41"/>
      <c r="D52" s="42">
        <f>SUM(D53:D59)</f>
        <v>-58943896</v>
      </c>
      <c r="E52" s="42">
        <f t="shared" ref="E52:F52" si="27">SUM(E53:E59)</f>
        <v>-52222235.280000009</v>
      </c>
      <c r="F52" s="42">
        <f t="shared" si="27"/>
        <v>-51818706.090000004</v>
      </c>
      <c r="G52" s="42">
        <f>F52-E52</f>
        <v>403529.19000000507</v>
      </c>
      <c r="I52" s="2"/>
    </row>
    <row r="53" spans="1:9" x14ac:dyDescent="0.25">
      <c r="A53" s="41"/>
      <c r="B53" s="41"/>
      <c r="C53" s="3" t="s">
        <v>193</v>
      </c>
      <c r="D53" s="42">
        <v>0</v>
      </c>
      <c r="E53" s="5">
        <f>E76+E69</f>
        <v>-49597528.270000003</v>
      </c>
      <c r="F53" s="5">
        <v>0</v>
      </c>
      <c r="G53" s="5">
        <f t="shared" ref="G53:G59" si="28">F53-E53</f>
        <v>49597528.270000003</v>
      </c>
      <c r="I53" s="2"/>
    </row>
    <row r="54" spans="1:9" x14ac:dyDescent="0.25">
      <c r="A54" s="3"/>
      <c r="B54" s="3"/>
      <c r="C54" s="3" t="s">
        <v>52</v>
      </c>
      <c r="D54" s="5">
        <f>D61+D70+D77</f>
        <v>-2208851</v>
      </c>
      <c r="E54" s="5">
        <f t="shared" ref="E54" si="29">E61+E70+E77</f>
        <v>-1482709.49</v>
      </c>
      <c r="F54" s="5">
        <f>F61+F70+F77</f>
        <v>-2322651.2200000002</v>
      </c>
      <c r="G54" s="5">
        <f t="shared" si="28"/>
        <v>-839941.73000000021</v>
      </c>
      <c r="I54" s="2"/>
    </row>
    <row r="55" spans="1:9" x14ac:dyDescent="0.25">
      <c r="A55" s="3"/>
      <c r="B55" s="3"/>
      <c r="C55" s="3" t="s">
        <v>53</v>
      </c>
      <c r="D55" s="5">
        <f>D62+D71+D78</f>
        <v>-457670</v>
      </c>
      <c r="E55" s="5">
        <f t="shared" ref="E55:F55" si="30">E62+E71+E78</f>
        <v>-331495</v>
      </c>
      <c r="F55" s="5">
        <f t="shared" si="30"/>
        <v>-615414.53999999992</v>
      </c>
      <c r="G55" s="5">
        <f t="shared" si="28"/>
        <v>-283919.53999999992</v>
      </c>
      <c r="I55" s="2"/>
    </row>
    <row r="56" spans="1:9" x14ac:dyDescent="0.25">
      <c r="A56" s="3"/>
      <c r="B56" s="3"/>
      <c r="C56" s="3" t="s">
        <v>122</v>
      </c>
      <c r="D56" s="5">
        <f>D72</f>
        <v>-1626</v>
      </c>
      <c r="E56" s="5">
        <f t="shared" ref="E56:F56" si="31">E72</f>
        <v>0</v>
      </c>
      <c r="F56" s="5">
        <f t="shared" si="31"/>
        <v>-3789540.17</v>
      </c>
      <c r="G56" s="5">
        <f t="shared" si="28"/>
        <v>-3789540.17</v>
      </c>
      <c r="I56" s="2"/>
    </row>
    <row r="57" spans="1:9" x14ac:dyDescent="0.25">
      <c r="A57" s="3"/>
      <c r="B57" s="3"/>
      <c r="C57" s="3" t="s">
        <v>113</v>
      </c>
      <c r="D57" s="5">
        <f>D63+D73</f>
        <v>-55466082</v>
      </c>
      <c r="E57" s="5">
        <f t="shared" ref="E57" si="32">E63+E73</f>
        <v>-835.52</v>
      </c>
      <c r="F57" s="5">
        <f>F63+F73</f>
        <v>-44460567.540000007</v>
      </c>
      <c r="G57" s="5">
        <f t="shared" si="28"/>
        <v>-44459732.020000003</v>
      </c>
      <c r="I57" s="2"/>
    </row>
    <row r="58" spans="1:9" x14ac:dyDescent="0.25">
      <c r="A58" s="3"/>
      <c r="B58" s="3"/>
      <c r="C58" s="3" t="s">
        <v>114</v>
      </c>
      <c r="D58" s="5">
        <f>D79+D66+D64+D74</f>
        <v>-809667</v>
      </c>
      <c r="E58" s="5">
        <f t="shared" ref="E58" si="33">E79+E66+E64+E74</f>
        <v>-809667</v>
      </c>
      <c r="F58" s="5">
        <f>F79+F66+F64+F74</f>
        <v>-591791.51</v>
      </c>
      <c r="G58" s="5">
        <f t="shared" si="28"/>
        <v>217875.49</v>
      </c>
      <c r="I58" s="2"/>
    </row>
    <row r="59" spans="1:9" x14ac:dyDescent="0.25">
      <c r="A59" s="3"/>
      <c r="B59" s="3"/>
      <c r="C59" s="3" t="s">
        <v>30</v>
      </c>
      <c r="D59" s="5">
        <f>D67</f>
        <v>0</v>
      </c>
      <c r="E59" s="5">
        <f t="shared" ref="E59:F59" si="34">E67</f>
        <v>0</v>
      </c>
      <c r="F59" s="5">
        <f t="shared" si="34"/>
        <v>-38741.11</v>
      </c>
      <c r="G59" s="5">
        <f t="shared" si="28"/>
        <v>-38741.11</v>
      </c>
      <c r="I59" s="2"/>
    </row>
    <row r="60" spans="1:9" x14ac:dyDescent="0.25">
      <c r="A60" s="41"/>
      <c r="B60" s="41"/>
      <c r="C60" s="41" t="s">
        <v>117</v>
      </c>
      <c r="D60" s="42">
        <f>SUM(D61:D64)</f>
        <v>-1710205</v>
      </c>
      <c r="E60" s="42">
        <f t="shared" ref="E60:F60" si="35">SUM(E61:E64)</f>
        <v>-1815040.01</v>
      </c>
      <c r="F60" s="42">
        <f t="shared" si="35"/>
        <v>-1686959.96</v>
      </c>
      <c r="G60" s="42">
        <f>F60-E60</f>
        <v>128080.05000000005</v>
      </c>
      <c r="I60" s="2"/>
    </row>
    <row r="61" spans="1:9" x14ac:dyDescent="0.25">
      <c r="A61" s="3"/>
      <c r="B61" s="3"/>
      <c r="C61" s="3" t="s">
        <v>52</v>
      </c>
      <c r="D61" s="5">
        <v>-1402252</v>
      </c>
      <c r="E61" s="5">
        <v>-1482709.49</v>
      </c>
      <c r="F61" s="5">
        <v>-1426719.84</v>
      </c>
      <c r="G61" s="5">
        <f t="shared" ref="G61:G67" si="36">F61-E61</f>
        <v>55989.649999999907</v>
      </c>
      <c r="I61" s="2"/>
    </row>
    <row r="62" spans="1:9" x14ac:dyDescent="0.25">
      <c r="A62" s="3"/>
      <c r="B62" s="3"/>
      <c r="C62" s="3" t="s">
        <v>53</v>
      </c>
      <c r="D62" s="5">
        <v>-307361</v>
      </c>
      <c r="E62" s="5">
        <f>-331422.35-72.65</f>
        <v>-331495</v>
      </c>
      <c r="F62" s="5">
        <v>-257653.42</v>
      </c>
      <c r="G62" s="5">
        <f t="shared" si="36"/>
        <v>73841.579999999987</v>
      </c>
      <c r="I62" s="2"/>
    </row>
    <row r="63" spans="1:9" x14ac:dyDescent="0.25">
      <c r="A63" s="3"/>
      <c r="B63" s="3"/>
      <c r="C63" s="3" t="s">
        <v>113</v>
      </c>
      <c r="D63" s="5">
        <v>-592</v>
      </c>
      <c r="E63" s="5">
        <v>-835.52</v>
      </c>
      <c r="F63" s="5">
        <v>-835.52</v>
      </c>
      <c r="G63" s="5">
        <f t="shared" si="36"/>
        <v>0</v>
      </c>
      <c r="I63" s="2"/>
    </row>
    <row r="64" spans="1:9" x14ac:dyDescent="0.25">
      <c r="A64" s="3"/>
      <c r="B64" s="3"/>
      <c r="C64" s="3" t="s">
        <v>54</v>
      </c>
      <c r="D64" s="5">
        <v>0</v>
      </c>
      <c r="E64" s="5">
        <v>0</v>
      </c>
      <c r="F64" s="5">
        <v>-1751.18</v>
      </c>
      <c r="G64" s="5">
        <f t="shared" si="36"/>
        <v>-1751.18</v>
      </c>
      <c r="I64" s="2"/>
    </row>
    <row r="65" spans="1:9" s="39" customFormat="1" x14ac:dyDescent="0.25">
      <c r="A65" s="41"/>
      <c r="B65" s="41"/>
      <c r="C65" s="41" t="s">
        <v>118</v>
      </c>
      <c r="D65" s="42">
        <f>SUM(D66:D67)</f>
        <v>0</v>
      </c>
      <c r="E65" s="42">
        <f t="shared" ref="E65:F65" si="37">SUM(E66:E67)</f>
        <v>0</v>
      </c>
      <c r="F65" s="42">
        <f t="shared" si="37"/>
        <v>-39743.85</v>
      </c>
      <c r="G65" s="42">
        <f>F65-E65</f>
        <v>-39743.85</v>
      </c>
      <c r="H65" s="40"/>
      <c r="I65" s="80"/>
    </row>
    <row r="66" spans="1:9" x14ac:dyDescent="0.25">
      <c r="A66" s="3"/>
      <c r="B66" s="3"/>
      <c r="C66" s="3" t="s">
        <v>114</v>
      </c>
      <c r="D66" s="5">
        <v>0</v>
      </c>
      <c r="E66" s="5">
        <v>0</v>
      </c>
      <c r="F66" s="5">
        <v>-1002.74</v>
      </c>
      <c r="G66" s="5">
        <f t="shared" si="36"/>
        <v>-1002.74</v>
      </c>
      <c r="I66" s="2"/>
    </row>
    <row r="67" spans="1:9" x14ac:dyDescent="0.25">
      <c r="A67" s="3"/>
      <c r="B67" s="3"/>
      <c r="C67" s="3" t="s">
        <v>30</v>
      </c>
      <c r="D67" s="5">
        <v>0</v>
      </c>
      <c r="E67" s="5">
        <v>0</v>
      </c>
      <c r="F67" s="5">
        <v>-38741.11</v>
      </c>
      <c r="G67" s="5">
        <f t="shared" si="36"/>
        <v>-38741.11</v>
      </c>
      <c r="I67" s="2"/>
    </row>
    <row r="68" spans="1:9" x14ac:dyDescent="0.25">
      <c r="A68" s="41"/>
      <c r="B68" s="41"/>
      <c r="C68" s="41" t="s">
        <v>119</v>
      </c>
      <c r="D68" s="42">
        <f>SUM(D69:D74)</f>
        <v>-56424024</v>
      </c>
      <c r="E68" s="42">
        <f t="shared" ref="E68:F68" si="38">SUM(E69:E74)</f>
        <v>-49596371.600000001</v>
      </c>
      <c r="F68" s="42">
        <f t="shared" si="38"/>
        <v>-49570460.130000003</v>
      </c>
      <c r="G68" s="42">
        <f>F68-E68</f>
        <v>25911.469999998808</v>
      </c>
      <c r="I68" s="2"/>
    </row>
    <row r="69" spans="1:9" x14ac:dyDescent="0.25">
      <c r="A69" s="41"/>
      <c r="B69" s="41"/>
      <c r="C69" s="3" t="s">
        <v>193</v>
      </c>
      <c r="D69" s="42">
        <v>0</v>
      </c>
      <c r="E69" s="5">
        <v>-49596371.600000001</v>
      </c>
      <c r="F69" s="5">
        <v>0</v>
      </c>
      <c r="G69" s="5">
        <f t="shared" ref="G69:G72" si="39">F69-E69</f>
        <v>49596371.600000001</v>
      </c>
      <c r="I69" s="2"/>
    </row>
    <row r="70" spans="1:9" x14ac:dyDescent="0.25">
      <c r="A70" s="3"/>
      <c r="B70" s="3"/>
      <c r="C70" s="3" t="s">
        <v>52</v>
      </c>
      <c r="D70" s="5">
        <v>-806599</v>
      </c>
      <c r="E70" s="5">
        <v>0</v>
      </c>
      <c r="F70" s="5">
        <v>-895339.92</v>
      </c>
      <c r="G70" s="5">
        <f t="shared" si="39"/>
        <v>-895339.92</v>
      </c>
      <c r="I70" s="2"/>
    </row>
    <row r="71" spans="1:9" x14ac:dyDescent="0.25">
      <c r="A71" s="41"/>
      <c r="B71" s="41"/>
      <c r="C71" s="3" t="s">
        <v>53</v>
      </c>
      <c r="D71" s="5">
        <v>-150309</v>
      </c>
      <c r="E71" s="5">
        <v>0</v>
      </c>
      <c r="F71" s="5">
        <v>-357195.92</v>
      </c>
      <c r="G71" s="5">
        <f t="shared" si="39"/>
        <v>-357195.92</v>
      </c>
      <c r="I71" s="2"/>
    </row>
    <row r="72" spans="1:9" x14ac:dyDescent="0.25">
      <c r="A72" s="41"/>
      <c r="B72" s="41"/>
      <c r="C72" s="3" t="s">
        <v>122</v>
      </c>
      <c r="D72" s="5">
        <v>-1626</v>
      </c>
      <c r="E72" s="5">
        <v>0</v>
      </c>
      <c r="F72" s="5">
        <v>-3789540.17</v>
      </c>
      <c r="G72" s="5">
        <f t="shared" si="39"/>
        <v>-3789540.17</v>
      </c>
      <c r="I72" s="2"/>
    </row>
    <row r="73" spans="1:9" x14ac:dyDescent="0.25">
      <c r="A73" s="41"/>
      <c r="B73" s="41"/>
      <c r="C73" s="3" t="s">
        <v>113</v>
      </c>
      <c r="D73" s="5">
        <f>-5216014-50251102+1626</f>
        <v>-55465490</v>
      </c>
      <c r="E73" s="5">
        <v>0</v>
      </c>
      <c r="F73" s="5">
        <v>-44459732.020000003</v>
      </c>
      <c r="G73" s="5">
        <f t="shared" ref="G73:G74" si="40">F73-E73</f>
        <v>-44459732.020000003</v>
      </c>
      <c r="I73" s="2"/>
    </row>
    <row r="74" spans="1:9" x14ac:dyDescent="0.25">
      <c r="A74" s="41"/>
      <c r="B74" s="41"/>
      <c r="C74" s="3" t="s">
        <v>54</v>
      </c>
      <c r="D74" s="5">
        <v>0</v>
      </c>
      <c r="E74" s="5">
        <v>0</v>
      </c>
      <c r="F74" s="5">
        <v>-68652.100000000006</v>
      </c>
      <c r="G74" s="5">
        <f t="shared" si="40"/>
        <v>-68652.100000000006</v>
      </c>
      <c r="I74" s="2"/>
    </row>
    <row r="75" spans="1:9" x14ac:dyDescent="0.25">
      <c r="A75" s="41"/>
      <c r="B75" s="41"/>
      <c r="C75" s="41" t="s">
        <v>120</v>
      </c>
      <c r="D75" s="42">
        <f>SUM(D76:D77)</f>
        <v>0</v>
      </c>
      <c r="E75" s="42">
        <f>SUM(E76:E78)</f>
        <v>-1156.67</v>
      </c>
      <c r="F75" s="42">
        <f>SUM(F76:F78)</f>
        <v>-1156.6600000000001</v>
      </c>
      <c r="G75" s="42">
        <f>F75-E75</f>
        <v>9.9999999999909051E-3</v>
      </c>
      <c r="I75" s="2"/>
    </row>
    <row r="76" spans="1:9" x14ac:dyDescent="0.25">
      <c r="A76" s="3"/>
      <c r="B76" s="3"/>
      <c r="C76" s="3" t="s">
        <v>193</v>
      </c>
      <c r="D76" s="5">
        <v>0</v>
      </c>
      <c r="E76" s="5">
        <v>-1156.67</v>
      </c>
      <c r="F76" s="5">
        <v>0</v>
      </c>
      <c r="G76" s="5">
        <f t="shared" ref="G76:G77" si="41">F76-E76</f>
        <v>1156.67</v>
      </c>
      <c r="I76" s="2"/>
    </row>
    <row r="77" spans="1:9" x14ac:dyDescent="0.25">
      <c r="A77" s="41"/>
      <c r="B77" s="41"/>
      <c r="C77" s="3" t="s">
        <v>52</v>
      </c>
      <c r="D77" s="5">
        <v>0</v>
      </c>
      <c r="E77" s="5">
        <v>0</v>
      </c>
      <c r="F77" s="5">
        <v>-591.46</v>
      </c>
      <c r="G77" s="5">
        <f t="shared" si="41"/>
        <v>-591.46</v>
      </c>
      <c r="I77" s="2"/>
    </row>
    <row r="78" spans="1:9" x14ac:dyDescent="0.25">
      <c r="A78" s="41"/>
      <c r="B78" s="41"/>
      <c r="C78" s="3" t="s">
        <v>53</v>
      </c>
      <c r="D78" s="5">
        <v>0</v>
      </c>
      <c r="E78" s="5">
        <v>0</v>
      </c>
      <c r="F78" s="5">
        <v>-565.20000000000005</v>
      </c>
      <c r="G78" s="5">
        <f t="shared" ref="G78" si="42">F78-E78</f>
        <v>-565.20000000000005</v>
      </c>
      <c r="I78" s="2"/>
    </row>
    <row r="79" spans="1:9" s="39" customFormat="1" x14ac:dyDescent="0.25">
      <c r="A79" s="41"/>
      <c r="B79" s="41"/>
      <c r="C79" s="41" t="s">
        <v>121</v>
      </c>
      <c r="D79" s="42">
        <v>-809667</v>
      </c>
      <c r="E79" s="42">
        <f>D79</f>
        <v>-809667</v>
      </c>
      <c r="F79" s="42">
        <v>-520385.49</v>
      </c>
      <c r="G79" s="42">
        <f>F79-E79</f>
        <v>289281.51</v>
      </c>
      <c r="H79" s="25"/>
      <c r="I79" s="2"/>
    </row>
    <row r="80" spans="1:9" x14ac:dyDescent="0.25">
      <c r="A80" s="41"/>
      <c r="B80" s="41" t="s">
        <v>130</v>
      </c>
      <c r="C80" s="41"/>
      <c r="D80" s="42">
        <f>SUM(D81:D84)</f>
        <v>-1633943</v>
      </c>
      <c r="E80" s="42">
        <f t="shared" ref="E80:F80" si="43">SUM(E81:E84)</f>
        <v>-2392987.7399999998</v>
      </c>
      <c r="F80" s="42">
        <f t="shared" si="43"/>
        <v>-1958863.6600000001</v>
      </c>
      <c r="G80" s="42">
        <f>F80-E80</f>
        <v>434124.07999999961</v>
      </c>
      <c r="I80" s="2"/>
    </row>
    <row r="81" spans="1:9" x14ac:dyDescent="0.25">
      <c r="A81" s="41"/>
      <c r="B81" s="41"/>
      <c r="C81" s="3" t="s">
        <v>193</v>
      </c>
      <c r="D81" s="42">
        <v>0</v>
      </c>
      <c r="E81" s="5">
        <f>E95+E91</f>
        <v>-1660340.0699999998</v>
      </c>
      <c r="F81" s="5">
        <v>0</v>
      </c>
      <c r="G81" s="5">
        <f t="shared" ref="G81:G84" si="44">F81-E81</f>
        <v>1660340.0699999998</v>
      </c>
      <c r="I81" s="2"/>
    </row>
    <row r="82" spans="1:9" x14ac:dyDescent="0.25">
      <c r="A82" s="3"/>
      <c r="B82" s="3"/>
      <c r="C82" s="3" t="s">
        <v>52</v>
      </c>
      <c r="D82" s="5">
        <f>D86+D92+D96</f>
        <v>-945673</v>
      </c>
      <c r="E82" s="5">
        <f t="shared" ref="E82:F82" si="45">E86+E92+E96</f>
        <v>-309848.27</v>
      </c>
      <c r="F82" s="5">
        <f t="shared" si="45"/>
        <v>-1233936.79</v>
      </c>
      <c r="G82" s="5">
        <f t="shared" si="44"/>
        <v>-924088.52</v>
      </c>
      <c r="I82" s="2"/>
    </row>
    <row r="83" spans="1:9" x14ac:dyDescent="0.25">
      <c r="A83" s="3"/>
      <c r="B83" s="3"/>
      <c r="C83" s="3" t="s">
        <v>53</v>
      </c>
      <c r="D83" s="5">
        <f>D87+D93+D97</f>
        <v>-622165</v>
      </c>
      <c r="E83" s="5">
        <f t="shared" ref="E83:F83" si="46">E87+E93+E97</f>
        <v>-356694.39999999997</v>
      </c>
      <c r="F83" s="5">
        <f t="shared" si="46"/>
        <v>-640922.05000000005</v>
      </c>
      <c r="G83" s="5">
        <f t="shared" si="44"/>
        <v>-284227.65000000008</v>
      </c>
      <c r="I83" s="2"/>
    </row>
    <row r="84" spans="1:9" x14ac:dyDescent="0.25">
      <c r="A84" s="3"/>
      <c r="B84" s="3"/>
      <c r="C84" s="3" t="s">
        <v>114</v>
      </c>
      <c r="D84" s="5">
        <f>D99+D89+D98</f>
        <v>-66105</v>
      </c>
      <c r="E84" s="5">
        <f t="shared" ref="E84:F84" si="47">E99+E89+E98</f>
        <v>-66105</v>
      </c>
      <c r="F84" s="5">
        <f t="shared" si="47"/>
        <v>-84004.819999999992</v>
      </c>
      <c r="G84" s="5">
        <f t="shared" si="44"/>
        <v>-17899.819999999992</v>
      </c>
      <c r="I84" s="2"/>
    </row>
    <row r="85" spans="1:9" x14ac:dyDescent="0.25">
      <c r="A85" s="41"/>
      <c r="B85" s="41"/>
      <c r="C85" s="41" t="s">
        <v>117</v>
      </c>
      <c r="D85" s="42">
        <f>SUM(D86:D87)</f>
        <v>-590606</v>
      </c>
      <c r="E85" s="42">
        <f>SUM(E86:E87)</f>
        <v>-666542.66999999993</v>
      </c>
      <c r="F85" s="42">
        <f>SUM(F86:F87)</f>
        <v>-573513.72</v>
      </c>
      <c r="G85" s="42">
        <f>F85-E85</f>
        <v>93028.949999999953</v>
      </c>
      <c r="I85" s="2"/>
    </row>
    <row r="86" spans="1:9" x14ac:dyDescent="0.25">
      <c r="A86" s="3"/>
      <c r="B86" s="3"/>
      <c r="C86" s="3" t="s">
        <v>52</v>
      </c>
      <c r="D86" s="5">
        <v>-285366</v>
      </c>
      <c r="E86" s="5">
        <v>-309848.27</v>
      </c>
      <c r="F86" s="5">
        <v>-309822.88</v>
      </c>
      <c r="G86" s="5">
        <f t="shared" ref="G86:G89" si="48">F86-E86</f>
        <v>25.39000000001397</v>
      </c>
      <c r="I86" s="2"/>
    </row>
    <row r="87" spans="1:9" x14ac:dyDescent="0.25">
      <c r="A87" s="3"/>
      <c r="B87" s="3"/>
      <c r="C87" s="3" t="s">
        <v>53</v>
      </c>
      <c r="D87" s="5">
        <v>-305240</v>
      </c>
      <c r="E87" s="5">
        <f>-356133.85-560.55</f>
        <v>-356694.39999999997</v>
      </c>
      <c r="F87" s="5">
        <v>-263690.84000000003</v>
      </c>
      <c r="G87" s="5">
        <f t="shared" si="48"/>
        <v>93003.559999999939</v>
      </c>
      <c r="I87" s="2"/>
    </row>
    <row r="88" spans="1:9" s="39" customFormat="1" x14ac:dyDescent="0.25">
      <c r="A88" s="41"/>
      <c r="B88" s="41"/>
      <c r="C88" s="41" t="s">
        <v>118</v>
      </c>
      <c r="D88" s="42">
        <f>D89</f>
        <v>0</v>
      </c>
      <c r="E88" s="42">
        <f t="shared" ref="E88" si="49">E89</f>
        <v>0</v>
      </c>
      <c r="F88" s="42">
        <f t="shared" ref="F88" si="50">F89</f>
        <v>-8.68</v>
      </c>
      <c r="G88" s="42">
        <f t="shared" si="48"/>
        <v>-8.68</v>
      </c>
      <c r="H88" s="40"/>
      <c r="I88" s="80"/>
    </row>
    <row r="89" spans="1:9" x14ac:dyDescent="0.25">
      <c r="A89" s="3"/>
      <c r="B89" s="3"/>
      <c r="C89" s="3" t="s">
        <v>54</v>
      </c>
      <c r="D89" s="5">
        <v>0</v>
      </c>
      <c r="E89" s="5">
        <v>0</v>
      </c>
      <c r="F89" s="5">
        <v>-8.68</v>
      </c>
      <c r="G89" s="5">
        <f t="shared" si="48"/>
        <v>-8.68</v>
      </c>
      <c r="I89" s="2"/>
    </row>
    <row r="90" spans="1:9" x14ac:dyDescent="0.25">
      <c r="A90" s="41"/>
      <c r="B90" s="41"/>
      <c r="C90" s="41" t="s">
        <v>119</v>
      </c>
      <c r="D90" s="42">
        <f>SUM(D91:D93)</f>
        <v>-484389</v>
      </c>
      <c r="E90" s="42">
        <f t="shared" ref="E90:F90" si="51">SUM(E91:E93)</f>
        <v>-578824.89</v>
      </c>
      <c r="F90" s="42">
        <f t="shared" si="51"/>
        <v>-513005.22</v>
      </c>
      <c r="G90" s="42">
        <f>F90-E90</f>
        <v>65819.670000000042</v>
      </c>
      <c r="I90" s="2"/>
    </row>
    <row r="91" spans="1:9" x14ac:dyDescent="0.25">
      <c r="A91" s="41"/>
      <c r="B91" s="41"/>
      <c r="C91" s="3" t="s">
        <v>193</v>
      </c>
      <c r="D91" s="42">
        <v>0</v>
      </c>
      <c r="E91" s="5">
        <v>-578824.89</v>
      </c>
      <c r="F91" s="5">
        <v>0</v>
      </c>
      <c r="G91" s="5">
        <f t="shared" ref="G91:G93" si="52">F91-E91</f>
        <v>578824.89</v>
      </c>
      <c r="I91" s="2"/>
    </row>
    <row r="92" spans="1:9" x14ac:dyDescent="0.25">
      <c r="A92" s="3"/>
      <c r="B92" s="3"/>
      <c r="C92" s="3" t="s">
        <v>52</v>
      </c>
      <c r="D92" s="5">
        <v>-261851</v>
      </c>
      <c r="E92" s="5">
        <v>0</v>
      </c>
      <c r="F92" s="5">
        <v>-339858.36</v>
      </c>
      <c r="G92" s="5">
        <f t="shared" si="52"/>
        <v>-339858.36</v>
      </c>
      <c r="I92" s="2"/>
    </row>
    <row r="93" spans="1:9" x14ac:dyDescent="0.25">
      <c r="A93" s="41"/>
      <c r="B93" s="41"/>
      <c r="C93" s="3" t="s">
        <v>53</v>
      </c>
      <c r="D93" s="5">
        <v>-222538</v>
      </c>
      <c r="E93" s="5">
        <v>0</v>
      </c>
      <c r="F93" s="5">
        <v>-173146.86</v>
      </c>
      <c r="G93" s="5">
        <f t="shared" si="52"/>
        <v>-173146.86</v>
      </c>
      <c r="I93" s="2"/>
    </row>
    <row r="94" spans="1:9" x14ac:dyDescent="0.25">
      <c r="A94" s="41"/>
      <c r="B94" s="41"/>
      <c r="C94" s="41" t="s">
        <v>120</v>
      </c>
      <c r="D94" s="42">
        <f>SUM(D95:D98)</f>
        <v>-492843</v>
      </c>
      <c r="E94" s="42">
        <f t="shared" ref="E94:F94" si="53">SUM(E95:E98)</f>
        <v>-1081515.18</v>
      </c>
      <c r="F94" s="42">
        <f t="shared" si="53"/>
        <v>-790025.54</v>
      </c>
      <c r="G94" s="42">
        <f>F94-E94</f>
        <v>291489.6399999999</v>
      </c>
      <c r="I94" s="2"/>
    </row>
    <row r="95" spans="1:9" x14ac:dyDescent="0.25">
      <c r="A95" s="41"/>
      <c r="B95" s="41"/>
      <c r="C95" s="3" t="s">
        <v>193</v>
      </c>
      <c r="D95" s="42">
        <v>0</v>
      </c>
      <c r="E95" s="5">
        <v>-1081515.18</v>
      </c>
      <c r="F95" s="5"/>
      <c r="G95" s="5">
        <f t="shared" ref="G95:G98" si="54">F95-E95</f>
        <v>1081515.18</v>
      </c>
      <c r="I95" s="2"/>
    </row>
    <row r="96" spans="1:9" x14ac:dyDescent="0.25">
      <c r="A96" s="3"/>
      <c r="B96" s="3"/>
      <c r="C96" s="3" t="s">
        <v>52</v>
      </c>
      <c r="D96" s="5">
        <v>-398456</v>
      </c>
      <c r="E96" s="5">
        <v>0</v>
      </c>
      <c r="F96" s="5">
        <v>-584255.55000000005</v>
      </c>
      <c r="G96" s="5">
        <f t="shared" si="54"/>
        <v>-584255.55000000005</v>
      </c>
      <c r="I96" s="2"/>
    </row>
    <row r="97" spans="1:9" x14ac:dyDescent="0.25">
      <c r="A97" s="41"/>
      <c r="B97" s="41"/>
      <c r="C97" s="3" t="s">
        <v>53</v>
      </c>
      <c r="D97" s="5">
        <v>-94387</v>
      </c>
      <c r="E97" s="5">
        <v>0</v>
      </c>
      <c r="F97" s="5">
        <v>-204084.35</v>
      </c>
      <c r="G97" s="5">
        <f t="shared" si="54"/>
        <v>-204084.35</v>
      </c>
      <c r="I97" s="2"/>
    </row>
    <row r="98" spans="1:9" x14ac:dyDescent="0.25">
      <c r="A98" s="41"/>
      <c r="B98" s="41"/>
      <c r="C98" s="3" t="s">
        <v>54</v>
      </c>
      <c r="D98" s="5">
        <v>0</v>
      </c>
      <c r="E98" s="5">
        <v>0</v>
      </c>
      <c r="F98" s="5">
        <v>-1685.64</v>
      </c>
      <c r="G98" s="5">
        <f t="shared" si="54"/>
        <v>-1685.64</v>
      </c>
      <c r="I98" s="2"/>
    </row>
    <row r="99" spans="1:9" s="39" customFormat="1" x14ac:dyDescent="0.25">
      <c r="A99" s="41"/>
      <c r="B99" s="41"/>
      <c r="C99" s="41" t="s">
        <v>121</v>
      </c>
      <c r="D99" s="42">
        <v>-66105</v>
      </c>
      <c r="E99" s="42">
        <f>D99</f>
        <v>-66105</v>
      </c>
      <c r="F99" s="42">
        <v>-82310.5</v>
      </c>
      <c r="G99" s="42">
        <f>F99-E99</f>
        <v>-16205.5</v>
      </c>
      <c r="H99" s="25"/>
      <c r="I99" s="2"/>
    </row>
    <row r="100" spans="1:9" x14ac:dyDescent="0.25">
      <c r="A100" s="41"/>
      <c r="B100" s="39" t="s">
        <v>195</v>
      </c>
      <c r="C100" s="41"/>
      <c r="D100" s="42">
        <f>SUM(D101:D104)</f>
        <v>0</v>
      </c>
      <c r="E100" s="42">
        <f t="shared" ref="E100" si="55">SUM(E101:E104)</f>
        <v>-359011.94</v>
      </c>
      <c r="F100" s="42">
        <f t="shared" ref="F100" si="56">SUM(F101:F104)</f>
        <v>-184419.57</v>
      </c>
      <c r="G100" s="42">
        <f>F100-E100</f>
        <v>174592.37</v>
      </c>
      <c r="I100" s="2"/>
    </row>
    <row r="101" spans="1:9" x14ac:dyDescent="0.25">
      <c r="A101" s="41"/>
      <c r="B101" s="41"/>
      <c r="C101" s="3" t="s">
        <v>193</v>
      </c>
      <c r="D101" s="42">
        <v>0</v>
      </c>
      <c r="E101" s="5">
        <f>E111</f>
        <v>-5418.38</v>
      </c>
      <c r="F101" s="5">
        <v>0</v>
      </c>
      <c r="G101" s="5">
        <f t="shared" ref="G101:G104" si="57">F101-E101</f>
        <v>5418.38</v>
      </c>
      <c r="I101" s="2"/>
    </row>
    <row r="102" spans="1:9" x14ac:dyDescent="0.25">
      <c r="A102" s="3"/>
      <c r="B102" s="3"/>
      <c r="C102" s="3" t="s">
        <v>52</v>
      </c>
      <c r="D102" s="5">
        <f>D106+D112</f>
        <v>0</v>
      </c>
      <c r="E102" s="5">
        <f t="shared" ref="E102:F102" si="58">E106+E112</f>
        <v>-107692.98</v>
      </c>
      <c r="F102" s="5">
        <f t="shared" si="58"/>
        <v>-100610.29</v>
      </c>
      <c r="G102" s="5">
        <f t="shared" si="57"/>
        <v>7082.6900000000023</v>
      </c>
      <c r="I102" s="2"/>
    </row>
    <row r="103" spans="1:9" x14ac:dyDescent="0.25">
      <c r="A103" s="3"/>
      <c r="B103" s="3"/>
      <c r="C103" s="3" t="s">
        <v>53</v>
      </c>
      <c r="D103" s="5">
        <f>D107+D113</f>
        <v>0</v>
      </c>
      <c r="E103" s="5">
        <f t="shared" ref="E103:F103" si="59">E107+E113</f>
        <v>-245900.58</v>
      </c>
      <c r="F103" s="5">
        <f t="shared" si="59"/>
        <v>-12580.49</v>
      </c>
      <c r="G103" s="5">
        <f t="shared" si="57"/>
        <v>233320.09</v>
      </c>
      <c r="I103" s="2"/>
    </row>
    <row r="104" spans="1:9" x14ac:dyDescent="0.25">
      <c r="A104" s="3"/>
      <c r="B104" s="3"/>
      <c r="C104" s="3" t="s">
        <v>114</v>
      </c>
      <c r="D104" s="5">
        <f>D114+D109</f>
        <v>0</v>
      </c>
      <c r="E104" s="5">
        <f t="shared" ref="E104:F104" si="60">E114+E109</f>
        <v>0</v>
      </c>
      <c r="F104" s="5">
        <f t="shared" si="60"/>
        <v>-71228.790000000008</v>
      </c>
      <c r="G104" s="5">
        <f t="shared" si="57"/>
        <v>-71228.790000000008</v>
      </c>
      <c r="I104" s="2"/>
    </row>
    <row r="105" spans="1:9" x14ac:dyDescent="0.25">
      <c r="A105" s="41"/>
      <c r="B105" s="41"/>
      <c r="C105" s="41" t="s">
        <v>117</v>
      </c>
      <c r="D105" s="42">
        <f>SUM(D106:D107)</f>
        <v>0</v>
      </c>
      <c r="E105" s="42">
        <f>SUM(E106:E107)</f>
        <v>-353593.56</v>
      </c>
      <c r="F105" s="42">
        <f>SUM(F106:F107)</f>
        <v>-109562.9</v>
      </c>
      <c r="G105" s="42">
        <f>F105-E105</f>
        <v>244030.66</v>
      </c>
      <c r="I105" s="2"/>
    </row>
    <row r="106" spans="1:9" x14ac:dyDescent="0.25">
      <c r="A106" s="3"/>
      <c r="B106" s="3"/>
      <c r="C106" s="3" t="s">
        <v>52</v>
      </c>
      <c r="D106" s="5">
        <v>0</v>
      </c>
      <c r="E106" s="5">
        <v>-107692.98</v>
      </c>
      <c r="F106" s="5">
        <v>-97184.01</v>
      </c>
      <c r="G106" s="5">
        <f t="shared" ref="G106:G109" si="61">F106-E106</f>
        <v>10508.970000000001</v>
      </c>
      <c r="I106" s="2"/>
    </row>
    <row r="107" spans="1:9" x14ac:dyDescent="0.25">
      <c r="A107" s="3"/>
      <c r="B107" s="3"/>
      <c r="C107" s="3" t="s">
        <v>53</v>
      </c>
      <c r="D107" s="5">
        <v>0</v>
      </c>
      <c r="E107" s="5">
        <v>-245900.58</v>
      </c>
      <c r="F107" s="5">
        <v>-12378.89</v>
      </c>
      <c r="G107" s="5">
        <f t="shared" si="61"/>
        <v>233521.69</v>
      </c>
      <c r="I107" s="2"/>
    </row>
    <row r="108" spans="1:9" s="39" customFormat="1" x14ac:dyDescent="0.25">
      <c r="A108" s="41"/>
      <c r="B108" s="41"/>
      <c r="C108" s="41" t="s">
        <v>118</v>
      </c>
      <c r="D108" s="42">
        <f>D109</f>
        <v>0</v>
      </c>
      <c r="E108" s="42">
        <f t="shared" ref="E108" si="62">E109</f>
        <v>0</v>
      </c>
      <c r="F108" s="42">
        <f t="shared" ref="F108" si="63">F109</f>
        <v>-0.02</v>
      </c>
      <c r="G108" s="42">
        <f t="shared" si="61"/>
        <v>-0.02</v>
      </c>
      <c r="H108" s="40"/>
      <c r="I108" s="80"/>
    </row>
    <row r="109" spans="1:9" x14ac:dyDescent="0.25">
      <c r="A109" s="3"/>
      <c r="B109" s="3"/>
      <c r="C109" s="3" t="s">
        <v>54</v>
      </c>
      <c r="D109" s="5">
        <v>0</v>
      </c>
      <c r="E109" s="5">
        <v>0</v>
      </c>
      <c r="F109" s="5">
        <v>-0.02</v>
      </c>
      <c r="G109" s="5">
        <f t="shared" si="61"/>
        <v>-0.02</v>
      </c>
      <c r="I109" s="2"/>
    </row>
    <row r="110" spans="1:9" x14ac:dyDescent="0.25">
      <c r="A110" s="41"/>
      <c r="B110" s="41"/>
      <c r="C110" s="41" t="s">
        <v>119</v>
      </c>
      <c r="D110" s="42">
        <f>SUM(D111:D113)</f>
        <v>0</v>
      </c>
      <c r="E110" s="42">
        <f t="shared" ref="E110" si="64">SUM(E111:E113)</f>
        <v>-5418.38</v>
      </c>
      <c r="F110" s="42">
        <f t="shared" ref="F110" si="65">SUM(F111:F113)</f>
        <v>-3627.88</v>
      </c>
      <c r="G110" s="42">
        <f>F110-E110</f>
        <v>1790.5</v>
      </c>
      <c r="I110" s="2"/>
    </row>
    <row r="111" spans="1:9" x14ac:dyDescent="0.25">
      <c r="A111" s="41"/>
      <c r="B111" s="41"/>
      <c r="C111" s="3" t="s">
        <v>193</v>
      </c>
      <c r="D111" s="42">
        <v>0</v>
      </c>
      <c r="E111" s="5">
        <v>-5418.38</v>
      </c>
      <c r="F111" s="5">
        <v>0</v>
      </c>
      <c r="G111" s="5">
        <f t="shared" ref="G111:G113" si="66">F111-E111</f>
        <v>5418.38</v>
      </c>
      <c r="I111" s="2"/>
    </row>
    <row r="112" spans="1:9" x14ac:dyDescent="0.25">
      <c r="A112" s="3"/>
      <c r="B112" s="3"/>
      <c r="C112" s="3" t="s">
        <v>52</v>
      </c>
      <c r="D112" s="5">
        <v>0</v>
      </c>
      <c r="E112" s="5">
        <v>0</v>
      </c>
      <c r="F112" s="5">
        <v>-3426.28</v>
      </c>
      <c r="G112" s="5">
        <f t="shared" si="66"/>
        <v>-3426.28</v>
      </c>
      <c r="I112" s="2"/>
    </row>
    <row r="113" spans="1:9" x14ac:dyDescent="0.25">
      <c r="A113" s="41"/>
      <c r="B113" s="41"/>
      <c r="C113" s="3" t="s">
        <v>53</v>
      </c>
      <c r="D113" s="5">
        <v>0</v>
      </c>
      <c r="E113" s="5">
        <v>0</v>
      </c>
      <c r="F113" s="5">
        <v>-201.6</v>
      </c>
      <c r="G113" s="5">
        <f t="shared" si="66"/>
        <v>-201.6</v>
      </c>
      <c r="I113" s="2"/>
    </row>
    <row r="114" spans="1:9" s="39" customFormat="1" x14ac:dyDescent="0.25">
      <c r="A114" s="41"/>
      <c r="B114" s="41"/>
      <c r="C114" s="41" t="s">
        <v>121</v>
      </c>
      <c r="D114" s="42">
        <v>0</v>
      </c>
      <c r="E114" s="42">
        <f>D114</f>
        <v>0</v>
      </c>
      <c r="F114" s="42">
        <v>-71228.77</v>
      </c>
      <c r="G114" s="42">
        <f>F114-E114</f>
        <v>-71228.77</v>
      </c>
      <c r="H114" s="25"/>
      <c r="I114" s="2"/>
    </row>
    <row r="115" spans="1:9" s="39" customFormat="1" ht="15.75" x14ac:dyDescent="0.25">
      <c r="A115" s="71" t="s">
        <v>132</v>
      </c>
      <c r="B115" s="41"/>
      <c r="C115" s="41"/>
      <c r="D115" s="42">
        <f>SUM(D116:D120)</f>
        <v>-7713002</v>
      </c>
      <c r="E115" s="42">
        <f>SUM(E116:E120)</f>
        <v>-13837799.35</v>
      </c>
      <c r="F115" s="42">
        <f>SUM(F116:F120)</f>
        <v>-13568825.499999996</v>
      </c>
      <c r="G115" s="42">
        <f t="shared" ref="G115:G120" si="67">F115-E115</f>
        <v>268973.85000000335</v>
      </c>
      <c r="H115" s="25"/>
      <c r="I115" s="2"/>
    </row>
    <row r="116" spans="1:9" x14ac:dyDescent="0.25">
      <c r="A116" s="3"/>
      <c r="B116" s="3" t="s">
        <v>117</v>
      </c>
      <c r="C116" s="3"/>
      <c r="D116" s="5">
        <f>D127+D147+D172</f>
        <v>-144957</v>
      </c>
      <c r="E116" s="5">
        <f>E127+E147+E172</f>
        <v>-145105.86999999997</v>
      </c>
      <c r="F116" s="5">
        <f>F127+F147+F172</f>
        <v>-136356.18999999997</v>
      </c>
      <c r="G116" s="5">
        <f t="shared" si="67"/>
        <v>8749.679999999993</v>
      </c>
      <c r="I116" s="2"/>
    </row>
    <row r="117" spans="1:9" x14ac:dyDescent="0.25">
      <c r="A117" s="3"/>
      <c r="B117" s="3" t="s">
        <v>118</v>
      </c>
      <c r="C117" s="3"/>
      <c r="D117" s="5">
        <f>D131+D152</f>
        <v>0</v>
      </c>
      <c r="E117" s="5">
        <f>E131+E152</f>
        <v>0</v>
      </c>
      <c r="F117" s="5">
        <f>F131+F152</f>
        <v>-1826.6499999999999</v>
      </c>
      <c r="G117" s="5">
        <f t="shared" si="67"/>
        <v>-1826.6499999999999</v>
      </c>
      <c r="I117" s="2"/>
    </row>
    <row r="118" spans="1:9" x14ac:dyDescent="0.25">
      <c r="A118" s="3"/>
      <c r="B118" s="3" t="s">
        <v>119</v>
      </c>
      <c r="C118" s="3"/>
      <c r="D118" s="5">
        <f>D133+D155</f>
        <v>-7549940</v>
      </c>
      <c r="E118" s="5">
        <f>E133+E156+E177</f>
        <v>-13674534.390000001</v>
      </c>
      <c r="F118" s="5">
        <f>F133+F155+F177</f>
        <v>-13405798.119999997</v>
      </c>
      <c r="G118" s="5">
        <f t="shared" si="67"/>
        <v>268736.27000000328</v>
      </c>
      <c r="I118" s="2"/>
    </row>
    <row r="119" spans="1:9" x14ac:dyDescent="0.25">
      <c r="A119" s="3"/>
      <c r="B119" s="3" t="s">
        <v>120</v>
      </c>
      <c r="C119" s="3"/>
      <c r="D119" s="5">
        <v>0</v>
      </c>
      <c r="E119" s="5">
        <f>E162</f>
        <v>-54.09</v>
      </c>
      <c r="F119" s="5">
        <f>F162</f>
        <v>-54.09</v>
      </c>
      <c r="G119" s="5">
        <f t="shared" si="67"/>
        <v>0</v>
      </c>
      <c r="I119" s="2"/>
    </row>
    <row r="120" spans="1:9" x14ac:dyDescent="0.25">
      <c r="A120" s="3"/>
      <c r="B120" s="3" t="s">
        <v>121</v>
      </c>
      <c r="C120" s="3"/>
      <c r="D120" s="5">
        <f>D138+D166</f>
        <v>-18105</v>
      </c>
      <c r="E120" s="5">
        <f>E138+E166+E181</f>
        <v>-18105</v>
      </c>
      <c r="F120" s="5">
        <f>F138+F166+F181</f>
        <v>-24790.45</v>
      </c>
      <c r="G120" s="5">
        <f t="shared" si="67"/>
        <v>-6685.4500000000007</v>
      </c>
      <c r="I120" s="2"/>
    </row>
    <row r="121" spans="1:9" x14ac:dyDescent="0.25">
      <c r="A121" s="41"/>
      <c r="B121" s="41" t="s">
        <v>87</v>
      </c>
      <c r="C121" s="41"/>
      <c r="D121" s="42">
        <f>SUM(D123:D126)</f>
        <v>-6531269</v>
      </c>
      <c r="E121" s="42">
        <f>SUM(E122:E126)</f>
        <v>-12978528.99</v>
      </c>
      <c r="F121" s="42">
        <f>SUM(F122:F126)</f>
        <v>-12816147.48</v>
      </c>
      <c r="G121" s="42">
        <f>F121-E121</f>
        <v>162381.50999999978</v>
      </c>
      <c r="I121" s="2"/>
    </row>
    <row r="122" spans="1:9" x14ac:dyDescent="0.25">
      <c r="A122" s="41"/>
      <c r="B122" s="41"/>
      <c r="C122" s="3" t="s">
        <v>193</v>
      </c>
      <c r="D122" s="42">
        <v>0</v>
      </c>
      <c r="E122" s="5">
        <f>E134</f>
        <v>-12921328.539999999</v>
      </c>
      <c r="F122" s="5">
        <v>0</v>
      </c>
      <c r="G122" s="5">
        <f t="shared" ref="G122" si="68">F122-E122</f>
        <v>12921328.539999999</v>
      </c>
      <c r="I122" s="2"/>
    </row>
    <row r="123" spans="1:9" x14ac:dyDescent="0.25">
      <c r="A123" s="3"/>
      <c r="B123" s="3"/>
      <c r="C123" s="3" t="s">
        <v>52</v>
      </c>
      <c r="D123" s="5">
        <f>D128+D135</f>
        <v>-103359</v>
      </c>
      <c r="E123" s="5">
        <f t="shared" ref="E123:F123" si="69">E128+E135</f>
        <v>-47290.22</v>
      </c>
      <c r="F123" s="5">
        <f t="shared" si="69"/>
        <v>-112416.73</v>
      </c>
      <c r="G123" s="5">
        <f t="shared" ref="G123:G126" si="70">F123-E123</f>
        <v>-65126.509999999995</v>
      </c>
      <c r="I123" s="2"/>
    </row>
    <row r="124" spans="1:9" x14ac:dyDescent="0.25">
      <c r="A124" s="3"/>
      <c r="B124" s="3"/>
      <c r="C124" s="3" t="s">
        <v>53</v>
      </c>
      <c r="D124" s="5">
        <f>D129+D136</f>
        <v>-17570</v>
      </c>
      <c r="E124" s="5">
        <f t="shared" ref="E124:F124" si="71">E129+E136</f>
        <v>-8637.23</v>
      </c>
      <c r="F124" s="5">
        <f t="shared" si="71"/>
        <v>-9618.1</v>
      </c>
      <c r="G124" s="5">
        <f t="shared" si="70"/>
        <v>-980.8700000000008</v>
      </c>
      <c r="I124" s="2"/>
    </row>
    <row r="125" spans="1:9" x14ac:dyDescent="0.25">
      <c r="A125" s="3"/>
      <c r="B125" s="3"/>
      <c r="C125" s="3" t="s">
        <v>113</v>
      </c>
      <c r="D125" s="5">
        <f>D137</f>
        <v>-6409067</v>
      </c>
      <c r="E125" s="5">
        <f t="shared" ref="E125:F125" si="72">E137</f>
        <v>0</v>
      </c>
      <c r="F125" s="5">
        <f t="shared" si="72"/>
        <v>-12687571.689999999</v>
      </c>
      <c r="G125" s="5">
        <f t="shared" si="70"/>
        <v>-12687571.689999999</v>
      </c>
      <c r="I125" s="2"/>
    </row>
    <row r="126" spans="1:9" x14ac:dyDescent="0.25">
      <c r="A126" s="3"/>
      <c r="B126" s="3"/>
      <c r="C126" s="3" t="s">
        <v>114</v>
      </c>
      <c r="D126" s="5">
        <f>D138</f>
        <v>-1273</v>
      </c>
      <c r="E126" s="5">
        <f t="shared" ref="E126" si="73">E138</f>
        <v>-1273</v>
      </c>
      <c r="F126" s="5">
        <f>F138+F130+F132</f>
        <v>-6540.96</v>
      </c>
      <c r="G126" s="5">
        <f t="shared" si="70"/>
        <v>-5267.96</v>
      </c>
      <c r="I126" s="2"/>
    </row>
    <row r="127" spans="1:9" x14ac:dyDescent="0.25">
      <c r="A127" s="41"/>
      <c r="B127" s="41"/>
      <c r="C127" s="41" t="s">
        <v>117</v>
      </c>
      <c r="D127" s="42">
        <f>SUM(D128:D129)</f>
        <v>-64992</v>
      </c>
      <c r="E127" s="42">
        <f>SUM(E128:E129)</f>
        <v>-55927.45</v>
      </c>
      <c r="F127" s="42">
        <f>SUM(F128:F130)</f>
        <v>-51445.39</v>
      </c>
      <c r="G127" s="42">
        <f>F127-E127</f>
        <v>4482.0599999999977</v>
      </c>
      <c r="I127" s="2"/>
    </row>
    <row r="128" spans="1:9" x14ac:dyDescent="0.25">
      <c r="A128" s="3"/>
      <c r="B128" s="3"/>
      <c r="C128" s="3" t="s">
        <v>52</v>
      </c>
      <c r="D128" s="5">
        <v>-54299</v>
      </c>
      <c r="E128" s="5">
        <v>-47290.22</v>
      </c>
      <c r="F128" s="5">
        <v>-43810.47</v>
      </c>
      <c r="G128" s="5">
        <f t="shared" ref="G128:G132" si="74">F128-E128</f>
        <v>3479.75</v>
      </c>
      <c r="I128" s="2"/>
    </row>
    <row r="129" spans="1:9" x14ac:dyDescent="0.25">
      <c r="A129" s="3"/>
      <c r="B129" s="3"/>
      <c r="C129" s="3" t="s">
        <v>53</v>
      </c>
      <c r="D129" s="5">
        <v>-10693</v>
      </c>
      <c r="E129" s="5">
        <f>-7994.76-642.47</f>
        <v>-8637.23</v>
      </c>
      <c r="F129" s="5">
        <v>-7612.84</v>
      </c>
      <c r="G129" s="5">
        <f t="shared" si="74"/>
        <v>1024.3899999999994</v>
      </c>
      <c r="I129" s="2"/>
    </row>
    <row r="130" spans="1:9" x14ac:dyDescent="0.25">
      <c r="A130" s="3"/>
      <c r="B130" s="3"/>
      <c r="C130" s="3" t="s">
        <v>114</v>
      </c>
      <c r="D130" s="5">
        <v>0</v>
      </c>
      <c r="E130" s="5">
        <v>0</v>
      </c>
      <c r="F130" s="5">
        <v>-22.08</v>
      </c>
      <c r="G130" s="5">
        <f t="shared" si="74"/>
        <v>-22.08</v>
      </c>
      <c r="I130" s="2"/>
    </row>
    <row r="131" spans="1:9" x14ac:dyDescent="0.25">
      <c r="A131" s="3"/>
      <c r="B131" s="3"/>
      <c r="C131" s="41" t="s">
        <v>118</v>
      </c>
      <c r="D131" s="42">
        <f>D132</f>
        <v>0</v>
      </c>
      <c r="E131" s="42">
        <f t="shared" ref="E131:F131" si="75">E132</f>
        <v>0</v>
      </c>
      <c r="F131" s="42">
        <f t="shared" si="75"/>
        <v>-16.260000000000002</v>
      </c>
      <c r="G131" s="42">
        <f t="shared" si="74"/>
        <v>-16.260000000000002</v>
      </c>
      <c r="I131" s="2"/>
    </row>
    <row r="132" spans="1:9" x14ac:dyDescent="0.25">
      <c r="A132" s="3"/>
      <c r="B132" s="3"/>
      <c r="C132" s="3" t="s">
        <v>54</v>
      </c>
      <c r="D132" s="5">
        <v>0</v>
      </c>
      <c r="E132" s="5">
        <v>0</v>
      </c>
      <c r="F132" s="5">
        <v>-16.260000000000002</v>
      </c>
      <c r="G132" s="5">
        <f t="shared" si="74"/>
        <v>-16.260000000000002</v>
      </c>
      <c r="I132" s="2"/>
    </row>
    <row r="133" spans="1:9" x14ac:dyDescent="0.25">
      <c r="A133" s="41"/>
      <c r="B133" s="41"/>
      <c r="C133" s="41" t="s">
        <v>119</v>
      </c>
      <c r="D133" s="42">
        <f>SUM(D135:D137)</f>
        <v>-6465004</v>
      </c>
      <c r="E133" s="42">
        <f>SUM(E134:E137)</f>
        <v>-12921328.539999999</v>
      </c>
      <c r="F133" s="42">
        <f t="shared" ref="F133" si="76">SUM(F135:F137)</f>
        <v>-12758183.209999999</v>
      </c>
      <c r="G133" s="42">
        <f>F133-E133</f>
        <v>163145.33000000007</v>
      </c>
      <c r="I133" s="2"/>
    </row>
    <row r="134" spans="1:9" x14ac:dyDescent="0.25">
      <c r="A134" s="41"/>
      <c r="B134" s="41"/>
      <c r="C134" s="3" t="s">
        <v>193</v>
      </c>
      <c r="D134" s="42">
        <v>0</v>
      </c>
      <c r="E134" s="42">
        <v>-12921328.539999999</v>
      </c>
      <c r="F134" s="42"/>
      <c r="G134" s="5">
        <f t="shared" ref="G134" si="77">F134-E134</f>
        <v>12921328.539999999</v>
      </c>
      <c r="I134" s="2"/>
    </row>
    <row r="135" spans="1:9" ht="14.25" customHeight="1" x14ac:dyDescent="0.25">
      <c r="A135" s="3"/>
      <c r="B135" s="3"/>
      <c r="C135" s="3" t="s">
        <v>52</v>
      </c>
      <c r="D135" s="5">
        <v>-49060</v>
      </c>
      <c r="E135" s="5">
        <v>0</v>
      </c>
      <c r="F135" s="5">
        <v>-68606.259999999995</v>
      </c>
      <c r="G135" s="5">
        <f t="shared" ref="G135:G137" si="78">F135-E135</f>
        <v>-68606.259999999995</v>
      </c>
      <c r="I135" s="2"/>
    </row>
    <row r="136" spans="1:9" x14ac:dyDescent="0.25">
      <c r="A136" s="41"/>
      <c r="B136" s="41"/>
      <c r="C136" s="3" t="s">
        <v>53</v>
      </c>
      <c r="D136" s="5">
        <v>-6877</v>
      </c>
      <c r="E136" s="5">
        <v>0</v>
      </c>
      <c r="F136" s="5">
        <v>-2005.26</v>
      </c>
      <c r="G136" s="5">
        <f t="shared" si="78"/>
        <v>-2005.26</v>
      </c>
      <c r="I136" s="2"/>
    </row>
    <row r="137" spans="1:9" x14ac:dyDescent="0.25">
      <c r="A137" s="41"/>
      <c r="B137" s="41"/>
      <c r="C137" s="3" t="s">
        <v>113</v>
      </c>
      <c r="D137" s="5">
        <v>-6409067</v>
      </c>
      <c r="E137" s="5">
        <v>0</v>
      </c>
      <c r="F137" s="5">
        <v>-12687571.689999999</v>
      </c>
      <c r="G137" s="5">
        <f t="shared" si="78"/>
        <v>-12687571.689999999</v>
      </c>
      <c r="I137" s="2"/>
    </row>
    <row r="138" spans="1:9" s="39" customFormat="1" x14ac:dyDescent="0.25">
      <c r="A138" s="41"/>
      <c r="B138" s="41"/>
      <c r="C138" s="41" t="s">
        <v>121</v>
      </c>
      <c r="D138" s="42">
        <v>-1273</v>
      </c>
      <c r="E138" s="42">
        <f>D138</f>
        <v>-1273</v>
      </c>
      <c r="F138" s="42">
        <v>-6502.62</v>
      </c>
      <c r="G138" s="42">
        <f>F138-E138</f>
        <v>-5229.62</v>
      </c>
      <c r="H138" s="25"/>
      <c r="I138" s="2"/>
    </row>
    <row r="139" spans="1:9" x14ac:dyDescent="0.25">
      <c r="A139" s="41"/>
      <c r="B139" s="41" t="s">
        <v>129</v>
      </c>
      <c r="C139" s="41"/>
      <c r="D139" s="42">
        <f>SUM(D141:D145)</f>
        <v>-1181733</v>
      </c>
      <c r="E139" s="42">
        <f>SUM(E140:E146)</f>
        <v>-845426.05999999994</v>
      </c>
      <c r="F139" s="42">
        <f t="shared" ref="F139" si="79">SUM(F140:F146)</f>
        <v>-733338.28000000014</v>
      </c>
      <c r="G139" s="42">
        <f>F139-E139</f>
        <v>112087.7799999998</v>
      </c>
      <c r="I139" s="2"/>
    </row>
    <row r="140" spans="1:9" x14ac:dyDescent="0.25">
      <c r="A140" s="41"/>
      <c r="B140" s="41"/>
      <c r="C140" s="3" t="s">
        <v>193</v>
      </c>
      <c r="D140" s="42">
        <v>0</v>
      </c>
      <c r="E140" s="5">
        <f>E163+E156</f>
        <v>-752691.72</v>
      </c>
      <c r="F140" s="5">
        <v>0</v>
      </c>
      <c r="G140" s="5">
        <f t="shared" ref="G140" si="80">F140-E140</f>
        <v>752691.72</v>
      </c>
      <c r="I140" s="2"/>
    </row>
    <row r="141" spans="1:9" x14ac:dyDescent="0.25">
      <c r="A141" s="3"/>
      <c r="B141" s="3"/>
      <c r="C141" s="3" t="s">
        <v>52</v>
      </c>
      <c r="D141" s="5">
        <f>D148+D157</f>
        <v>-138842</v>
      </c>
      <c r="E141" s="5">
        <f>E148+E157</f>
        <v>-61820.32</v>
      </c>
      <c r="F141" s="5">
        <f>F148+F157+F164</f>
        <v>-165640.98000000001</v>
      </c>
      <c r="G141" s="5">
        <f t="shared" ref="G141:G146" si="81">F141-E141</f>
        <v>-103820.66</v>
      </c>
      <c r="I141" s="2"/>
    </row>
    <row r="142" spans="1:9" x14ac:dyDescent="0.25">
      <c r="A142" s="3"/>
      <c r="B142" s="3"/>
      <c r="C142" s="3" t="s">
        <v>53</v>
      </c>
      <c r="D142" s="5">
        <f>D149+D158</f>
        <v>-26047</v>
      </c>
      <c r="E142" s="5">
        <f>E149+E158</f>
        <v>-14070.02</v>
      </c>
      <c r="F142" s="5">
        <f>F149+F158+F165</f>
        <v>-17310.989999999998</v>
      </c>
      <c r="G142" s="5">
        <f t="shared" si="81"/>
        <v>-3240.9699999999975</v>
      </c>
      <c r="I142" s="2"/>
    </row>
    <row r="143" spans="1:9" x14ac:dyDescent="0.25">
      <c r="A143" s="3"/>
      <c r="B143" s="3"/>
      <c r="C143" s="3" t="s">
        <v>122</v>
      </c>
      <c r="D143" s="5">
        <f>D159</f>
        <v>-1000000</v>
      </c>
      <c r="E143" s="5">
        <f t="shared" ref="E143:F143" si="82">E159</f>
        <v>0</v>
      </c>
      <c r="F143" s="5">
        <f t="shared" si="82"/>
        <v>-94823.1</v>
      </c>
      <c r="G143" s="5">
        <f t="shared" si="81"/>
        <v>-94823.1</v>
      </c>
      <c r="I143" s="2"/>
    </row>
    <row r="144" spans="1:9" x14ac:dyDescent="0.25">
      <c r="A144" s="3"/>
      <c r="B144" s="3"/>
      <c r="C144" s="3" t="s">
        <v>113</v>
      </c>
      <c r="D144" s="5">
        <f>D150</f>
        <v>-12</v>
      </c>
      <c r="E144" s="5">
        <f t="shared" ref="E144" si="83">E150</f>
        <v>-12</v>
      </c>
      <c r="F144" s="5">
        <f>F150+F160</f>
        <v>-442851.75</v>
      </c>
      <c r="G144" s="5">
        <f t="shared" si="81"/>
        <v>-442839.75</v>
      </c>
      <c r="I144" s="2"/>
    </row>
    <row r="145" spans="1:9" x14ac:dyDescent="0.25">
      <c r="A145" s="3"/>
      <c r="B145" s="3"/>
      <c r="C145" s="3" t="s">
        <v>114</v>
      </c>
      <c r="D145" s="5">
        <f>D166</f>
        <v>-16832</v>
      </c>
      <c r="E145" s="5">
        <f t="shared" ref="E145" si="84">E166</f>
        <v>-16832</v>
      </c>
      <c r="F145" s="5">
        <f>F166+F151+F153+F161</f>
        <v>-10899.65</v>
      </c>
      <c r="G145" s="5">
        <f t="shared" si="81"/>
        <v>5932.35</v>
      </c>
      <c r="I145" s="2"/>
    </row>
    <row r="146" spans="1:9" x14ac:dyDescent="0.25">
      <c r="A146" s="3"/>
      <c r="B146" s="3"/>
      <c r="C146" s="3" t="s">
        <v>30</v>
      </c>
      <c r="D146" s="5">
        <f>D154</f>
        <v>0</v>
      </c>
      <c r="E146" s="5">
        <f>E154</f>
        <v>0</v>
      </c>
      <c r="F146" s="5">
        <f>F154</f>
        <v>-1811.81</v>
      </c>
      <c r="G146" s="5">
        <f t="shared" si="81"/>
        <v>-1811.81</v>
      </c>
      <c r="I146" s="2"/>
    </row>
    <row r="147" spans="1:9" x14ac:dyDescent="0.25">
      <c r="A147" s="41"/>
      <c r="B147" s="41"/>
      <c r="C147" s="41" t="s">
        <v>117</v>
      </c>
      <c r="D147" s="42">
        <f>SUM(D148:D150)</f>
        <v>-79965</v>
      </c>
      <c r="E147" s="42">
        <f t="shared" ref="E147" si="85">SUM(E148:E150)</f>
        <v>-75902.34</v>
      </c>
      <c r="F147" s="42">
        <f>SUM(F148:F151)</f>
        <v>-73421.139999999985</v>
      </c>
      <c r="G147" s="42">
        <f>F147-E147</f>
        <v>2481.2000000000116</v>
      </c>
      <c r="I147" s="2"/>
    </row>
    <row r="148" spans="1:9" x14ac:dyDescent="0.25">
      <c r="A148" s="3"/>
      <c r="B148" s="3"/>
      <c r="C148" s="3" t="s">
        <v>52</v>
      </c>
      <c r="D148" s="5">
        <v>-65579</v>
      </c>
      <c r="E148" s="5">
        <v>-61820.32</v>
      </c>
      <c r="F148" s="5">
        <v>-61623.72</v>
      </c>
      <c r="G148" s="5">
        <f t="shared" ref="G148:G151" si="86">F148-E148</f>
        <v>196.59999999999854</v>
      </c>
      <c r="I148" s="2"/>
    </row>
    <row r="149" spans="1:9" x14ac:dyDescent="0.25">
      <c r="A149" s="3"/>
      <c r="B149" s="3"/>
      <c r="C149" s="3" t="s">
        <v>53</v>
      </c>
      <c r="D149" s="5">
        <v>-14374</v>
      </c>
      <c r="E149" s="5">
        <f>-14066.62-3.4</f>
        <v>-14070.02</v>
      </c>
      <c r="F149" s="5">
        <v>-11703.21</v>
      </c>
      <c r="G149" s="5">
        <f t="shared" si="86"/>
        <v>2366.8100000000013</v>
      </c>
      <c r="I149" s="2"/>
    </row>
    <row r="150" spans="1:9" x14ac:dyDescent="0.25">
      <c r="A150" s="3"/>
      <c r="B150" s="3"/>
      <c r="C150" s="3" t="s">
        <v>113</v>
      </c>
      <c r="D150" s="5">
        <v>-12</v>
      </c>
      <c r="E150" s="5">
        <f t="shared" ref="E150" si="87">D150</f>
        <v>-12</v>
      </c>
      <c r="F150" s="5">
        <v>-12.31</v>
      </c>
      <c r="G150" s="5">
        <f t="shared" si="86"/>
        <v>-0.3100000000000005</v>
      </c>
      <c r="I150" s="2"/>
    </row>
    <row r="151" spans="1:9" x14ac:dyDescent="0.25">
      <c r="A151" s="3"/>
      <c r="B151" s="3"/>
      <c r="C151" s="3" t="s">
        <v>54</v>
      </c>
      <c r="D151" s="5">
        <v>0</v>
      </c>
      <c r="E151" s="5">
        <v>0</v>
      </c>
      <c r="F151" s="5">
        <v>-81.900000000000006</v>
      </c>
      <c r="G151" s="5">
        <f t="shared" si="86"/>
        <v>-81.900000000000006</v>
      </c>
      <c r="I151" s="2"/>
    </row>
    <row r="152" spans="1:9" x14ac:dyDescent="0.25">
      <c r="A152" s="3"/>
      <c r="B152" s="3"/>
      <c r="C152" s="41" t="s">
        <v>118</v>
      </c>
      <c r="D152" s="42">
        <f>SUM(D153:D154)</f>
        <v>0</v>
      </c>
      <c r="E152" s="42">
        <f t="shared" ref="E152:F152" si="88">SUM(E153:E154)</f>
        <v>0</v>
      </c>
      <c r="F152" s="42">
        <f t="shared" si="88"/>
        <v>-1810.3899999999999</v>
      </c>
      <c r="G152" s="42">
        <f>F152-E152</f>
        <v>-1810.3899999999999</v>
      </c>
      <c r="I152" s="2"/>
    </row>
    <row r="153" spans="1:9" x14ac:dyDescent="0.25">
      <c r="A153" s="3"/>
      <c r="B153" s="3"/>
      <c r="C153" s="3" t="s">
        <v>114</v>
      </c>
      <c r="D153" s="5">
        <v>0</v>
      </c>
      <c r="E153" s="5">
        <v>0</v>
      </c>
      <c r="F153" s="5">
        <v>1.42</v>
      </c>
      <c r="G153" s="5">
        <f t="shared" ref="G153:G154" si="89">F153-E153</f>
        <v>1.42</v>
      </c>
      <c r="I153" s="2"/>
    </row>
    <row r="154" spans="1:9" x14ac:dyDescent="0.25">
      <c r="A154" s="3"/>
      <c r="B154" s="3"/>
      <c r="C154" s="3" t="s">
        <v>30</v>
      </c>
      <c r="D154" s="5">
        <v>0</v>
      </c>
      <c r="E154" s="5">
        <v>0</v>
      </c>
      <c r="F154" s="5">
        <v>-1811.81</v>
      </c>
      <c r="G154" s="5">
        <f t="shared" si="89"/>
        <v>-1811.81</v>
      </c>
      <c r="I154" s="2"/>
    </row>
    <row r="155" spans="1:9" x14ac:dyDescent="0.25">
      <c r="A155" s="41"/>
      <c r="B155" s="41"/>
      <c r="C155" s="41" t="s">
        <v>119</v>
      </c>
      <c r="D155" s="42">
        <f>SUM(D157:D159)</f>
        <v>-1084936</v>
      </c>
      <c r="E155" s="42">
        <f>SUM(E156:E161)</f>
        <v>-752637.63</v>
      </c>
      <c r="F155" s="42">
        <f>SUM(F157:F161)</f>
        <v>-647234.46</v>
      </c>
      <c r="G155" s="42">
        <f>F155-E155</f>
        <v>105403.17000000004</v>
      </c>
      <c r="I155" s="2"/>
    </row>
    <row r="156" spans="1:9" x14ac:dyDescent="0.25">
      <c r="A156" s="41"/>
      <c r="B156" s="41"/>
      <c r="C156" s="3" t="s">
        <v>193</v>
      </c>
      <c r="D156" s="42">
        <v>0</v>
      </c>
      <c r="E156" s="5">
        <v>-752637.63</v>
      </c>
      <c r="F156" s="5">
        <v>0</v>
      </c>
      <c r="G156" s="5">
        <f t="shared" ref="G156" si="90">F156-E156</f>
        <v>752637.63</v>
      </c>
      <c r="I156" s="2"/>
    </row>
    <row r="157" spans="1:9" x14ac:dyDescent="0.25">
      <c r="A157" s="3"/>
      <c r="B157" s="3"/>
      <c r="C157" s="3" t="s">
        <v>52</v>
      </c>
      <c r="D157" s="5">
        <v>-73263</v>
      </c>
      <c r="E157" s="5">
        <v>0</v>
      </c>
      <c r="F157" s="5">
        <v>-103989.6</v>
      </c>
      <c r="G157" s="5">
        <f t="shared" ref="G157:G161" si="91">F157-E157</f>
        <v>-103989.6</v>
      </c>
      <c r="I157" s="2"/>
    </row>
    <row r="158" spans="1:9" x14ac:dyDescent="0.25">
      <c r="A158" s="41"/>
      <c r="B158" s="41"/>
      <c r="C158" s="3" t="s">
        <v>53</v>
      </c>
      <c r="D158" s="5">
        <v>-11673</v>
      </c>
      <c r="E158" s="5">
        <v>0</v>
      </c>
      <c r="F158" s="5">
        <v>-5581.35</v>
      </c>
      <c r="G158" s="5">
        <f t="shared" si="91"/>
        <v>-5581.35</v>
      </c>
      <c r="I158" s="2"/>
    </row>
    <row r="159" spans="1:9" x14ac:dyDescent="0.25">
      <c r="A159" s="41"/>
      <c r="B159" s="41"/>
      <c r="C159" s="3" t="s">
        <v>122</v>
      </c>
      <c r="D159" s="5">
        <f>-303633-696367</f>
        <v>-1000000</v>
      </c>
      <c r="E159" s="5">
        <v>0</v>
      </c>
      <c r="F159" s="5">
        <v>-94823.1</v>
      </c>
      <c r="G159" s="5">
        <f t="shared" si="91"/>
        <v>-94823.1</v>
      </c>
      <c r="I159" s="2"/>
    </row>
    <row r="160" spans="1:9" x14ac:dyDescent="0.25">
      <c r="A160" s="41"/>
      <c r="B160" s="41"/>
      <c r="C160" s="3" t="s">
        <v>113</v>
      </c>
      <c r="D160" s="5">
        <v>0</v>
      </c>
      <c r="E160" s="5">
        <v>0</v>
      </c>
      <c r="F160" s="25">
        <v>-442839.44</v>
      </c>
      <c r="G160" s="5">
        <f t="shared" si="91"/>
        <v>-442839.44</v>
      </c>
      <c r="I160" s="2"/>
    </row>
    <row r="161" spans="1:9" x14ac:dyDescent="0.25">
      <c r="A161" s="41"/>
      <c r="B161" s="41"/>
      <c r="C161" s="3" t="s">
        <v>54</v>
      </c>
      <c r="D161" s="5">
        <v>0</v>
      </c>
      <c r="E161" s="5">
        <v>0</v>
      </c>
      <c r="F161" s="5">
        <v>-0.97</v>
      </c>
      <c r="G161" s="5">
        <f t="shared" si="91"/>
        <v>-0.97</v>
      </c>
      <c r="I161" s="2"/>
    </row>
    <row r="162" spans="1:9" x14ac:dyDescent="0.25">
      <c r="A162" s="41"/>
      <c r="B162" s="41"/>
      <c r="C162" s="41" t="s">
        <v>120</v>
      </c>
      <c r="D162" s="42">
        <f>SUM(D163:D164)</f>
        <v>0</v>
      </c>
      <c r="E162" s="42">
        <f>SUM(E163:E165)</f>
        <v>-54.09</v>
      </c>
      <c r="F162" s="42">
        <f>SUM(F163:F165)</f>
        <v>-54.09</v>
      </c>
      <c r="G162" s="42">
        <f>F162-E162</f>
        <v>0</v>
      </c>
      <c r="I162" s="2"/>
    </row>
    <row r="163" spans="1:9" x14ac:dyDescent="0.25">
      <c r="A163" s="41"/>
      <c r="B163" s="41"/>
      <c r="C163" s="3" t="s">
        <v>193</v>
      </c>
      <c r="D163" s="5">
        <v>0</v>
      </c>
      <c r="E163" s="5">
        <v>-54.09</v>
      </c>
      <c r="F163" s="5">
        <v>0</v>
      </c>
      <c r="G163" s="5">
        <f t="shared" ref="G163:G165" si="92">F163-E163</f>
        <v>54.09</v>
      </c>
      <c r="I163" s="2"/>
    </row>
    <row r="164" spans="1:9" x14ac:dyDescent="0.25">
      <c r="A164" s="41"/>
      <c r="B164" s="41"/>
      <c r="C164" s="3" t="s">
        <v>52</v>
      </c>
      <c r="D164" s="5">
        <v>0</v>
      </c>
      <c r="E164" s="5">
        <v>0</v>
      </c>
      <c r="F164" s="5">
        <v>-27.66</v>
      </c>
      <c r="G164" s="5">
        <f t="shared" si="92"/>
        <v>-27.66</v>
      </c>
      <c r="I164" s="2"/>
    </row>
    <row r="165" spans="1:9" x14ac:dyDescent="0.25">
      <c r="A165" s="41"/>
      <c r="B165" s="41"/>
      <c r="C165" s="3" t="s">
        <v>53</v>
      </c>
      <c r="D165" s="5">
        <v>0</v>
      </c>
      <c r="E165" s="5">
        <v>0</v>
      </c>
      <c r="F165" s="5">
        <v>-26.43</v>
      </c>
      <c r="G165" s="5">
        <f t="shared" si="92"/>
        <v>-26.43</v>
      </c>
      <c r="I165" s="2"/>
    </row>
    <row r="166" spans="1:9" s="39" customFormat="1" x14ac:dyDescent="0.25">
      <c r="A166" s="41"/>
      <c r="B166" s="41"/>
      <c r="C166" s="41" t="s">
        <v>121</v>
      </c>
      <c r="D166" s="42">
        <v>-16832</v>
      </c>
      <c r="E166" s="42">
        <f>D166</f>
        <v>-16832</v>
      </c>
      <c r="F166" s="25">
        <v>-10818.2</v>
      </c>
      <c r="G166" s="42">
        <f>F166-E166</f>
        <v>6013.7999999999993</v>
      </c>
      <c r="H166" s="25"/>
      <c r="I166" s="2"/>
    </row>
    <row r="167" spans="1:9" s="39" customFormat="1" x14ac:dyDescent="0.25">
      <c r="A167" s="41"/>
      <c r="B167" s="39" t="s">
        <v>195</v>
      </c>
      <c r="C167" s="41"/>
      <c r="D167" s="42">
        <f>SUM(D168:D171)</f>
        <v>0</v>
      </c>
      <c r="E167" s="42">
        <f t="shared" ref="E167:F167" si="93">SUM(E168:E171)</f>
        <v>-13844.3</v>
      </c>
      <c r="F167" s="42">
        <f t="shared" si="93"/>
        <v>-19339.760000000002</v>
      </c>
      <c r="G167" s="42">
        <f>F167-E167</f>
        <v>-5495.4600000000028</v>
      </c>
      <c r="H167" s="25"/>
      <c r="I167" s="2"/>
    </row>
    <row r="168" spans="1:9" s="39" customFormat="1" x14ac:dyDescent="0.25">
      <c r="A168" s="41"/>
      <c r="B168" s="41"/>
      <c r="C168" s="3" t="s">
        <v>193</v>
      </c>
      <c r="D168" s="42">
        <v>0</v>
      </c>
      <c r="E168" s="5">
        <f>E178</f>
        <v>-568.22</v>
      </c>
      <c r="F168" s="5">
        <v>0</v>
      </c>
      <c r="G168" s="5">
        <f t="shared" ref="G168:G171" si="94">F168-E168</f>
        <v>568.22</v>
      </c>
      <c r="H168" s="25"/>
      <c r="I168" s="2"/>
    </row>
    <row r="169" spans="1:9" s="39" customFormat="1" x14ac:dyDescent="0.25">
      <c r="A169" s="41"/>
      <c r="B169" s="3"/>
      <c r="C169" s="3" t="s">
        <v>52</v>
      </c>
      <c r="D169" s="5">
        <f>D173+D179</f>
        <v>0</v>
      </c>
      <c r="E169" s="5">
        <f t="shared" ref="E169:F169" si="95">E173+E179</f>
        <v>-10977.55</v>
      </c>
      <c r="F169" s="5">
        <f t="shared" si="95"/>
        <v>-10550.82</v>
      </c>
      <c r="G169" s="5">
        <f t="shared" si="94"/>
        <v>426.72999999999956</v>
      </c>
      <c r="H169" s="25"/>
      <c r="I169" s="2"/>
    </row>
    <row r="170" spans="1:9" s="39" customFormat="1" x14ac:dyDescent="0.25">
      <c r="A170" s="41"/>
      <c r="B170" s="3"/>
      <c r="C170" s="3" t="s">
        <v>53</v>
      </c>
      <c r="D170" s="5">
        <f>D174+D180</f>
        <v>0</v>
      </c>
      <c r="E170" s="5">
        <f t="shared" ref="E170:F170" si="96">E174+E180</f>
        <v>-2298.5300000000002</v>
      </c>
      <c r="F170" s="5">
        <f t="shared" si="96"/>
        <v>-1319.2900000000002</v>
      </c>
      <c r="G170" s="5">
        <f t="shared" si="94"/>
        <v>979.24</v>
      </c>
      <c r="H170" s="25"/>
      <c r="I170" s="2"/>
    </row>
    <row r="171" spans="1:9" s="39" customFormat="1" x14ac:dyDescent="0.25">
      <c r="A171" s="41"/>
      <c r="B171" s="3"/>
      <c r="C171" s="3" t="s">
        <v>114</v>
      </c>
      <c r="D171" s="5">
        <f>D181+D176</f>
        <v>0</v>
      </c>
      <c r="E171" s="5">
        <f t="shared" ref="E171:F171" si="97">E181+E176</f>
        <v>0</v>
      </c>
      <c r="F171" s="5">
        <f t="shared" si="97"/>
        <v>-7469.6500000000005</v>
      </c>
      <c r="G171" s="5">
        <f t="shared" si="94"/>
        <v>-7469.6500000000005</v>
      </c>
      <c r="H171" s="25"/>
      <c r="I171" s="2"/>
    </row>
    <row r="172" spans="1:9" s="39" customFormat="1" x14ac:dyDescent="0.25">
      <c r="A172" s="41"/>
      <c r="B172" s="41"/>
      <c r="C172" s="41" t="s">
        <v>117</v>
      </c>
      <c r="D172" s="42">
        <f>SUM(D173:D174)</f>
        <v>0</v>
      </c>
      <c r="E172" s="42">
        <f>SUM(E173:E174)</f>
        <v>-13276.08</v>
      </c>
      <c r="F172" s="42">
        <f>SUM(F173:F174)</f>
        <v>-11489.66</v>
      </c>
      <c r="G172" s="42">
        <f>F172-E172</f>
        <v>1786.42</v>
      </c>
      <c r="H172" s="25"/>
      <c r="I172" s="2"/>
    </row>
    <row r="173" spans="1:9" s="39" customFormat="1" x14ac:dyDescent="0.25">
      <c r="A173" s="41"/>
      <c r="B173" s="3"/>
      <c r="C173" s="3" t="s">
        <v>52</v>
      </c>
      <c r="D173" s="5">
        <v>0</v>
      </c>
      <c r="E173" s="5">
        <v>-10977.55</v>
      </c>
      <c r="F173" s="5">
        <v>-10191.51</v>
      </c>
      <c r="G173" s="5">
        <f t="shared" ref="G173:G176" si="98">F173-E173</f>
        <v>786.03999999999905</v>
      </c>
      <c r="H173" s="25"/>
      <c r="I173" s="2"/>
    </row>
    <row r="174" spans="1:9" s="39" customFormat="1" x14ac:dyDescent="0.25">
      <c r="A174" s="41"/>
      <c r="B174" s="3"/>
      <c r="C174" s="3" t="s">
        <v>53</v>
      </c>
      <c r="D174" s="5">
        <v>0</v>
      </c>
      <c r="E174" s="5">
        <v>-2298.5300000000002</v>
      </c>
      <c r="F174" s="5">
        <v>-1298.1500000000001</v>
      </c>
      <c r="G174" s="5">
        <f t="shared" si="98"/>
        <v>1000.3800000000001</v>
      </c>
      <c r="H174" s="25"/>
      <c r="I174" s="2"/>
    </row>
    <row r="175" spans="1:9" s="39" customFormat="1" x14ac:dyDescent="0.25">
      <c r="A175" s="41"/>
      <c r="B175" s="41"/>
      <c r="C175" s="41" t="s">
        <v>118</v>
      </c>
      <c r="D175" s="42">
        <f>D176</f>
        <v>0</v>
      </c>
      <c r="E175" s="42">
        <f t="shared" ref="E175:F175" si="99">E176</f>
        <v>0</v>
      </c>
      <c r="F175" s="42">
        <f t="shared" si="99"/>
        <v>-0.02</v>
      </c>
      <c r="G175" s="42">
        <f t="shared" si="98"/>
        <v>-0.02</v>
      </c>
      <c r="H175" s="25"/>
      <c r="I175" s="2"/>
    </row>
    <row r="176" spans="1:9" s="39" customFormat="1" x14ac:dyDescent="0.25">
      <c r="A176" s="41"/>
      <c r="B176" s="3"/>
      <c r="C176" s="3" t="s">
        <v>54</v>
      </c>
      <c r="D176" s="5">
        <v>0</v>
      </c>
      <c r="E176" s="5">
        <v>0</v>
      </c>
      <c r="F176" s="5">
        <v>-0.02</v>
      </c>
      <c r="G176" s="5">
        <f t="shared" si="98"/>
        <v>-0.02</v>
      </c>
      <c r="H176" s="25"/>
      <c r="I176" s="2"/>
    </row>
    <row r="177" spans="1:9" s="39" customFormat="1" x14ac:dyDescent="0.25">
      <c r="A177" s="41"/>
      <c r="B177" s="41"/>
      <c r="C177" s="41" t="s">
        <v>119</v>
      </c>
      <c r="D177" s="42">
        <f>SUM(D178:D180)</f>
        <v>0</v>
      </c>
      <c r="E177" s="42">
        <f t="shared" ref="E177:F177" si="100">SUM(E178:E180)</f>
        <v>-568.22</v>
      </c>
      <c r="F177" s="42">
        <f t="shared" si="100"/>
        <v>-380.45</v>
      </c>
      <c r="G177" s="42">
        <f>F177-E177</f>
        <v>187.77000000000004</v>
      </c>
      <c r="H177" s="25"/>
      <c r="I177" s="2"/>
    </row>
    <row r="178" spans="1:9" s="39" customFormat="1" x14ac:dyDescent="0.25">
      <c r="A178" s="41"/>
      <c r="B178" s="41"/>
      <c r="C178" s="3" t="s">
        <v>193</v>
      </c>
      <c r="D178" s="42">
        <v>0</v>
      </c>
      <c r="E178" s="5">
        <v>-568.22</v>
      </c>
      <c r="F178" s="5">
        <v>0</v>
      </c>
      <c r="G178" s="5">
        <f t="shared" ref="G178:G180" si="101">F178-E178</f>
        <v>568.22</v>
      </c>
      <c r="H178" s="25"/>
      <c r="I178" s="2"/>
    </row>
    <row r="179" spans="1:9" s="39" customFormat="1" x14ac:dyDescent="0.25">
      <c r="A179" s="41"/>
      <c r="B179" s="3"/>
      <c r="C179" s="3" t="s">
        <v>52</v>
      </c>
      <c r="D179" s="5">
        <v>0</v>
      </c>
      <c r="E179" s="5">
        <v>0</v>
      </c>
      <c r="F179" s="5">
        <v>-359.31</v>
      </c>
      <c r="G179" s="5">
        <f t="shared" si="101"/>
        <v>-359.31</v>
      </c>
      <c r="H179" s="25"/>
      <c r="I179" s="2"/>
    </row>
    <row r="180" spans="1:9" s="39" customFormat="1" x14ac:dyDescent="0.25">
      <c r="A180" s="41"/>
      <c r="B180" s="41"/>
      <c r="C180" s="3" t="s">
        <v>53</v>
      </c>
      <c r="D180" s="5">
        <v>0</v>
      </c>
      <c r="E180" s="5">
        <v>0</v>
      </c>
      <c r="F180" s="5">
        <v>-21.14</v>
      </c>
      <c r="G180" s="5">
        <f t="shared" si="101"/>
        <v>-21.14</v>
      </c>
      <c r="H180" s="25"/>
      <c r="I180" s="2"/>
    </row>
    <row r="181" spans="1:9" s="39" customFormat="1" x14ac:dyDescent="0.25">
      <c r="A181" s="41"/>
      <c r="B181" s="41"/>
      <c r="C181" s="41" t="s">
        <v>121</v>
      </c>
      <c r="D181" s="42">
        <v>0</v>
      </c>
      <c r="E181" s="42">
        <f>D181</f>
        <v>0</v>
      </c>
      <c r="F181" s="42">
        <v>-7469.63</v>
      </c>
      <c r="G181" s="42">
        <f>F181-E181</f>
        <v>-7469.63</v>
      </c>
      <c r="H181" s="25"/>
      <c r="I181" s="2"/>
    </row>
    <row r="182" spans="1:9" s="39" customFormat="1" ht="15.75" x14ac:dyDescent="0.25">
      <c r="A182" s="71" t="s">
        <v>135</v>
      </c>
      <c r="B182" s="41"/>
      <c r="C182" s="41"/>
      <c r="D182" s="42">
        <f>SUM(D183:D187)</f>
        <v>-129394515</v>
      </c>
      <c r="E182" s="42">
        <f t="shared" ref="E182" si="102">SUM(E183:E187)</f>
        <v>-108391262.84</v>
      </c>
      <c r="F182" s="42">
        <f t="shared" ref="F182" si="103">SUM(F183:F187)</f>
        <v>-104838748.46999998</v>
      </c>
      <c r="G182" s="42">
        <f t="shared" ref="G182:G187" si="104">F182-E182</f>
        <v>3552514.3700000197</v>
      </c>
      <c r="H182" s="25"/>
      <c r="I182" s="2"/>
    </row>
    <row r="183" spans="1:9" x14ac:dyDescent="0.25">
      <c r="A183" s="3"/>
      <c r="B183" s="3" t="s">
        <v>117</v>
      </c>
      <c r="C183" s="3"/>
      <c r="D183" s="5">
        <f>D195+D218+D244</f>
        <v>-8779620</v>
      </c>
      <c r="E183" s="5">
        <f>E195+E218+E244+E267</f>
        <v>-10502313.560000001</v>
      </c>
      <c r="F183" s="5">
        <f>F195+F218+F244+F267</f>
        <v>-9886156.6099999994</v>
      </c>
      <c r="G183" s="5">
        <f t="shared" si="104"/>
        <v>616156.95000000112</v>
      </c>
      <c r="I183" s="2"/>
    </row>
    <row r="184" spans="1:9" x14ac:dyDescent="0.25">
      <c r="A184" s="3"/>
      <c r="B184" s="3" t="s">
        <v>118</v>
      </c>
      <c r="C184" s="3"/>
      <c r="D184" s="5">
        <v>0</v>
      </c>
      <c r="E184" s="5">
        <v>0</v>
      </c>
      <c r="F184" s="5">
        <f>F200+F223+F247+F270</f>
        <v>-140819.93</v>
      </c>
      <c r="G184" s="5">
        <f t="shared" si="104"/>
        <v>-140819.93</v>
      </c>
      <c r="I184" s="2"/>
    </row>
    <row r="185" spans="1:9" x14ac:dyDescent="0.25">
      <c r="A185" s="3"/>
      <c r="B185" s="3" t="s">
        <v>119</v>
      </c>
      <c r="C185" s="3"/>
      <c r="D185" s="5">
        <f>D202+D226+D249</f>
        <v>-118207769</v>
      </c>
      <c r="E185" s="5">
        <f>E202+E226+E249+E272</f>
        <v>-94782353.920000002</v>
      </c>
      <c r="F185" s="5">
        <f>F202+F226+F249+F272</f>
        <v>-92587395.289999992</v>
      </c>
      <c r="G185" s="5">
        <f t="shared" si="104"/>
        <v>2194958.6300000101</v>
      </c>
      <c r="I185" s="2"/>
    </row>
    <row r="186" spans="1:9" x14ac:dyDescent="0.25">
      <c r="A186" s="3"/>
      <c r="B186" s="3" t="s">
        <v>120</v>
      </c>
      <c r="C186" s="3"/>
      <c r="D186" s="5">
        <f>D207+D255</f>
        <v>-727991</v>
      </c>
      <c r="E186" s="5">
        <f>E207+E255+E233</f>
        <v>-1427460.36</v>
      </c>
      <c r="F186" s="5">
        <f>F207+F255+F233</f>
        <v>-1015146.8099999999</v>
      </c>
      <c r="G186" s="5">
        <f t="shared" si="104"/>
        <v>412313.55000000016</v>
      </c>
      <c r="I186" s="2"/>
    </row>
    <row r="187" spans="1:9" x14ac:dyDescent="0.25">
      <c r="A187" s="3"/>
      <c r="B187" s="3" t="s">
        <v>121</v>
      </c>
      <c r="C187" s="3"/>
      <c r="D187" s="5">
        <f>D209+D237+D261</f>
        <v>-1679135</v>
      </c>
      <c r="E187" s="5">
        <f t="shared" ref="E187" si="105">E209+E237+E261</f>
        <v>-1679135</v>
      </c>
      <c r="F187" s="5">
        <f>F209+F237+F261+F276</f>
        <v>-1209229.8299999998</v>
      </c>
      <c r="G187" s="5">
        <f t="shared" si="104"/>
        <v>469905.17000000016</v>
      </c>
      <c r="I187" s="2"/>
    </row>
    <row r="188" spans="1:9" x14ac:dyDescent="0.25">
      <c r="A188" s="41"/>
      <c r="B188" s="41" t="s">
        <v>87</v>
      </c>
      <c r="C188" s="41"/>
      <c r="D188" s="42">
        <f>SUM(D190:D194)</f>
        <v>-16070924</v>
      </c>
      <c r="E188" s="42">
        <f>SUM(E189:E194)</f>
        <v>-1912387.9499999997</v>
      </c>
      <c r="F188" s="42">
        <f t="shared" ref="F188" si="106">SUM(F190:F194)</f>
        <v>-1620185.1900000002</v>
      </c>
      <c r="G188" s="42">
        <f>F188-E188</f>
        <v>292202.75999999954</v>
      </c>
      <c r="I188" s="2"/>
    </row>
    <row r="189" spans="1:9" x14ac:dyDescent="0.25">
      <c r="A189" s="41"/>
      <c r="B189" s="41"/>
      <c r="C189" s="3" t="s">
        <v>193</v>
      </c>
      <c r="D189" s="42">
        <v>0</v>
      </c>
      <c r="E189" s="5">
        <f>E203</f>
        <v>-467033.73</v>
      </c>
      <c r="F189" s="5">
        <v>0</v>
      </c>
      <c r="G189" s="5">
        <f t="shared" ref="G189" si="107">F189-E189</f>
        <v>467033.73</v>
      </c>
      <c r="I189" s="2"/>
    </row>
    <row r="190" spans="1:9" x14ac:dyDescent="0.25">
      <c r="A190" s="3"/>
      <c r="B190" s="3"/>
      <c r="C190" s="3" t="s">
        <v>52</v>
      </c>
      <c r="D190" s="5">
        <f>D196+D204</f>
        <v>-1042436</v>
      </c>
      <c r="E190" s="5">
        <f t="shared" ref="E190:F190" si="108">E196+E204</f>
        <v>-872245.2</v>
      </c>
      <c r="F190" s="5">
        <f t="shared" si="108"/>
        <v>-1196444.33</v>
      </c>
      <c r="G190" s="5">
        <f t="shared" ref="G190:G194" si="109">F190-E190</f>
        <v>-324199.13000000012</v>
      </c>
      <c r="I190" s="2"/>
    </row>
    <row r="191" spans="1:9" x14ac:dyDescent="0.25">
      <c r="A191" s="3"/>
      <c r="B191" s="3"/>
      <c r="C191" s="3" t="s">
        <v>53</v>
      </c>
      <c r="D191" s="5">
        <f>D197+D205+D208</f>
        <v>-1051490</v>
      </c>
      <c r="E191" s="5">
        <f t="shared" ref="E191:F191" si="110">E197+E205+E208</f>
        <v>-384162.35</v>
      </c>
      <c r="F191" s="5">
        <f t="shared" si="110"/>
        <v>-268985.25</v>
      </c>
      <c r="G191" s="5">
        <f t="shared" si="109"/>
        <v>115177.09999999998</v>
      </c>
      <c r="I191" s="2"/>
    </row>
    <row r="192" spans="1:9" x14ac:dyDescent="0.25">
      <c r="A192" s="3"/>
      <c r="B192" s="3"/>
      <c r="C192" s="3" t="s">
        <v>122</v>
      </c>
      <c r="D192" s="5">
        <f>D206</f>
        <v>-13936926</v>
      </c>
      <c r="E192" s="5">
        <f t="shared" ref="E192:F192" si="111">E206</f>
        <v>0</v>
      </c>
      <c r="F192" s="5">
        <f t="shared" si="111"/>
        <v>0</v>
      </c>
      <c r="G192" s="5">
        <f t="shared" ref="G192" si="112">F192-E192</f>
        <v>0</v>
      </c>
      <c r="I192" s="2"/>
    </row>
    <row r="193" spans="1:9" x14ac:dyDescent="0.25">
      <c r="A193" s="3"/>
      <c r="B193" s="3"/>
      <c r="C193" s="3" t="s">
        <v>113</v>
      </c>
      <c r="D193" s="5">
        <f>D198</f>
        <v>-27174</v>
      </c>
      <c r="E193" s="5">
        <f t="shared" ref="E193:F193" si="113">E198</f>
        <v>-176048.67</v>
      </c>
      <c r="F193" s="5">
        <f t="shared" si="113"/>
        <v>-125474.6</v>
      </c>
      <c r="G193" s="5">
        <f t="shared" si="109"/>
        <v>50574.070000000007</v>
      </c>
      <c r="I193" s="2"/>
    </row>
    <row r="194" spans="1:9" x14ac:dyDescent="0.25">
      <c r="A194" s="3"/>
      <c r="B194" s="3"/>
      <c r="C194" s="3" t="s">
        <v>114</v>
      </c>
      <c r="D194" s="5">
        <f>D209</f>
        <v>-12898</v>
      </c>
      <c r="E194" s="5">
        <f t="shared" ref="E194" si="114">E209</f>
        <v>-12898</v>
      </c>
      <c r="F194" s="5">
        <f>F209+F199+F201</f>
        <v>-29281.01</v>
      </c>
      <c r="G194" s="5">
        <f t="shared" si="109"/>
        <v>-16383.009999999998</v>
      </c>
      <c r="I194" s="2"/>
    </row>
    <row r="195" spans="1:9" x14ac:dyDescent="0.25">
      <c r="A195" s="41"/>
      <c r="B195" s="41"/>
      <c r="C195" s="41" t="s">
        <v>117</v>
      </c>
      <c r="D195" s="42">
        <f>SUM(D196:D198)</f>
        <v>-1229713</v>
      </c>
      <c r="E195" s="42">
        <f t="shared" ref="E195" si="115">SUM(E196:E198)</f>
        <v>-1432456.2199999997</v>
      </c>
      <c r="F195" s="42">
        <f>SUM(F196:F199)</f>
        <v>-1255607.4800000002</v>
      </c>
      <c r="G195" s="42">
        <f>F195-E195</f>
        <v>176848.73999999953</v>
      </c>
      <c r="I195" s="2"/>
    </row>
    <row r="196" spans="1:9" x14ac:dyDescent="0.25">
      <c r="A196" s="3"/>
      <c r="B196" s="3"/>
      <c r="C196" s="3" t="s">
        <v>52</v>
      </c>
      <c r="D196" s="5">
        <v>-741058</v>
      </c>
      <c r="E196" s="5">
        <v>-872245.2</v>
      </c>
      <c r="F196" s="5">
        <v>-870408.73</v>
      </c>
      <c r="G196" s="5">
        <f t="shared" ref="G196:G201" si="116">F196-E196</f>
        <v>1836.4699999999721</v>
      </c>
      <c r="I196" s="2"/>
    </row>
    <row r="197" spans="1:9" x14ac:dyDescent="0.25">
      <c r="A197" s="3"/>
      <c r="B197" s="3"/>
      <c r="C197" s="3" t="s">
        <v>53</v>
      </c>
      <c r="D197" s="5">
        <v>-461481</v>
      </c>
      <c r="E197" s="5">
        <f>-380181.3-3981.05</f>
        <v>-384162.35</v>
      </c>
      <c r="F197" s="5">
        <v>-259638.55</v>
      </c>
      <c r="G197" s="5">
        <f t="shared" si="116"/>
        <v>124523.79999999999</v>
      </c>
      <c r="I197" s="2"/>
    </row>
    <row r="198" spans="1:9" x14ac:dyDescent="0.25">
      <c r="A198" s="3"/>
      <c r="B198" s="3"/>
      <c r="C198" s="3" t="s">
        <v>113</v>
      </c>
      <c r="D198" s="5">
        <v>-27174</v>
      </c>
      <c r="E198" s="5">
        <v>-176048.67</v>
      </c>
      <c r="F198" s="5">
        <v>-125474.6</v>
      </c>
      <c r="G198" s="5">
        <f t="shared" si="116"/>
        <v>50574.070000000007</v>
      </c>
      <c r="I198" s="2"/>
    </row>
    <row r="199" spans="1:9" x14ac:dyDescent="0.25">
      <c r="A199" s="3"/>
      <c r="B199" s="3"/>
      <c r="C199" s="3" t="s">
        <v>114</v>
      </c>
      <c r="D199" s="5">
        <v>0</v>
      </c>
      <c r="E199" s="5">
        <v>0</v>
      </c>
      <c r="F199" s="5">
        <v>-85.6</v>
      </c>
      <c r="G199" s="5">
        <f t="shared" si="116"/>
        <v>-85.6</v>
      </c>
      <c r="I199" s="2"/>
    </row>
    <row r="200" spans="1:9" x14ac:dyDescent="0.25">
      <c r="A200" s="3"/>
      <c r="B200" s="3"/>
      <c r="C200" s="41" t="s">
        <v>118</v>
      </c>
      <c r="D200" s="42">
        <f>D201</f>
        <v>0</v>
      </c>
      <c r="E200" s="42">
        <f t="shared" ref="E200:F200" si="117">E201</f>
        <v>0</v>
      </c>
      <c r="F200" s="42">
        <f t="shared" si="117"/>
        <v>-63.03</v>
      </c>
      <c r="G200" s="42">
        <f t="shared" si="116"/>
        <v>-63.03</v>
      </c>
      <c r="I200" s="2"/>
    </row>
    <row r="201" spans="1:9" x14ac:dyDescent="0.25">
      <c r="A201" s="3"/>
      <c r="B201" s="3"/>
      <c r="C201" s="3" t="s">
        <v>54</v>
      </c>
      <c r="D201" s="5">
        <v>0</v>
      </c>
      <c r="E201" s="5">
        <v>0</v>
      </c>
      <c r="F201" s="5">
        <v>-63.03</v>
      </c>
      <c r="G201" s="5">
        <f t="shared" si="116"/>
        <v>-63.03</v>
      </c>
      <c r="I201" s="2"/>
    </row>
    <row r="202" spans="1:9" x14ac:dyDescent="0.25">
      <c r="A202" s="41"/>
      <c r="B202" s="41"/>
      <c r="C202" s="41" t="s">
        <v>119</v>
      </c>
      <c r="D202" s="42">
        <f>SUM(D204:D206)</f>
        <v>-14328313</v>
      </c>
      <c r="E202" s="42">
        <f>SUM(E203:E206)</f>
        <v>-467033.73</v>
      </c>
      <c r="F202" s="42">
        <f>SUM(F204:F206)</f>
        <v>-335382.3</v>
      </c>
      <c r="G202" s="42">
        <f>F202-E202</f>
        <v>131651.43</v>
      </c>
      <c r="I202" s="2"/>
    </row>
    <row r="203" spans="1:9" x14ac:dyDescent="0.25">
      <c r="A203" s="41"/>
      <c r="B203" s="41"/>
      <c r="C203" s="3" t="s">
        <v>193</v>
      </c>
      <c r="D203" s="42">
        <v>0</v>
      </c>
      <c r="E203" s="5">
        <v>-467033.73</v>
      </c>
      <c r="F203" s="5">
        <v>0</v>
      </c>
      <c r="G203" s="5">
        <f t="shared" ref="G203" si="118">F203-E203</f>
        <v>467033.73</v>
      </c>
      <c r="I203" s="2"/>
    </row>
    <row r="204" spans="1:9" x14ac:dyDescent="0.25">
      <c r="A204" s="3"/>
      <c r="B204" s="3"/>
      <c r="C204" s="3" t="s">
        <v>52</v>
      </c>
      <c r="D204" s="5">
        <v>-301378</v>
      </c>
      <c r="E204" s="5">
        <v>0</v>
      </c>
      <c r="F204" s="5">
        <v>-326035.59999999998</v>
      </c>
      <c r="G204" s="5">
        <f t="shared" ref="G204:G206" si="119">F204-E204</f>
        <v>-326035.59999999998</v>
      </c>
      <c r="I204" s="2"/>
    </row>
    <row r="205" spans="1:9" x14ac:dyDescent="0.25">
      <c r="A205" s="41"/>
      <c r="B205" s="41"/>
      <c r="C205" s="3" t="s">
        <v>53</v>
      </c>
      <c r="D205" s="5">
        <v>-90009</v>
      </c>
      <c r="E205" s="5">
        <v>0</v>
      </c>
      <c r="F205" s="5">
        <v>-9346.7000000000007</v>
      </c>
      <c r="G205" s="5">
        <f t="shared" si="119"/>
        <v>-9346.7000000000007</v>
      </c>
      <c r="I205" s="2"/>
    </row>
    <row r="206" spans="1:9" x14ac:dyDescent="0.25">
      <c r="A206" s="41"/>
      <c r="B206" s="41"/>
      <c r="C206" s="3" t="s">
        <v>122</v>
      </c>
      <c r="D206" s="5">
        <v>-13936926</v>
      </c>
      <c r="E206" s="5">
        <v>0</v>
      </c>
      <c r="F206" s="42">
        <v>0</v>
      </c>
      <c r="G206" s="5">
        <f t="shared" si="119"/>
        <v>0</v>
      </c>
      <c r="H206" s="25" t="s">
        <v>123</v>
      </c>
      <c r="I206" s="2"/>
    </row>
    <row r="207" spans="1:9" x14ac:dyDescent="0.25">
      <c r="A207" s="41"/>
      <c r="B207" s="41"/>
      <c r="C207" s="41" t="s">
        <v>120</v>
      </c>
      <c r="D207" s="42">
        <f>D208</f>
        <v>-500000</v>
      </c>
      <c r="E207" s="42">
        <f t="shared" ref="E207:F207" si="120">E208</f>
        <v>0</v>
      </c>
      <c r="F207" s="42">
        <f t="shared" si="120"/>
        <v>0</v>
      </c>
      <c r="G207" s="42">
        <f>F207-E207</f>
        <v>0</v>
      </c>
      <c r="I207" s="2"/>
    </row>
    <row r="208" spans="1:9" x14ac:dyDescent="0.25">
      <c r="A208" s="41"/>
      <c r="B208" s="41"/>
      <c r="C208" s="3" t="s">
        <v>53</v>
      </c>
      <c r="D208" s="5">
        <v>-500000</v>
      </c>
      <c r="E208" s="5">
        <v>0</v>
      </c>
      <c r="F208" s="42">
        <v>0</v>
      </c>
      <c r="G208" s="5">
        <f t="shared" ref="G208" si="121">F208-E208</f>
        <v>0</v>
      </c>
      <c r="I208" s="2"/>
    </row>
    <row r="209" spans="1:9" s="39" customFormat="1" x14ac:dyDescent="0.25">
      <c r="A209" s="41"/>
      <c r="B209" s="41"/>
      <c r="C209" s="41" t="s">
        <v>121</v>
      </c>
      <c r="D209" s="42">
        <v>-12898</v>
      </c>
      <c r="E209" s="42">
        <f>D209</f>
        <v>-12898</v>
      </c>
      <c r="F209" s="5">
        <v>-29132.38</v>
      </c>
      <c r="G209" s="42">
        <f>F209-E209</f>
        <v>-16234.380000000001</v>
      </c>
      <c r="H209" s="25"/>
      <c r="I209" s="2"/>
    </row>
    <row r="210" spans="1:9" x14ac:dyDescent="0.25">
      <c r="A210" s="41"/>
      <c r="B210" s="41" t="s">
        <v>129</v>
      </c>
      <c r="C210" s="41"/>
      <c r="D210" s="42">
        <f>SUM(D212:D216)</f>
        <v>-112465985</v>
      </c>
      <c r="E210" s="42">
        <f>SUM(E211:E217)</f>
        <v>-99691262.219999984</v>
      </c>
      <c r="F210" s="42">
        <f>SUM(F211:F217)</f>
        <v>-98772592.24000001</v>
      </c>
      <c r="G210" s="42">
        <f>F210-E210</f>
        <v>918669.97999997437</v>
      </c>
      <c r="I210" s="2"/>
    </row>
    <row r="211" spans="1:9" x14ac:dyDescent="0.25">
      <c r="A211" s="41"/>
      <c r="B211" s="41"/>
      <c r="C211" s="3" t="s">
        <v>193</v>
      </c>
      <c r="D211" s="42">
        <v>0</v>
      </c>
      <c r="E211" s="5">
        <f>E227+E234</f>
        <v>-89720740.659999996</v>
      </c>
      <c r="F211" s="5"/>
      <c r="G211" s="5">
        <f t="shared" ref="G211" si="122">F211-E211</f>
        <v>89720740.659999996</v>
      </c>
      <c r="I211" s="2"/>
    </row>
    <row r="212" spans="1:9" x14ac:dyDescent="0.25">
      <c r="A212" s="3"/>
      <c r="B212" s="3"/>
      <c r="C212" s="3" t="s">
        <v>52</v>
      </c>
      <c r="D212" s="5">
        <f>D219+D228</f>
        <v>-3967051</v>
      </c>
      <c r="E212" s="5">
        <f t="shared" ref="E212" si="123">E219+E228</f>
        <v>-2687978.41</v>
      </c>
      <c r="F212" s="5">
        <f>F219+F228+F235</f>
        <v>-3895826.5799999996</v>
      </c>
      <c r="G212" s="5">
        <f t="shared" ref="G212:G217" si="124">F212-E212</f>
        <v>-1207848.1699999995</v>
      </c>
      <c r="I212" s="2"/>
    </row>
    <row r="213" spans="1:9" x14ac:dyDescent="0.25">
      <c r="A213" s="3"/>
      <c r="B213" s="3"/>
      <c r="C213" s="3" t="s">
        <v>53</v>
      </c>
      <c r="D213" s="5">
        <f>D220+D229</f>
        <v>-1191511</v>
      </c>
      <c r="E213" s="5">
        <f t="shared" ref="E213" si="125">E220+E229</f>
        <v>-971891.44</v>
      </c>
      <c r="F213" s="5">
        <f>F220+F229+F236</f>
        <v>-1234791.93</v>
      </c>
      <c r="G213" s="5">
        <f t="shared" si="124"/>
        <v>-262900.49</v>
      </c>
      <c r="I213" s="2"/>
    </row>
    <row r="214" spans="1:9" x14ac:dyDescent="0.25">
      <c r="A214" s="3"/>
      <c r="B214" s="3"/>
      <c r="C214" s="3" t="s">
        <v>122</v>
      </c>
      <c r="D214" s="5">
        <f>D230</f>
        <v>-65992131</v>
      </c>
      <c r="E214" s="5">
        <f t="shared" ref="E214:F214" si="126">E230</f>
        <v>0</v>
      </c>
      <c r="F214" s="5">
        <f t="shared" si="126"/>
        <v>-29498570.07</v>
      </c>
      <c r="G214" s="5">
        <f t="shared" si="124"/>
        <v>-29498570.07</v>
      </c>
      <c r="I214" s="2"/>
    </row>
    <row r="215" spans="1:9" x14ac:dyDescent="0.25">
      <c r="A215" s="3"/>
      <c r="B215" s="3"/>
      <c r="C215" s="3" t="s">
        <v>113</v>
      </c>
      <c r="D215" s="5">
        <f>D221+D231</f>
        <v>-39651819</v>
      </c>
      <c r="E215" s="5">
        <f t="shared" ref="E215:F215" si="127">E221+E231</f>
        <v>-4647178.71</v>
      </c>
      <c r="F215" s="5">
        <f t="shared" si="127"/>
        <v>-62146524.5</v>
      </c>
      <c r="G215" s="5">
        <f t="shared" si="124"/>
        <v>-57499345.789999999</v>
      </c>
      <c r="I215" s="2"/>
    </row>
    <row r="216" spans="1:9" x14ac:dyDescent="0.25">
      <c r="A216" s="3"/>
      <c r="B216" s="3"/>
      <c r="C216" s="3" t="s">
        <v>114</v>
      </c>
      <c r="D216" s="5">
        <f>D237</f>
        <v>-1663473</v>
      </c>
      <c r="E216" s="5">
        <f t="shared" ref="E216" si="128">E237</f>
        <v>-1663473</v>
      </c>
      <c r="F216" s="5">
        <f>F237+F222+F224+F232</f>
        <v>-1872955.5099999998</v>
      </c>
      <c r="G216" s="5">
        <f t="shared" si="124"/>
        <v>-209482.50999999978</v>
      </c>
      <c r="I216" s="2"/>
    </row>
    <row r="217" spans="1:9" x14ac:dyDescent="0.25">
      <c r="A217" s="3"/>
      <c r="B217" s="3"/>
      <c r="C217" s="3" t="s">
        <v>30</v>
      </c>
      <c r="D217" s="5">
        <v>0</v>
      </c>
      <c r="E217" s="5">
        <v>0</v>
      </c>
      <c r="F217" s="5">
        <v>-123923.65</v>
      </c>
      <c r="G217" s="5">
        <f t="shared" si="124"/>
        <v>-123923.65</v>
      </c>
      <c r="I217" s="2"/>
    </row>
    <row r="218" spans="1:9" x14ac:dyDescent="0.25">
      <c r="A218" s="41"/>
      <c r="B218" s="41"/>
      <c r="C218" s="41" t="s">
        <v>117</v>
      </c>
      <c r="D218" s="42">
        <f>SUM(D219:D221)</f>
        <v>-7115214</v>
      </c>
      <c r="E218" s="42">
        <f t="shared" ref="E218" si="129">SUM(E219:E221)</f>
        <v>-8307048.5600000005</v>
      </c>
      <c r="F218" s="42">
        <f>SUM(F219:F222)</f>
        <v>-7960103.0599999996</v>
      </c>
      <c r="G218" s="42">
        <f>F218-E218</f>
        <v>346945.50000000093</v>
      </c>
      <c r="I218" s="2"/>
    </row>
    <row r="219" spans="1:9" x14ac:dyDescent="0.25">
      <c r="A219" s="3"/>
      <c r="B219" s="3"/>
      <c r="C219" s="3" t="s">
        <v>52</v>
      </c>
      <c r="D219" s="5">
        <v>-2778088</v>
      </c>
      <c r="E219" s="5">
        <v>-2687978.41</v>
      </c>
      <c r="F219" s="5">
        <v>-2586096.09</v>
      </c>
      <c r="G219" s="5">
        <f t="shared" ref="G219:G222" si="130">F219-E219</f>
        <v>101882.3200000003</v>
      </c>
      <c r="I219" s="2"/>
    </row>
    <row r="220" spans="1:9" x14ac:dyDescent="0.25">
      <c r="A220" s="3"/>
      <c r="B220" s="3"/>
      <c r="C220" s="3" t="s">
        <v>53</v>
      </c>
      <c r="D220" s="5">
        <v>-983174</v>
      </c>
      <c r="E220" s="5">
        <f>-971589.2-302.24</f>
        <v>-971891.44</v>
      </c>
      <c r="F220" s="5">
        <v>-755720.75</v>
      </c>
      <c r="G220" s="5">
        <f t="shared" si="130"/>
        <v>216170.68999999994</v>
      </c>
      <c r="I220" s="2"/>
    </row>
    <row r="221" spans="1:9" x14ac:dyDescent="0.25">
      <c r="A221" s="3"/>
      <c r="B221" s="3"/>
      <c r="C221" s="3" t="s">
        <v>113</v>
      </c>
      <c r="D221" s="5">
        <v>-3353952</v>
      </c>
      <c r="E221" s="5">
        <v>-4647178.71</v>
      </c>
      <c r="F221" s="5">
        <v>-4612644.7699999996</v>
      </c>
      <c r="G221" s="5">
        <f t="shared" si="130"/>
        <v>34533.94000000041</v>
      </c>
      <c r="I221" s="2"/>
    </row>
    <row r="222" spans="1:9" x14ac:dyDescent="0.25">
      <c r="A222" s="3"/>
      <c r="B222" s="3"/>
      <c r="C222" s="3" t="s">
        <v>54</v>
      </c>
      <c r="D222" s="5">
        <v>0</v>
      </c>
      <c r="E222" s="5">
        <v>0</v>
      </c>
      <c r="F222" s="5">
        <v>-5641.45</v>
      </c>
      <c r="G222" s="5">
        <f t="shared" si="130"/>
        <v>-5641.45</v>
      </c>
      <c r="I222" s="2"/>
    </row>
    <row r="223" spans="1:9" x14ac:dyDescent="0.25">
      <c r="A223" s="3"/>
      <c r="B223" s="3"/>
      <c r="C223" s="41" t="s">
        <v>118</v>
      </c>
      <c r="D223" s="42">
        <f>SUM(D224:D225)</f>
        <v>0</v>
      </c>
      <c r="E223" s="42">
        <f t="shared" ref="E223:F223" si="131">SUM(E224:E225)</f>
        <v>0</v>
      </c>
      <c r="F223" s="42">
        <f t="shared" si="131"/>
        <v>-140746.79999999999</v>
      </c>
      <c r="G223" s="42">
        <f>F223-E223</f>
        <v>-140746.79999999999</v>
      </c>
      <c r="I223" s="2"/>
    </row>
    <row r="224" spans="1:9" x14ac:dyDescent="0.25">
      <c r="A224" s="3"/>
      <c r="B224" s="3"/>
      <c r="C224" s="3" t="s">
        <v>114</v>
      </c>
      <c r="D224" s="5">
        <v>0</v>
      </c>
      <c r="E224" s="5">
        <v>0</v>
      </c>
      <c r="F224" s="5">
        <v>-16823.150000000001</v>
      </c>
      <c r="G224" s="5">
        <f t="shared" ref="G224:G225" si="132">F224-E224</f>
        <v>-16823.150000000001</v>
      </c>
      <c r="I224" s="2"/>
    </row>
    <row r="225" spans="1:9" x14ac:dyDescent="0.25">
      <c r="A225" s="3"/>
      <c r="B225" s="3"/>
      <c r="C225" s="3" t="s">
        <v>30</v>
      </c>
      <c r="D225" s="5">
        <v>0</v>
      </c>
      <c r="E225" s="5">
        <v>0</v>
      </c>
      <c r="F225" s="5">
        <v>-123923.65</v>
      </c>
      <c r="G225" s="5">
        <f t="shared" si="132"/>
        <v>-123923.65</v>
      </c>
      <c r="I225" s="2"/>
    </row>
    <row r="226" spans="1:9" x14ac:dyDescent="0.25">
      <c r="A226" s="41"/>
      <c r="B226" s="41"/>
      <c r="C226" s="41" t="s">
        <v>119</v>
      </c>
      <c r="D226" s="42">
        <f>SUM(D228:D231)</f>
        <v>-103687298</v>
      </c>
      <c r="E226" s="42">
        <f>E227</f>
        <v>-89717760.920000002</v>
      </c>
      <c r="F226" s="42">
        <f>SUM(F228:F232)</f>
        <v>-89599623.159999996</v>
      </c>
      <c r="G226" s="42">
        <f>F226-E226</f>
        <v>118137.76000000536</v>
      </c>
      <c r="I226" s="2"/>
    </row>
    <row r="227" spans="1:9" x14ac:dyDescent="0.25">
      <c r="A227" s="41"/>
      <c r="B227" s="41"/>
      <c r="C227" s="3" t="s">
        <v>193</v>
      </c>
      <c r="D227" s="42">
        <v>0</v>
      </c>
      <c r="E227" s="5">
        <v>-89717760.920000002</v>
      </c>
      <c r="F227" s="5"/>
      <c r="G227" s="5">
        <f t="shared" ref="G227" si="133">F227-E227</f>
        <v>89717760.920000002</v>
      </c>
      <c r="I227" s="2"/>
    </row>
    <row r="228" spans="1:9" x14ac:dyDescent="0.25">
      <c r="A228" s="3"/>
      <c r="B228" s="3"/>
      <c r="C228" s="3" t="s">
        <v>52</v>
      </c>
      <c r="D228" s="5">
        <v>-1188963</v>
      </c>
      <c r="E228" s="5">
        <v>0</v>
      </c>
      <c r="F228" s="5">
        <v>-1308558.71</v>
      </c>
      <c r="G228" s="5">
        <f t="shared" ref="G228:G232" si="134">F228-E228</f>
        <v>-1308558.71</v>
      </c>
      <c r="I228" s="2"/>
    </row>
    <row r="229" spans="1:9" x14ac:dyDescent="0.25">
      <c r="A229" s="41"/>
      <c r="B229" s="41"/>
      <c r="C229" s="3" t="s">
        <v>53</v>
      </c>
      <c r="D229" s="5">
        <v>-208337</v>
      </c>
      <c r="E229" s="5">
        <v>0</v>
      </c>
      <c r="F229" s="5">
        <v>-477263.22</v>
      </c>
      <c r="G229" s="5">
        <f t="shared" si="134"/>
        <v>-477263.22</v>
      </c>
      <c r="I229" s="2"/>
    </row>
    <row r="230" spans="1:9" x14ac:dyDescent="0.25">
      <c r="A230" s="41"/>
      <c r="B230" s="41"/>
      <c r="C230" s="3" t="s">
        <v>122</v>
      </c>
      <c r="D230" s="5">
        <v>-65992131</v>
      </c>
      <c r="E230" s="5">
        <v>0</v>
      </c>
      <c r="F230" s="5">
        <v>-29498570.07</v>
      </c>
      <c r="G230" s="5">
        <f t="shared" si="134"/>
        <v>-29498570.07</v>
      </c>
      <c r="H230" s="25" t="s">
        <v>136</v>
      </c>
      <c r="I230" s="2"/>
    </row>
    <row r="231" spans="1:9" x14ac:dyDescent="0.25">
      <c r="A231" s="41"/>
      <c r="B231" s="41"/>
      <c r="C231" s="3" t="s">
        <v>113</v>
      </c>
      <c r="D231" s="5">
        <f>-85816732-16473266+65992131</f>
        <v>-36297867</v>
      </c>
      <c r="E231" s="5">
        <v>0</v>
      </c>
      <c r="F231" s="5">
        <v>-57533879.729999997</v>
      </c>
      <c r="G231" s="5">
        <f t="shared" si="134"/>
        <v>-57533879.729999997</v>
      </c>
      <c r="I231" s="2"/>
    </row>
    <row r="232" spans="1:9" x14ac:dyDescent="0.25">
      <c r="A232" s="41"/>
      <c r="B232" s="41"/>
      <c r="C232" s="3" t="s">
        <v>54</v>
      </c>
      <c r="D232" s="5">
        <v>0</v>
      </c>
      <c r="E232" s="5">
        <v>0</v>
      </c>
      <c r="F232" s="5">
        <v>-781351.43</v>
      </c>
      <c r="G232" s="5">
        <f t="shared" si="134"/>
        <v>-781351.43</v>
      </c>
      <c r="I232" s="2"/>
    </row>
    <row r="233" spans="1:9" x14ac:dyDescent="0.25">
      <c r="A233" s="41"/>
      <c r="B233" s="41"/>
      <c r="C233" s="41" t="s">
        <v>120</v>
      </c>
      <c r="D233" s="42">
        <f>SUM(D234:D235)</f>
        <v>0</v>
      </c>
      <c r="E233" s="42">
        <f>SUM(E234:E236)</f>
        <v>-2979.74</v>
      </c>
      <c r="F233" s="42">
        <f>SUM(F234:F236)</f>
        <v>-2979.74</v>
      </c>
      <c r="G233" s="42">
        <f>F233-E233</f>
        <v>0</v>
      </c>
      <c r="I233" s="2"/>
    </row>
    <row r="234" spans="1:9" x14ac:dyDescent="0.25">
      <c r="A234" s="41"/>
      <c r="B234" s="41"/>
      <c r="C234" s="3" t="s">
        <v>193</v>
      </c>
      <c r="D234" s="5">
        <v>0</v>
      </c>
      <c r="E234" s="5">
        <v>-2979.74</v>
      </c>
      <c r="F234" s="5">
        <v>0</v>
      </c>
      <c r="G234" s="5">
        <f t="shared" ref="G234:G236" si="135">F234-E234</f>
        <v>2979.74</v>
      </c>
      <c r="I234" s="2"/>
    </row>
    <row r="235" spans="1:9" x14ac:dyDescent="0.25">
      <c r="A235" s="41"/>
      <c r="B235" s="41"/>
      <c r="C235" s="3" t="s">
        <v>52</v>
      </c>
      <c r="D235" s="5">
        <v>0</v>
      </c>
      <c r="E235" s="5">
        <v>0</v>
      </c>
      <c r="F235" s="5">
        <v>-1171.78</v>
      </c>
      <c r="G235" s="5">
        <f t="shared" si="135"/>
        <v>-1171.78</v>
      </c>
      <c r="I235" s="2"/>
    </row>
    <row r="236" spans="1:9" x14ac:dyDescent="0.25">
      <c r="A236" s="41"/>
      <c r="B236" s="41"/>
      <c r="C236" s="3" t="s">
        <v>53</v>
      </c>
      <c r="D236" s="5">
        <v>0</v>
      </c>
      <c r="E236" s="5">
        <v>0</v>
      </c>
      <c r="F236" s="5">
        <v>-1807.96</v>
      </c>
      <c r="G236" s="5">
        <f t="shared" si="135"/>
        <v>-1807.96</v>
      </c>
      <c r="I236" s="2"/>
    </row>
    <row r="237" spans="1:9" s="39" customFormat="1" x14ac:dyDescent="0.25">
      <c r="A237" s="41"/>
      <c r="B237" s="41"/>
      <c r="C237" s="41" t="s">
        <v>121</v>
      </c>
      <c r="D237" s="42">
        <v>-1663473</v>
      </c>
      <c r="E237" s="42">
        <f>D237</f>
        <v>-1663473</v>
      </c>
      <c r="F237" s="5">
        <v>-1069139.48</v>
      </c>
      <c r="G237" s="42">
        <f>F237-E237</f>
        <v>594333.52</v>
      </c>
      <c r="H237" s="25"/>
      <c r="I237" s="2"/>
    </row>
    <row r="238" spans="1:9" x14ac:dyDescent="0.25">
      <c r="A238" s="41"/>
      <c r="B238" s="41" t="s">
        <v>130</v>
      </c>
      <c r="C238" s="41"/>
      <c r="D238" s="42">
        <f>SUM(D240:D243)</f>
        <v>-857606</v>
      </c>
      <c r="E238" s="42">
        <f>SUM(E239:E243)</f>
        <v>-6560755.96</v>
      </c>
      <c r="F238" s="42">
        <f>SUM(F240:F243)</f>
        <v>-4161994.0200000005</v>
      </c>
      <c r="G238" s="42">
        <f>F238-E238</f>
        <v>2398761.9399999995</v>
      </c>
      <c r="I238" s="2"/>
    </row>
    <row r="239" spans="1:9" x14ac:dyDescent="0.25">
      <c r="A239" s="41"/>
      <c r="B239" s="41"/>
      <c r="C239" s="3" t="s">
        <v>193</v>
      </c>
      <c r="D239" s="42">
        <v>0</v>
      </c>
      <c r="E239" s="5">
        <f>-4589215.82+E256</f>
        <v>-6013696.4400000004</v>
      </c>
      <c r="F239" s="5">
        <v>0</v>
      </c>
      <c r="G239" s="5">
        <f t="shared" ref="G239" si="136">F239-E239</f>
        <v>6013696.4400000004</v>
      </c>
      <c r="I239" s="2"/>
    </row>
    <row r="240" spans="1:9" x14ac:dyDescent="0.25">
      <c r="A240" s="3"/>
      <c r="B240" s="3"/>
      <c r="C240" s="3" t="s">
        <v>52</v>
      </c>
      <c r="D240" s="5">
        <f>D245+D251+D257</f>
        <v>-493720</v>
      </c>
      <c r="E240" s="5">
        <f t="shared" ref="E240:F240" si="137">E245+E251+E257</f>
        <v>-316333.18</v>
      </c>
      <c r="F240" s="5">
        <f t="shared" si="137"/>
        <v>-2198743.2800000003</v>
      </c>
      <c r="G240" s="5">
        <f t="shared" ref="G240:G243" si="138">F240-E240</f>
        <v>-1882410.1000000003</v>
      </c>
      <c r="I240" s="2"/>
    </row>
    <row r="241" spans="1:9" x14ac:dyDescent="0.25">
      <c r="A241" s="3"/>
      <c r="B241" s="3"/>
      <c r="C241" s="3" t="s">
        <v>53</v>
      </c>
      <c r="D241" s="5">
        <f>D246+D252+D258</f>
        <v>-361122</v>
      </c>
      <c r="E241" s="5">
        <f t="shared" ref="E241:F241" si="139">E246+E252+E258</f>
        <v>-227962.34</v>
      </c>
      <c r="F241" s="5">
        <f t="shared" si="139"/>
        <v>-1774785.2</v>
      </c>
      <c r="G241" s="5">
        <f t="shared" si="138"/>
        <v>-1546822.8599999999</v>
      </c>
      <c r="I241" s="2"/>
    </row>
    <row r="242" spans="1:9" x14ac:dyDescent="0.25">
      <c r="A242" s="3"/>
      <c r="B242" s="3"/>
      <c r="C242" s="3" t="s">
        <v>113</v>
      </c>
      <c r="D242" s="5">
        <v>0</v>
      </c>
      <c r="E242" s="5">
        <f t="shared" ref="E242" si="140">E248+E258</f>
        <v>0</v>
      </c>
      <c r="F242" s="5">
        <f>F253+F259</f>
        <v>-184304.4</v>
      </c>
      <c r="G242" s="5">
        <f t="shared" si="138"/>
        <v>-184304.4</v>
      </c>
      <c r="I242" s="2"/>
    </row>
    <row r="243" spans="1:9" x14ac:dyDescent="0.25">
      <c r="A243" s="3"/>
      <c r="B243" s="3"/>
      <c r="C243" s="3" t="s">
        <v>114</v>
      </c>
      <c r="D243" s="5">
        <f>D261</f>
        <v>-2764</v>
      </c>
      <c r="E243" s="5">
        <f t="shared" ref="E243" si="141">E261</f>
        <v>-2764</v>
      </c>
      <c r="F243" s="5">
        <f>F261+F248+F254+F260</f>
        <v>-4161.1400000000003</v>
      </c>
      <c r="G243" s="5">
        <f t="shared" si="138"/>
        <v>-1397.1400000000003</v>
      </c>
      <c r="I243" s="2"/>
    </row>
    <row r="244" spans="1:9" x14ac:dyDescent="0.25">
      <c r="A244" s="41"/>
      <c r="B244" s="41"/>
      <c r="C244" s="41" t="s">
        <v>117</v>
      </c>
      <c r="D244" s="42">
        <f>SUM(D245:D246)</f>
        <v>-434693</v>
      </c>
      <c r="E244" s="42">
        <f>SUM(E245:E246)</f>
        <v>-544295.52</v>
      </c>
      <c r="F244" s="42">
        <f>SUM(F245:F246)</f>
        <v>-501736.47000000003</v>
      </c>
      <c r="G244" s="42">
        <f>F244-E244</f>
        <v>42559.049999999988</v>
      </c>
      <c r="I244" s="2"/>
    </row>
    <row r="245" spans="1:9" x14ac:dyDescent="0.25">
      <c r="A245" s="3"/>
      <c r="B245" s="3"/>
      <c r="C245" s="3" t="s">
        <v>52</v>
      </c>
      <c r="D245" s="5">
        <v>-233169</v>
      </c>
      <c r="E245" s="5">
        <v>-316333.18</v>
      </c>
      <c r="F245" s="5">
        <v>-316303.34000000003</v>
      </c>
      <c r="G245" s="5">
        <f t="shared" ref="G245:G248" si="142">F245-E245</f>
        <v>29.839999999967404</v>
      </c>
      <c r="I245" s="2"/>
    </row>
    <row r="246" spans="1:9" x14ac:dyDescent="0.25">
      <c r="A246" s="3"/>
      <c r="B246" s="3"/>
      <c r="C246" s="3" t="s">
        <v>53</v>
      </c>
      <c r="D246" s="5">
        <v>-201524</v>
      </c>
      <c r="E246" s="5">
        <f>-223705.53-4256.81</f>
        <v>-227962.34</v>
      </c>
      <c r="F246" s="5">
        <v>-185433.13</v>
      </c>
      <c r="G246" s="5">
        <f t="shared" si="142"/>
        <v>42529.209999999992</v>
      </c>
      <c r="I246" s="2"/>
    </row>
    <row r="247" spans="1:9" x14ac:dyDescent="0.25">
      <c r="A247" s="3"/>
      <c r="B247" s="3"/>
      <c r="C247" s="41" t="s">
        <v>118</v>
      </c>
      <c r="D247" s="42">
        <f>D248</f>
        <v>0</v>
      </c>
      <c r="E247" s="42">
        <f t="shared" ref="E247:F247" si="143">E248</f>
        <v>0</v>
      </c>
      <c r="F247" s="42">
        <f t="shared" si="143"/>
        <v>-10.130000000000001</v>
      </c>
      <c r="G247" s="42">
        <f t="shared" si="142"/>
        <v>-10.130000000000001</v>
      </c>
      <c r="I247" s="2"/>
    </row>
    <row r="248" spans="1:9" x14ac:dyDescent="0.25">
      <c r="A248" s="3"/>
      <c r="B248" s="3"/>
      <c r="C248" s="3" t="s">
        <v>54</v>
      </c>
      <c r="D248" s="5">
        <v>0</v>
      </c>
      <c r="E248" s="5">
        <v>0</v>
      </c>
      <c r="F248" s="5">
        <v>-10.130000000000001</v>
      </c>
      <c r="G248" s="5">
        <f t="shared" si="142"/>
        <v>-10.130000000000001</v>
      </c>
      <c r="I248" s="2"/>
    </row>
    <row r="249" spans="1:9" x14ac:dyDescent="0.25">
      <c r="A249" s="41"/>
      <c r="B249" s="41"/>
      <c r="C249" s="41" t="s">
        <v>119</v>
      </c>
      <c r="D249" s="42">
        <f>SUM(D251:D252)</f>
        <v>-192158</v>
      </c>
      <c r="E249" s="42">
        <f>E250</f>
        <v>-4589215.82</v>
      </c>
      <c r="F249" s="42">
        <f>SUM(F251:F254)</f>
        <v>-2646803.4499999997</v>
      </c>
      <c r="G249" s="42">
        <f>F249-E249</f>
        <v>1942412.3700000006</v>
      </c>
      <c r="I249" s="2"/>
    </row>
    <row r="250" spans="1:9" x14ac:dyDescent="0.25">
      <c r="A250" s="41"/>
      <c r="B250" s="41"/>
      <c r="C250" s="3" t="s">
        <v>193</v>
      </c>
      <c r="D250" s="42">
        <v>0</v>
      </c>
      <c r="E250" s="5">
        <v>-4589215.82</v>
      </c>
      <c r="F250" s="5"/>
      <c r="G250" s="5">
        <f t="shared" ref="G250" si="144">F250-E250</f>
        <v>4589215.82</v>
      </c>
      <c r="I250" s="2"/>
    </row>
    <row r="251" spans="1:9" x14ac:dyDescent="0.25">
      <c r="A251" s="3"/>
      <c r="B251" s="3"/>
      <c r="C251" s="3" t="s">
        <v>52</v>
      </c>
      <c r="D251" s="5">
        <v>-75628</v>
      </c>
      <c r="E251" s="5">
        <v>0</v>
      </c>
      <c r="F251" s="5">
        <v>-1128448.03</v>
      </c>
      <c r="G251" s="5">
        <f t="shared" ref="G251:G254" si="145">F251-E251</f>
        <v>-1128448.03</v>
      </c>
      <c r="I251" s="2"/>
    </row>
    <row r="252" spans="1:9" x14ac:dyDescent="0.25">
      <c r="A252" s="41"/>
      <c r="B252" s="41"/>
      <c r="C252" s="3" t="s">
        <v>53</v>
      </c>
      <c r="D252" s="5">
        <v>-116530</v>
      </c>
      <c r="E252" s="5">
        <v>0</v>
      </c>
      <c r="F252" s="5">
        <v>-1333051.02</v>
      </c>
      <c r="G252" s="5">
        <f t="shared" si="145"/>
        <v>-1333051.02</v>
      </c>
      <c r="I252" s="2"/>
    </row>
    <row r="253" spans="1:9" x14ac:dyDescent="0.25">
      <c r="A253" s="41"/>
      <c r="B253" s="41"/>
      <c r="C253" s="3" t="s">
        <v>113</v>
      </c>
      <c r="D253" s="5">
        <v>0</v>
      </c>
      <c r="E253" s="5">
        <v>0</v>
      </c>
      <c r="F253" s="5">
        <v>-184004.4</v>
      </c>
      <c r="G253" s="5">
        <f t="shared" si="145"/>
        <v>-184004.4</v>
      </c>
      <c r="I253" s="2"/>
    </row>
    <row r="254" spans="1:9" x14ac:dyDescent="0.25">
      <c r="A254" s="41"/>
      <c r="B254" s="41"/>
      <c r="C254" s="3" t="s">
        <v>54</v>
      </c>
      <c r="D254" s="5">
        <v>0</v>
      </c>
      <c r="E254" s="5">
        <v>0</v>
      </c>
      <c r="F254" s="5">
        <v>-1300</v>
      </c>
      <c r="G254" s="5">
        <f t="shared" si="145"/>
        <v>-1300</v>
      </c>
      <c r="I254" s="2"/>
    </row>
    <row r="255" spans="1:9" x14ac:dyDescent="0.25">
      <c r="A255" s="41"/>
      <c r="B255" s="41"/>
      <c r="C255" s="41" t="s">
        <v>120</v>
      </c>
      <c r="D255" s="42">
        <f>SUM(D257:D258)</f>
        <v>-227991</v>
      </c>
      <c r="E255" s="42">
        <f>E256</f>
        <v>-1424480.62</v>
      </c>
      <c r="F255" s="42">
        <f>SUM(F257:F260)</f>
        <v>-1012167.07</v>
      </c>
      <c r="G255" s="42">
        <f>F255-E255</f>
        <v>412313.55000000016</v>
      </c>
      <c r="I255" s="2"/>
    </row>
    <row r="256" spans="1:9" x14ac:dyDescent="0.25">
      <c r="A256" s="41"/>
      <c r="B256" s="41"/>
      <c r="C256" s="3" t="s">
        <v>193</v>
      </c>
      <c r="D256" s="42">
        <v>0</v>
      </c>
      <c r="E256" s="5">
        <v>-1424480.62</v>
      </c>
      <c r="F256" s="5"/>
      <c r="G256" s="5">
        <f t="shared" ref="G256" si="146">F256-E256</f>
        <v>1424480.62</v>
      </c>
      <c r="I256" s="2"/>
    </row>
    <row r="257" spans="1:9" x14ac:dyDescent="0.25">
      <c r="A257" s="3"/>
      <c r="B257" s="3"/>
      <c r="C257" s="3" t="s">
        <v>52</v>
      </c>
      <c r="D257" s="5">
        <v>-184923</v>
      </c>
      <c r="E257" s="5">
        <v>0</v>
      </c>
      <c r="F257" s="5">
        <v>-753991.91</v>
      </c>
      <c r="G257" s="5">
        <f t="shared" ref="G257:G260" si="147">F257-E257</f>
        <v>-753991.91</v>
      </c>
      <c r="I257" s="2"/>
    </row>
    <row r="258" spans="1:9" x14ac:dyDescent="0.25">
      <c r="A258" s="41"/>
      <c r="B258" s="41"/>
      <c r="C258" s="3" t="s">
        <v>53</v>
      </c>
      <c r="D258" s="5">
        <v>-43068</v>
      </c>
      <c r="E258" s="5">
        <v>0</v>
      </c>
      <c r="F258" s="5">
        <v>-256301.05</v>
      </c>
      <c r="G258" s="5">
        <f t="shared" si="147"/>
        <v>-256301.05</v>
      </c>
      <c r="I258" s="2"/>
    </row>
    <row r="259" spans="1:9" x14ac:dyDescent="0.25">
      <c r="A259" s="41"/>
      <c r="B259" s="41"/>
      <c r="C259" s="3" t="s">
        <v>113</v>
      </c>
      <c r="D259" s="5">
        <v>0</v>
      </c>
      <c r="E259" s="5">
        <v>0</v>
      </c>
      <c r="F259" s="5">
        <v>-300</v>
      </c>
      <c r="G259" s="5">
        <f t="shared" si="147"/>
        <v>-300</v>
      </c>
      <c r="I259" s="2"/>
    </row>
    <row r="260" spans="1:9" x14ac:dyDescent="0.25">
      <c r="A260" s="41"/>
      <c r="B260" s="41"/>
      <c r="C260" s="3" t="s">
        <v>54</v>
      </c>
      <c r="D260" s="5">
        <v>0</v>
      </c>
      <c r="E260" s="5">
        <v>0</v>
      </c>
      <c r="F260" s="5">
        <v>-1574.11</v>
      </c>
      <c r="G260" s="5">
        <f t="shared" si="147"/>
        <v>-1574.11</v>
      </c>
      <c r="I260" s="2"/>
    </row>
    <row r="261" spans="1:9" s="39" customFormat="1" x14ac:dyDescent="0.25">
      <c r="A261" s="41"/>
      <c r="B261" s="41"/>
      <c r="C261" s="41" t="s">
        <v>121</v>
      </c>
      <c r="D261" s="42">
        <v>-2764</v>
      </c>
      <c r="E261" s="42">
        <f>D261</f>
        <v>-2764</v>
      </c>
      <c r="F261" s="42">
        <v>-1276.9000000000001</v>
      </c>
      <c r="G261" s="42">
        <f>F261-E261</f>
        <v>1487.1</v>
      </c>
      <c r="H261" s="25"/>
      <c r="I261" s="2"/>
    </row>
    <row r="262" spans="1:9" s="39" customFormat="1" x14ac:dyDescent="0.25">
      <c r="A262" s="41"/>
      <c r="B262" s="39" t="s">
        <v>195</v>
      </c>
      <c r="C262" s="41"/>
      <c r="D262" s="42">
        <f>SUM(D263:D266)</f>
        <v>0</v>
      </c>
      <c r="E262" s="42">
        <f t="shared" ref="E262:F262" si="148">SUM(E263:E266)</f>
        <v>-226856.71000000002</v>
      </c>
      <c r="F262" s="42">
        <f t="shared" si="148"/>
        <v>-283977.02</v>
      </c>
      <c r="G262" s="42">
        <f>F262-E262</f>
        <v>-57120.31</v>
      </c>
      <c r="H262" s="25"/>
      <c r="I262" s="2"/>
    </row>
    <row r="263" spans="1:9" s="39" customFormat="1" x14ac:dyDescent="0.25">
      <c r="A263" s="41"/>
      <c r="B263" s="41"/>
      <c r="C263" s="3" t="s">
        <v>193</v>
      </c>
      <c r="D263" s="42">
        <v>0</v>
      </c>
      <c r="E263" s="5">
        <f>E273</f>
        <v>-8343.4500000000007</v>
      </c>
      <c r="F263" s="5">
        <v>0</v>
      </c>
      <c r="G263" s="5">
        <f t="shared" ref="G263:G266" si="149">F263-E263</f>
        <v>8343.4500000000007</v>
      </c>
      <c r="H263" s="25"/>
      <c r="I263" s="2"/>
    </row>
    <row r="264" spans="1:9" s="39" customFormat="1" x14ac:dyDescent="0.25">
      <c r="A264" s="41"/>
      <c r="B264" s="3"/>
      <c r="C264" s="3" t="s">
        <v>52</v>
      </c>
      <c r="D264" s="5">
        <f>D268+D274</f>
        <v>0</v>
      </c>
      <c r="E264" s="5">
        <f t="shared" ref="E264:F264" si="150">E268+E274</f>
        <v>-168230.51</v>
      </c>
      <c r="F264" s="5">
        <f t="shared" si="150"/>
        <v>-154924</v>
      </c>
      <c r="G264" s="5">
        <f t="shared" si="149"/>
        <v>13306.510000000009</v>
      </c>
      <c r="H264" s="25"/>
      <c r="I264" s="2"/>
    </row>
    <row r="265" spans="1:9" s="39" customFormat="1" x14ac:dyDescent="0.25">
      <c r="A265" s="41"/>
      <c r="B265" s="3"/>
      <c r="C265" s="3" t="s">
        <v>53</v>
      </c>
      <c r="D265" s="5">
        <f>D269+D275</f>
        <v>0</v>
      </c>
      <c r="E265" s="5">
        <f t="shared" ref="E265:F265" si="151">E269+E275</f>
        <v>-50282.75</v>
      </c>
      <c r="F265" s="5">
        <f t="shared" si="151"/>
        <v>-19371.98</v>
      </c>
      <c r="G265" s="5">
        <f t="shared" si="149"/>
        <v>30910.77</v>
      </c>
      <c r="H265" s="25"/>
      <c r="I265" s="2"/>
    </row>
    <row r="266" spans="1:9" s="39" customFormat="1" x14ac:dyDescent="0.25">
      <c r="A266" s="41"/>
      <c r="B266" s="3"/>
      <c r="C266" s="3" t="s">
        <v>114</v>
      </c>
      <c r="D266" s="5">
        <f>D276+D271</f>
        <v>0</v>
      </c>
      <c r="E266" s="5">
        <f t="shared" ref="E266:F266" si="152">E276+E271</f>
        <v>0</v>
      </c>
      <c r="F266" s="5">
        <f t="shared" si="152"/>
        <v>-109681.04000000001</v>
      </c>
      <c r="G266" s="5">
        <f t="shared" si="149"/>
        <v>-109681.04000000001</v>
      </c>
      <c r="H266" s="25"/>
      <c r="I266" s="2"/>
    </row>
    <row r="267" spans="1:9" s="39" customFormat="1" x14ac:dyDescent="0.25">
      <c r="A267" s="41"/>
      <c r="B267" s="41"/>
      <c r="C267" s="41" t="s">
        <v>117</v>
      </c>
      <c r="D267" s="42">
        <f>SUM(D268:D269)</f>
        <v>0</v>
      </c>
      <c r="E267" s="42">
        <f>SUM(E268:E269)</f>
        <v>-218513.26</v>
      </c>
      <c r="F267" s="42">
        <f>SUM(F268:F269)</f>
        <v>-168709.6</v>
      </c>
      <c r="G267" s="42">
        <f>F267-E267</f>
        <v>49803.66</v>
      </c>
      <c r="H267" s="25"/>
      <c r="I267" s="2"/>
    </row>
    <row r="268" spans="1:9" s="39" customFormat="1" x14ac:dyDescent="0.25">
      <c r="A268" s="41"/>
      <c r="B268" s="3"/>
      <c r="C268" s="3" t="s">
        <v>52</v>
      </c>
      <c r="D268" s="5">
        <v>0</v>
      </c>
      <c r="E268" s="5">
        <v>-168230.51</v>
      </c>
      <c r="F268" s="5">
        <v>-149648.06</v>
      </c>
      <c r="G268" s="5">
        <f t="shared" ref="G268:G271" si="153">F268-E268</f>
        <v>18582.450000000012</v>
      </c>
      <c r="H268" s="25"/>
      <c r="I268" s="2"/>
    </row>
    <row r="269" spans="1:9" s="39" customFormat="1" x14ac:dyDescent="0.25">
      <c r="A269" s="41"/>
      <c r="B269" s="3"/>
      <c r="C269" s="3" t="s">
        <v>53</v>
      </c>
      <c r="D269" s="5">
        <v>0</v>
      </c>
      <c r="E269" s="5">
        <v>-50282.75</v>
      </c>
      <c r="F269" s="5">
        <v>-19061.54</v>
      </c>
      <c r="G269" s="5">
        <f t="shared" si="153"/>
        <v>31221.21</v>
      </c>
      <c r="H269" s="25"/>
      <c r="I269" s="2"/>
    </row>
    <row r="270" spans="1:9" s="39" customFormat="1" x14ac:dyDescent="0.25">
      <c r="A270" s="41"/>
      <c r="B270" s="41"/>
      <c r="C270" s="41" t="s">
        <v>118</v>
      </c>
      <c r="D270" s="42">
        <f>D271</f>
        <v>0</v>
      </c>
      <c r="E270" s="42">
        <f t="shared" ref="E270:F270" si="154">E271</f>
        <v>0</v>
      </c>
      <c r="F270" s="42">
        <f t="shared" si="154"/>
        <v>0.03</v>
      </c>
      <c r="G270" s="42">
        <f t="shared" si="153"/>
        <v>0.03</v>
      </c>
      <c r="H270" s="25"/>
      <c r="I270" s="2"/>
    </row>
    <row r="271" spans="1:9" s="39" customFormat="1" x14ac:dyDescent="0.25">
      <c r="A271" s="41"/>
      <c r="B271" s="3"/>
      <c r="C271" s="3" t="s">
        <v>54</v>
      </c>
      <c r="D271" s="5">
        <v>0</v>
      </c>
      <c r="E271" s="5">
        <v>0</v>
      </c>
      <c r="F271" s="5">
        <v>0.03</v>
      </c>
      <c r="G271" s="5">
        <f t="shared" si="153"/>
        <v>0.03</v>
      </c>
      <c r="H271" s="25"/>
      <c r="I271" s="2"/>
    </row>
    <row r="272" spans="1:9" s="39" customFormat="1" x14ac:dyDescent="0.25">
      <c r="A272" s="41"/>
      <c r="B272" s="41"/>
      <c r="C272" s="41" t="s">
        <v>119</v>
      </c>
      <c r="D272" s="42">
        <f>SUM(D273:D275)</f>
        <v>0</v>
      </c>
      <c r="E272" s="42">
        <f t="shared" ref="E272:F272" si="155">SUM(E273:E275)</f>
        <v>-8343.4500000000007</v>
      </c>
      <c r="F272" s="42">
        <f t="shared" si="155"/>
        <v>-5586.3799999999992</v>
      </c>
      <c r="G272" s="42">
        <f>F272-E272</f>
        <v>2757.0700000000015</v>
      </c>
      <c r="H272" s="25"/>
      <c r="I272" s="2"/>
    </row>
    <row r="273" spans="1:9" s="39" customFormat="1" x14ac:dyDescent="0.25">
      <c r="A273" s="41"/>
      <c r="B273" s="41"/>
      <c r="C273" s="3" t="s">
        <v>193</v>
      </c>
      <c r="D273" s="42">
        <v>0</v>
      </c>
      <c r="E273" s="5">
        <v>-8343.4500000000007</v>
      </c>
      <c r="F273" s="5">
        <v>0</v>
      </c>
      <c r="G273" s="5">
        <f t="shared" ref="G273:G275" si="156">F273-E273</f>
        <v>8343.4500000000007</v>
      </c>
      <c r="H273" s="25"/>
      <c r="I273" s="2"/>
    </row>
    <row r="274" spans="1:9" s="39" customFormat="1" x14ac:dyDescent="0.25">
      <c r="A274" s="41"/>
      <c r="B274" s="3"/>
      <c r="C274" s="3" t="s">
        <v>52</v>
      </c>
      <c r="D274" s="5">
        <v>0</v>
      </c>
      <c r="E274" s="5">
        <v>0</v>
      </c>
      <c r="F274" s="5">
        <v>-5275.94</v>
      </c>
      <c r="G274" s="5">
        <f t="shared" si="156"/>
        <v>-5275.94</v>
      </c>
      <c r="H274" s="25"/>
      <c r="I274" s="2"/>
    </row>
    <row r="275" spans="1:9" s="39" customFormat="1" x14ac:dyDescent="0.25">
      <c r="A275" s="41"/>
      <c r="B275" s="41"/>
      <c r="C275" s="3" t="s">
        <v>53</v>
      </c>
      <c r="D275" s="5">
        <v>0</v>
      </c>
      <c r="E275" s="5">
        <v>0</v>
      </c>
      <c r="F275" s="5">
        <v>-310.44</v>
      </c>
      <c r="G275" s="5">
        <f t="shared" si="156"/>
        <v>-310.44</v>
      </c>
      <c r="H275" s="25"/>
      <c r="I275" s="2"/>
    </row>
    <row r="276" spans="1:9" s="39" customFormat="1" ht="15.75" x14ac:dyDescent="0.25">
      <c r="A276" s="81"/>
      <c r="B276" s="41"/>
      <c r="C276" s="41" t="s">
        <v>121</v>
      </c>
      <c r="D276" s="42">
        <v>0</v>
      </c>
      <c r="E276" s="42">
        <f>D276</f>
        <v>0</v>
      </c>
      <c r="F276" s="42">
        <v>-109681.07</v>
      </c>
      <c r="G276" s="42">
        <f>F276-E276</f>
        <v>-109681.07</v>
      </c>
      <c r="H276" s="25"/>
      <c r="I276" s="2"/>
    </row>
    <row r="277" spans="1:9" s="39" customFormat="1" ht="15.75" x14ac:dyDescent="0.25">
      <c r="A277" s="81" t="s">
        <v>140</v>
      </c>
      <c r="B277" s="41"/>
      <c r="C277" s="41"/>
      <c r="D277" s="42">
        <f>SUM(D278:D282)</f>
        <v>-11703112</v>
      </c>
      <c r="E277" s="42">
        <f t="shared" ref="E277:F277" si="157">SUM(E278:E282)</f>
        <v>-9537197.9200000018</v>
      </c>
      <c r="F277" s="42">
        <f t="shared" si="157"/>
        <v>-9456376.3300000001</v>
      </c>
      <c r="G277" s="42">
        <f>F277-E277</f>
        <v>80821.590000001714</v>
      </c>
      <c r="H277" s="25"/>
      <c r="I277" s="2"/>
    </row>
    <row r="278" spans="1:9" x14ac:dyDescent="0.25">
      <c r="A278" s="3"/>
      <c r="B278" s="3" t="s">
        <v>117</v>
      </c>
      <c r="C278" s="3"/>
      <c r="D278" s="5">
        <f>D288+D307+D332</f>
        <v>-547440</v>
      </c>
      <c r="E278" s="5">
        <f>E288+E307+E332</f>
        <v>-636794.97999999986</v>
      </c>
      <c r="F278" s="5">
        <f>F288+F307+F332</f>
        <v>-577628.81999999995</v>
      </c>
      <c r="G278" s="5">
        <f t="shared" ref="G278:G282" si="158">F278-E278</f>
        <v>59166.159999999916</v>
      </c>
      <c r="I278" s="2"/>
    </row>
    <row r="279" spans="1:9" x14ac:dyDescent="0.25">
      <c r="A279" s="3"/>
      <c r="B279" s="3" t="s">
        <v>118</v>
      </c>
      <c r="C279" s="3"/>
      <c r="D279" s="5">
        <v>0</v>
      </c>
      <c r="E279" s="5">
        <v>0</v>
      </c>
      <c r="F279" s="5">
        <f>F292+F312</f>
        <v>-9680.17</v>
      </c>
      <c r="G279" s="5">
        <f t="shared" si="158"/>
        <v>-9680.17</v>
      </c>
      <c r="I279" s="2"/>
    </row>
    <row r="280" spans="1:9" x14ac:dyDescent="0.25">
      <c r="A280" s="3"/>
      <c r="B280" s="3" t="s">
        <v>119</v>
      </c>
      <c r="C280" s="3"/>
      <c r="D280" s="5">
        <f>D294+D315</f>
        <v>-11097992</v>
      </c>
      <c r="E280" s="5">
        <f>E294+E315+E337</f>
        <v>-8842448.7500000019</v>
      </c>
      <c r="F280" s="5">
        <f>F294+F315+F337</f>
        <v>-8813343.8399999999</v>
      </c>
      <c r="G280" s="5">
        <f t="shared" si="158"/>
        <v>29104.910000002012</v>
      </c>
      <c r="I280" s="2"/>
    </row>
    <row r="281" spans="1:9" x14ac:dyDescent="0.25">
      <c r="A281" s="3"/>
      <c r="B281" s="3" t="s">
        <v>120</v>
      </c>
      <c r="C281" s="3"/>
      <c r="D281" s="5">
        <v>0</v>
      </c>
      <c r="E281" s="5">
        <f>E322</f>
        <v>-274.19</v>
      </c>
      <c r="F281" s="5">
        <f>F322</f>
        <v>-274.19</v>
      </c>
      <c r="G281" s="5">
        <f t="shared" si="158"/>
        <v>0</v>
      </c>
      <c r="I281" s="2"/>
    </row>
    <row r="282" spans="1:9" x14ac:dyDescent="0.25">
      <c r="A282" s="3"/>
      <c r="B282" s="3" t="s">
        <v>121</v>
      </c>
      <c r="C282" s="3"/>
      <c r="D282" s="5">
        <f>D298+D326</f>
        <v>-57680</v>
      </c>
      <c r="E282" s="5">
        <f>E298+E326</f>
        <v>-57680</v>
      </c>
      <c r="F282" s="5">
        <f>F298+F326+F341</f>
        <v>-55449.31</v>
      </c>
      <c r="G282" s="5">
        <f t="shared" si="158"/>
        <v>2230.6900000000023</v>
      </c>
      <c r="I282" s="2"/>
    </row>
    <row r="283" spans="1:9" x14ac:dyDescent="0.25">
      <c r="A283" s="41"/>
      <c r="B283" s="41" t="s">
        <v>87</v>
      </c>
      <c r="C283" s="41"/>
      <c r="D283" s="42">
        <f>SUM(D285:D287)</f>
        <v>-266051</v>
      </c>
      <c r="E283" s="42">
        <f>SUM(E284:E287)</f>
        <v>-278618.74</v>
      </c>
      <c r="F283" s="42">
        <f>SUM(F285:F287)</f>
        <v>-227284.12</v>
      </c>
      <c r="G283" s="42">
        <f>F283-E283</f>
        <v>51334.619999999995</v>
      </c>
      <c r="I283" s="2"/>
    </row>
    <row r="284" spans="1:9" x14ac:dyDescent="0.25">
      <c r="A284" s="41"/>
      <c r="B284" s="41"/>
      <c r="C284" s="3" t="s">
        <v>193</v>
      </c>
      <c r="D284" s="42">
        <v>0</v>
      </c>
      <c r="E284" s="5">
        <f>E295</f>
        <v>-94316.800000000003</v>
      </c>
      <c r="F284" s="5">
        <v>0</v>
      </c>
      <c r="G284" s="5">
        <f t="shared" ref="G284" si="159">F284-E284</f>
        <v>94316.800000000003</v>
      </c>
      <c r="I284" s="2"/>
    </row>
    <row r="285" spans="1:9" x14ac:dyDescent="0.25">
      <c r="A285" s="3"/>
      <c r="B285" s="3"/>
      <c r="C285" s="3" t="s">
        <v>52</v>
      </c>
      <c r="D285" s="5">
        <f>D289+D296</f>
        <v>-196472</v>
      </c>
      <c r="E285" s="5">
        <f t="shared" ref="E285:F285" si="160">E289+E296</f>
        <v>-152041.01999999999</v>
      </c>
      <c r="F285" s="5">
        <f t="shared" si="160"/>
        <v>-213501.22</v>
      </c>
      <c r="G285" s="5">
        <f t="shared" ref="G285:G287" si="161">F285-E285</f>
        <v>-61460.200000000012</v>
      </c>
      <c r="I285" s="2"/>
    </row>
    <row r="286" spans="1:9" x14ac:dyDescent="0.25">
      <c r="A286" s="3"/>
      <c r="B286" s="3"/>
      <c r="C286" s="3" t="s">
        <v>53</v>
      </c>
      <c r="D286" s="5">
        <f>D290+D297</f>
        <v>-67965</v>
      </c>
      <c r="E286" s="5">
        <f t="shared" ref="E286:F286" si="162">E290+E297</f>
        <v>-30646.92</v>
      </c>
      <c r="F286" s="5">
        <f t="shared" si="162"/>
        <v>-10986.41</v>
      </c>
      <c r="G286" s="5">
        <f t="shared" si="161"/>
        <v>19660.509999999998</v>
      </c>
      <c r="I286" s="2"/>
    </row>
    <row r="287" spans="1:9" x14ac:dyDescent="0.25">
      <c r="A287" s="3"/>
      <c r="B287" s="3"/>
      <c r="C287" s="3" t="s">
        <v>114</v>
      </c>
      <c r="D287" s="5">
        <f>D298</f>
        <v>-1614</v>
      </c>
      <c r="E287" s="5">
        <f t="shared" ref="E287" si="163">E298</f>
        <v>-1614</v>
      </c>
      <c r="F287" s="5">
        <f>F298+F291+F293</f>
        <v>-2796.49</v>
      </c>
      <c r="G287" s="5">
        <f t="shared" si="161"/>
        <v>-1182.4899999999998</v>
      </c>
      <c r="I287" s="2"/>
    </row>
    <row r="288" spans="1:9" x14ac:dyDescent="0.25">
      <c r="A288" s="41"/>
      <c r="B288" s="41"/>
      <c r="C288" s="41" t="s">
        <v>117</v>
      </c>
      <c r="D288" s="42">
        <f>SUM(D289:D290)</f>
        <v>-142128</v>
      </c>
      <c r="E288" s="42">
        <f>SUM(E289:E290)</f>
        <v>-182687.94</v>
      </c>
      <c r="F288" s="42">
        <f>SUM(F289:F291)</f>
        <v>-153820.91</v>
      </c>
      <c r="G288" s="42">
        <f>F288-E288</f>
        <v>28867.03</v>
      </c>
      <c r="I288" s="2"/>
    </row>
    <row r="289" spans="1:11" x14ac:dyDescent="0.25">
      <c r="A289" s="3"/>
      <c r="B289" s="3"/>
      <c r="C289" s="3" t="s">
        <v>52</v>
      </c>
      <c r="D289" s="5">
        <v>-102291</v>
      </c>
      <c r="E289" s="5">
        <v>-152041.01999999999</v>
      </c>
      <c r="F289" s="5">
        <v>-144189.29</v>
      </c>
      <c r="G289" s="5">
        <f t="shared" ref="G289:G291" si="164">F289-E289</f>
        <v>7851.7299999999814</v>
      </c>
      <c r="I289" s="2"/>
    </row>
    <row r="290" spans="1:11" x14ac:dyDescent="0.25">
      <c r="A290" s="3"/>
      <c r="B290" s="3"/>
      <c r="C290" s="3" t="s">
        <v>53</v>
      </c>
      <c r="D290" s="5">
        <v>-39837</v>
      </c>
      <c r="E290" s="5">
        <f>-30300.23-346.69</f>
        <v>-30646.92</v>
      </c>
      <c r="F290" s="5">
        <v>-9622.18</v>
      </c>
      <c r="G290" s="5">
        <f t="shared" si="164"/>
        <v>21024.739999999998</v>
      </c>
      <c r="I290" s="2"/>
    </row>
    <row r="291" spans="1:11" x14ac:dyDescent="0.25">
      <c r="A291" s="3"/>
      <c r="B291" s="3"/>
      <c r="C291" s="3" t="s">
        <v>54</v>
      </c>
      <c r="D291" s="5">
        <v>0</v>
      </c>
      <c r="E291" s="5">
        <v>0</v>
      </c>
      <c r="F291" s="5">
        <v>-9.44</v>
      </c>
      <c r="G291" s="5">
        <f t="shared" si="164"/>
        <v>-9.44</v>
      </c>
      <c r="I291" s="2"/>
    </row>
    <row r="292" spans="1:11" x14ac:dyDescent="0.25">
      <c r="A292" s="3"/>
      <c r="B292" s="3"/>
      <c r="C292" s="41" t="s">
        <v>118</v>
      </c>
      <c r="D292" s="42">
        <v>0</v>
      </c>
      <c r="E292" s="42">
        <v>0</v>
      </c>
      <c r="F292" s="42">
        <f>F293</f>
        <v>-6.95</v>
      </c>
      <c r="G292" s="42">
        <f>F292-E292</f>
        <v>-6.95</v>
      </c>
      <c r="I292" s="2"/>
      <c r="J292" s="39"/>
      <c r="K292" s="39"/>
    </row>
    <row r="293" spans="1:11" x14ac:dyDescent="0.25">
      <c r="A293" s="3"/>
      <c r="B293" s="3"/>
      <c r="C293" s="3" t="s">
        <v>114</v>
      </c>
      <c r="D293" s="5">
        <v>0</v>
      </c>
      <c r="E293" s="5">
        <v>0</v>
      </c>
      <c r="F293" s="5">
        <v>-6.95</v>
      </c>
      <c r="G293" s="5">
        <f t="shared" ref="G293" si="165">F293-E293</f>
        <v>-6.95</v>
      </c>
      <c r="I293" s="2"/>
      <c r="J293" s="39"/>
    </row>
    <row r="294" spans="1:11" x14ac:dyDescent="0.25">
      <c r="A294" s="41"/>
      <c r="B294" s="41"/>
      <c r="C294" s="41" t="s">
        <v>119</v>
      </c>
      <c r="D294" s="42">
        <f>SUM(D296:D297)</f>
        <v>-122309</v>
      </c>
      <c r="E294" s="42">
        <f>SUM(E295:E297)</f>
        <v>-94316.800000000003</v>
      </c>
      <c r="F294" s="42">
        <f>SUM(F296:F297)</f>
        <v>-70676.159999999989</v>
      </c>
      <c r="G294" s="42">
        <f>F294-E294</f>
        <v>23640.640000000014</v>
      </c>
      <c r="I294" s="2"/>
    </row>
    <row r="295" spans="1:11" x14ac:dyDescent="0.25">
      <c r="A295" s="41"/>
      <c r="B295" s="41"/>
      <c r="C295" s="3" t="s">
        <v>193</v>
      </c>
      <c r="D295" s="42">
        <v>0</v>
      </c>
      <c r="E295" s="25">
        <v>-94316.800000000003</v>
      </c>
      <c r="F295" s="25">
        <v>0</v>
      </c>
      <c r="G295" s="5">
        <f t="shared" ref="G295" si="166">F295-E295</f>
        <v>94316.800000000003</v>
      </c>
      <c r="I295" s="2"/>
    </row>
    <row r="296" spans="1:11" x14ac:dyDescent="0.25">
      <c r="A296" s="3"/>
      <c r="B296" s="3"/>
      <c r="C296" s="3" t="s">
        <v>52</v>
      </c>
      <c r="D296" s="5">
        <v>-94181</v>
      </c>
      <c r="E296" s="5">
        <v>0</v>
      </c>
      <c r="F296" s="5">
        <v>-69311.929999999993</v>
      </c>
      <c r="G296" s="5">
        <f t="shared" ref="G296:G297" si="167">F296-E296</f>
        <v>-69311.929999999993</v>
      </c>
      <c r="I296" s="2"/>
    </row>
    <row r="297" spans="1:11" x14ac:dyDescent="0.25">
      <c r="A297" s="41"/>
      <c r="B297" s="41"/>
      <c r="C297" s="3" t="s">
        <v>53</v>
      </c>
      <c r="D297" s="5">
        <v>-28128</v>
      </c>
      <c r="E297" s="5">
        <v>0</v>
      </c>
      <c r="F297" s="5">
        <v>-1364.23</v>
      </c>
      <c r="G297" s="5">
        <f t="shared" si="167"/>
        <v>-1364.23</v>
      </c>
      <c r="I297" s="2"/>
    </row>
    <row r="298" spans="1:11" s="39" customFormat="1" x14ac:dyDescent="0.25">
      <c r="A298" s="41"/>
      <c r="B298" s="41"/>
      <c r="C298" s="41" t="s">
        <v>121</v>
      </c>
      <c r="D298" s="42">
        <v>-1614</v>
      </c>
      <c r="E298" s="42">
        <f>D298</f>
        <v>-1614</v>
      </c>
      <c r="F298" s="5">
        <v>-2780.1</v>
      </c>
      <c r="G298" s="42">
        <f>F298-E298</f>
        <v>-1166.0999999999999</v>
      </c>
      <c r="H298" s="25"/>
      <c r="I298" s="2"/>
      <c r="J298"/>
      <c r="K298"/>
    </row>
    <row r="299" spans="1:11" x14ac:dyDescent="0.25">
      <c r="A299" s="41"/>
      <c r="B299" s="41" t="s">
        <v>129</v>
      </c>
      <c r="C299" s="41"/>
      <c r="D299" s="42">
        <f>SUM(D301:D305)</f>
        <v>-11437061</v>
      </c>
      <c r="E299" s="42">
        <f>SUM(E300:E305)</f>
        <v>-9226150.7100000009</v>
      </c>
      <c r="F299" s="42">
        <f>SUM(F301:F306)</f>
        <v>-9186023.0700000003</v>
      </c>
      <c r="G299" s="42">
        <f>F299-E299</f>
        <v>40127.640000000596</v>
      </c>
      <c r="I299" s="2"/>
    </row>
    <row r="300" spans="1:11" x14ac:dyDescent="0.25">
      <c r="A300" s="41"/>
      <c r="B300" s="41"/>
      <c r="C300" s="3" t="s">
        <v>193</v>
      </c>
      <c r="D300" s="5">
        <v>0</v>
      </c>
      <c r="E300" s="5">
        <f>E316+E323</f>
        <v>-8747140.7400000002</v>
      </c>
      <c r="F300" s="5">
        <v>0</v>
      </c>
      <c r="G300" s="5">
        <f t="shared" ref="G300" si="168">F300-E300</f>
        <v>8747140.7400000002</v>
      </c>
      <c r="I300" s="2"/>
    </row>
    <row r="301" spans="1:11" x14ac:dyDescent="0.25">
      <c r="A301" s="3"/>
      <c r="B301" s="3"/>
      <c r="C301" s="3" t="s">
        <v>52</v>
      </c>
      <c r="D301" s="5">
        <f>D308+D317</f>
        <v>-510609</v>
      </c>
      <c r="E301" s="5">
        <f t="shared" ref="E301" si="169">E308+E317</f>
        <v>-343756.74</v>
      </c>
      <c r="F301" s="5">
        <f>F308+F317+F324</f>
        <v>-536943.55999999994</v>
      </c>
      <c r="G301" s="5">
        <f t="shared" ref="G301:G306" si="170">F301-E301</f>
        <v>-193186.81999999995</v>
      </c>
      <c r="I301" s="2"/>
      <c r="J301" s="39"/>
      <c r="K301" s="39"/>
    </row>
    <row r="302" spans="1:11" x14ac:dyDescent="0.25">
      <c r="A302" s="3"/>
      <c r="B302" s="3"/>
      <c r="C302" s="3" t="s">
        <v>53</v>
      </c>
      <c r="D302" s="5">
        <f>D309+D318</f>
        <v>-107591</v>
      </c>
      <c r="E302" s="5">
        <f t="shared" ref="E302" si="171">E309+E318</f>
        <v>-78913.75</v>
      </c>
      <c r="F302" s="5">
        <f>F309+F318+F325</f>
        <v>-135109.74000000002</v>
      </c>
      <c r="G302" s="5">
        <f t="shared" si="170"/>
        <v>-56195.99000000002</v>
      </c>
      <c r="I302" s="2"/>
    </row>
    <row r="303" spans="1:11" x14ac:dyDescent="0.25">
      <c r="A303" s="3"/>
      <c r="B303" s="3"/>
      <c r="C303" s="3" t="s">
        <v>122</v>
      </c>
      <c r="D303" s="5">
        <f>D319</f>
        <v>-851451</v>
      </c>
      <c r="E303" s="5">
        <f t="shared" ref="E303:F303" si="172">E319</f>
        <v>0</v>
      </c>
      <c r="F303" s="5">
        <f t="shared" si="172"/>
        <v>-1593317.69</v>
      </c>
      <c r="G303" s="5">
        <f t="shared" si="170"/>
        <v>-1593317.69</v>
      </c>
      <c r="I303" s="2"/>
    </row>
    <row r="304" spans="1:11" x14ac:dyDescent="0.25">
      <c r="A304" s="3"/>
      <c r="B304" s="3"/>
      <c r="C304" s="3" t="s">
        <v>113</v>
      </c>
      <c r="D304" s="5">
        <f>D310+D320</f>
        <v>-9911344</v>
      </c>
      <c r="E304" s="5">
        <f t="shared" ref="E304:F304" si="173">E310+E320</f>
        <v>-273.48</v>
      </c>
      <c r="F304" s="5">
        <f t="shared" si="173"/>
        <v>-6841540.9900000002</v>
      </c>
      <c r="G304" s="5">
        <f t="shared" si="170"/>
        <v>-6841267.5099999998</v>
      </c>
      <c r="I304" s="2"/>
    </row>
    <row r="305" spans="1:11" x14ac:dyDescent="0.25">
      <c r="A305" s="3"/>
      <c r="B305" s="3"/>
      <c r="C305" s="3" t="s">
        <v>114</v>
      </c>
      <c r="D305" s="5">
        <f>D326</f>
        <v>-56066</v>
      </c>
      <c r="E305" s="5">
        <f>E326</f>
        <v>-56066</v>
      </c>
      <c r="F305" s="5">
        <f>F326+F311+F313+F321</f>
        <v>-69927.33</v>
      </c>
      <c r="G305" s="5">
        <f t="shared" si="170"/>
        <v>-13861.330000000002</v>
      </c>
      <c r="I305" s="2"/>
    </row>
    <row r="306" spans="1:11" x14ac:dyDescent="0.25">
      <c r="A306" s="3"/>
      <c r="B306" s="3"/>
      <c r="C306" s="3" t="s">
        <v>30</v>
      </c>
      <c r="D306" s="5">
        <v>0</v>
      </c>
      <c r="E306" s="5">
        <v>0</v>
      </c>
      <c r="F306" s="5">
        <f>F314</f>
        <v>-9183.76</v>
      </c>
      <c r="G306" s="5">
        <f t="shared" si="170"/>
        <v>-9183.76</v>
      </c>
      <c r="I306" s="2"/>
    </row>
    <row r="307" spans="1:11" x14ac:dyDescent="0.25">
      <c r="A307" s="41"/>
      <c r="B307" s="41"/>
      <c r="C307" s="41" t="s">
        <v>117</v>
      </c>
      <c r="D307" s="42">
        <f>SUM(D308:D310)</f>
        <v>-405312</v>
      </c>
      <c r="E307" s="42">
        <f t="shared" ref="E307" si="174">SUM(E308:E310)</f>
        <v>-422943.97</v>
      </c>
      <c r="F307" s="42">
        <f>SUM(F308:F311)</f>
        <v>-398220.70999999996</v>
      </c>
      <c r="G307" s="42">
        <f>F307-E307</f>
        <v>24723.260000000009</v>
      </c>
      <c r="I307" s="2"/>
      <c r="K307" s="39"/>
    </row>
    <row r="308" spans="1:11" x14ac:dyDescent="0.25">
      <c r="A308" s="3"/>
      <c r="B308" s="3"/>
      <c r="C308" s="3" t="s">
        <v>52</v>
      </c>
      <c r="D308" s="5">
        <v>-332410</v>
      </c>
      <c r="E308" s="5">
        <v>-343756.74</v>
      </c>
      <c r="F308" s="5">
        <v>-338210.62</v>
      </c>
      <c r="G308" s="5">
        <f t="shared" ref="G308:G311" si="175">F308-E308</f>
        <v>5546.1199999999953</v>
      </c>
      <c r="I308" s="2"/>
    </row>
    <row r="309" spans="1:11" x14ac:dyDescent="0.25">
      <c r="A309" s="3"/>
      <c r="B309" s="3"/>
      <c r="C309" s="3" t="s">
        <v>53</v>
      </c>
      <c r="D309" s="5">
        <v>-72861</v>
      </c>
      <c r="E309" s="5">
        <f>-78896.53-17.22</f>
        <v>-78913.75</v>
      </c>
      <c r="F309" s="5">
        <v>-59321.49</v>
      </c>
      <c r="G309" s="5">
        <f t="shared" si="175"/>
        <v>19592.260000000002</v>
      </c>
      <c r="I309" s="2"/>
    </row>
    <row r="310" spans="1:11" x14ac:dyDescent="0.25">
      <c r="A310" s="3"/>
      <c r="B310" s="3"/>
      <c r="C310" s="3" t="s">
        <v>113</v>
      </c>
      <c r="D310" s="5">
        <v>-41</v>
      </c>
      <c r="E310" s="5">
        <v>-273.48</v>
      </c>
      <c r="F310" s="5">
        <v>-273.48</v>
      </c>
      <c r="G310" s="5">
        <f t="shared" si="175"/>
        <v>0</v>
      </c>
      <c r="I310" s="2"/>
    </row>
    <row r="311" spans="1:11" x14ac:dyDescent="0.25">
      <c r="A311" s="3"/>
      <c r="B311" s="3"/>
      <c r="C311" s="3" t="s">
        <v>54</v>
      </c>
      <c r="D311" s="5">
        <v>0</v>
      </c>
      <c r="E311" s="25">
        <v>0</v>
      </c>
      <c r="F311" s="5">
        <v>-415.12</v>
      </c>
      <c r="G311" s="5">
        <f t="shared" si="175"/>
        <v>-415.12</v>
      </c>
      <c r="I311" s="2"/>
    </row>
    <row r="312" spans="1:11" x14ac:dyDescent="0.25">
      <c r="A312" s="3"/>
      <c r="B312" s="3"/>
      <c r="C312" s="41" t="s">
        <v>118</v>
      </c>
      <c r="D312" s="42">
        <f>SUM(D313:D314)</f>
        <v>0</v>
      </c>
      <c r="E312" s="42">
        <f t="shared" ref="E312:F312" si="176">SUM(E313:E314)</f>
        <v>0</v>
      </c>
      <c r="F312" s="42">
        <f t="shared" si="176"/>
        <v>-9673.2199999999993</v>
      </c>
      <c r="G312" s="42">
        <f>F312-E312</f>
        <v>-9673.2199999999993</v>
      </c>
      <c r="I312" s="2"/>
    </row>
    <row r="313" spans="1:11" x14ac:dyDescent="0.25">
      <c r="A313" s="3"/>
      <c r="B313" s="3"/>
      <c r="C313" s="3" t="s">
        <v>114</v>
      </c>
      <c r="D313" s="5">
        <v>0</v>
      </c>
      <c r="E313" s="5">
        <v>0</v>
      </c>
      <c r="F313" s="5">
        <v>-489.46</v>
      </c>
      <c r="G313" s="5">
        <f t="shared" ref="G313:G314" si="177">F313-E313</f>
        <v>-489.46</v>
      </c>
      <c r="I313" s="2"/>
    </row>
    <row r="314" spans="1:11" x14ac:dyDescent="0.25">
      <c r="A314" s="3"/>
      <c r="B314" s="3"/>
      <c r="C314" s="3" t="s">
        <v>30</v>
      </c>
      <c r="D314" s="5">
        <v>0</v>
      </c>
      <c r="E314" s="5">
        <v>0</v>
      </c>
      <c r="F314" s="5">
        <v>-9183.76</v>
      </c>
      <c r="G314" s="5">
        <f t="shared" si="177"/>
        <v>-9183.76</v>
      </c>
      <c r="I314" s="2"/>
    </row>
    <row r="315" spans="1:11" x14ac:dyDescent="0.25">
      <c r="A315" s="41"/>
      <c r="B315" s="41"/>
      <c r="C315" s="41" t="s">
        <v>119</v>
      </c>
      <c r="D315" s="42">
        <f>SUM(D317:D320)</f>
        <v>-10975683</v>
      </c>
      <c r="E315" s="42">
        <f>E316</f>
        <v>-8746866.5500000007</v>
      </c>
      <c r="F315" s="42">
        <f>SUM(F317:F321)</f>
        <v>-8741820.4299999997</v>
      </c>
      <c r="G315" s="42">
        <f>F315-E315</f>
        <v>5046.1200000010431</v>
      </c>
      <c r="I315" s="2"/>
    </row>
    <row r="316" spans="1:11" x14ac:dyDescent="0.25">
      <c r="A316" s="41"/>
      <c r="B316" s="41"/>
      <c r="C316" s="3" t="s">
        <v>193</v>
      </c>
      <c r="D316" s="42">
        <v>0</v>
      </c>
      <c r="E316" s="5">
        <v>-8746866.5500000007</v>
      </c>
      <c r="F316" s="25">
        <v>0</v>
      </c>
      <c r="G316" s="5">
        <f t="shared" ref="G316" si="178">F316-E316</f>
        <v>8746866.5500000007</v>
      </c>
      <c r="I316" s="2"/>
    </row>
    <row r="317" spans="1:11" x14ac:dyDescent="0.25">
      <c r="A317" s="3"/>
      <c r="B317" s="3"/>
      <c r="C317" s="3" t="s">
        <v>52</v>
      </c>
      <c r="D317" s="5">
        <v>-178199</v>
      </c>
      <c r="E317" s="5">
        <v>0</v>
      </c>
      <c r="F317" s="5">
        <v>-198592.73</v>
      </c>
      <c r="G317" s="5">
        <f t="shared" ref="G317:G321" si="179">F317-E317</f>
        <v>-198592.73</v>
      </c>
      <c r="I317" s="2"/>
    </row>
    <row r="318" spans="1:11" x14ac:dyDescent="0.25">
      <c r="A318" s="41"/>
      <c r="B318" s="41"/>
      <c r="C318" s="3" t="s">
        <v>53</v>
      </c>
      <c r="D318" s="5">
        <v>-34730</v>
      </c>
      <c r="E318" s="5">
        <v>0</v>
      </c>
      <c r="F318" s="5">
        <v>-75654.27</v>
      </c>
      <c r="G318" s="5">
        <f t="shared" si="179"/>
        <v>-75654.27</v>
      </c>
      <c r="I318" s="2"/>
    </row>
    <row r="319" spans="1:11" x14ac:dyDescent="0.25">
      <c r="A319" s="41"/>
      <c r="B319" s="41"/>
      <c r="C319" s="3" t="s">
        <v>122</v>
      </c>
      <c r="D319" s="5">
        <v>-851451</v>
      </c>
      <c r="E319" s="5">
        <v>0</v>
      </c>
      <c r="F319" s="5">
        <v>-1593317.69</v>
      </c>
      <c r="G319" s="5">
        <f t="shared" si="179"/>
        <v>-1593317.69</v>
      </c>
      <c r="H319" s="25" t="s">
        <v>136</v>
      </c>
      <c r="I319" s="2"/>
    </row>
    <row r="320" spans="1:11" x14ac:dyDescent="0.25">
      <c r="A320" s="41"/>
      <c r="B320" s="41"/>
      <c r="C320" s="3" t="s">
        <v>113</v>
      </c>
      <c r="D320" s="5">
        <f>-8986922-1775832+851451</f>
        <v>-9911303</v>
      </c>
      <c r="E320" s="5">
        <v>0</v>
      </c>
      <c r="F320" s="5">
        <v>-6841267.5099999998</v>
      </c>
      <c r="G320" s="5">
        <f t="shared" si="179"/>
        <v>-6841267.5099999998</v>
      </c>
      <c r="I320" s="2"/>
    </row>
    <row r="321" spans="1:9" x14ac:dyDescent="0.25">
      <c r="A321" s="41"/>
      <c r="B321" s="41"/>
      <c r="C321" s="3" t="s">
        <v>54</v>
      </c>
      <c r="D321" s="5">
        <v>0</v>
      </c>
      <c r="E321" s="25">
        <v>0</v>
      </c>
      <c r="F321" s="5">
        <v>-32988.230000000003</v>
      </c>
      <c r="G321" s="5">
        <f t="shared" si="179"/>
        <v>-32988.230000000003</v>
      </c>
      <c r="I321" s="2"/>
    </row>
    <row r="322" spans="1:9" x14ac:dyDescent="0.25">
      <c r="A322" s="41"/>
      <c r="B322" s="41"/>
      <c r="C322" s="41" t="s">
        <v>120</v>
      </c>
      <c r="D322" s="42">
        <f>SUM(D323:D324)</f>
        <v>0</v>
      </c>
      <c r="E322" s="42">
        <f>SUM(E323:E325)</f>
        <v>-274.19</v>
      </c>
      <c r="F322" s="42">
        <f>SUM(F323:F325)</f>
        <v>-274.19</v>
      </c>
      <c r="G322" s="42">
        <f>F322-E322</f>
        <v>0</v>
      </c>
      <c r="I322" s="2"/>
    </row>
    <row r="323" spans="1:9" x14ac:dyDescent="0.25">
      <c r="A323" s="41"/>
      <c r="B323" s="41"/>
      <c r="C323" s="3" t="s">
        <v>193</v>
      </c>
      <c r="D323" s="5">
        <v>0</v>
      </c>
      <c r="E323" s="5">
        <v>-274.19</v>
      </c>
      <c r="F323" s="5">
        <v>0</v>
      </c>
      <c r="G323" s="5">
        <f t="shared" ref="G323:G325" si="180">F323-E323</f>
        <v>274.19</v>
      </c>
      <c r="I323" s="2"/>
    </row>
    <row r="324" spans="1:9" x14ac:dyDescent="0.25">
      <c r="A324" s="41"/>
      <c r="B324" s="41"/>
      <c r="C324" s="3" t="s">
        <v>52</v>
      </c>
      <c r="D324" s="5">
        <v>0</v>
      </c>
      <c r="E324" s="5">
        <v>0</v>
      </c>
      <c r="F324" s="5">
        <v>-140.21</v>
      </c>
      <c r="G324" s="5">
        <f t="shared" si="180"/>
        <v>-140.21</v>
      </c>
      <c r="I324" s="2"/>
    </row>
    <row r="325" spans="1:9" x14ac:dyDescent="0.25">
      <c r="A325" s="41"/>
      <c r="B325" s="41"/>
      <c r="C325" s="3" t="s">
        <v>53</v>
      </c>
      <c r="D325" s="5">
        <v>0</v>
      </c>
      <c r="E325" s="5">
        <v>0</v>
      </c>
      <c r="F325" s="5">
        <v>-133.97999999999999</v>
      </c>
      <c r="G325" s="5">
        <f t="shared" si="180"/>
        <v>-133.97999999999999</v>
      </c>
      <c r="I325" s="2"/>
    </row>
    <row r="326" spans="1:9" s="39" customFormat="1" x14ac:dyDescent="0.25">
      <c r="A326" s="41"/>
      <c r="B326" s="41"/>
      <c r="C326" s="41" t="s">
        <v>121</v>
      </c>
      <c r="D326" s="42">
        <v>-56066</v>
      </c>
      <c r="E326" s="42">
        <f>D326</f>
        <v>-56066</v>
      </c>
      <c r="F326" s="42">
        <v>-36034.519999999997</v>
      </c>
      <c r="G326" s="42">
        <f>F326-E326</f>
        <v>20031.480000000003</v>
      </c>
      <c r="H326" s="25"/>
      <c r="I326" s="2"/>
    </row>
    <row r="327" spans="1:9" s="39" customFormat="1" x14ac:dyDescent="0.25">
      <c r="A327" s="41"/>
      <c r="B327" s="39" t="s">
        <v>195</v>
      </c>
      <c r="C327" s="41"/>
      <c r="D327" s="42">
        <f>SUM(D328:D331)</f>
        <v>0</v>
      </c>
      <c r="E327" s="42">
        <f t="shared" ref="E327:F327" si="181">SUM(E328:E331)</f>
        <v>-32428.47</v>
      </c>
      <c r="F327" s="42">
        <f t="shared" si="181"/>
        <v>-43069.11</v>
      </c>
      <c r="G327" s="42">
        <f>F327-E327</f>
        <v>-10640.64</v>
      </c>
      <c r="H327" s="25"/>
      <c r="I327" s="2"/>
    </row>
    <row r="328" spans="1:9" s="39" customFormat="1" x14ac:dyDescent="0.25">
      <c r="A328" s="41"/>
      <c r="B328" s="41"/>
      <c r="C328" s="3" t="s">
        <v>193</v>
      </c>
      <c r="D328" s="42">
        <v>0</v>
      </c>
      <c r="E328" s="5">
        <f>E338</f>
        <v>-1265.4000000000001</v>
      </c>
      <c r="F328" s="5">
        <v>0</v>
      </c>
      <c r="G328" s="5">
        <f t="shared" ref="G328:G331" si="182">F328-E328</f>
        <v>1265.4000000000001</v>
      </c>
      <c r="H328" s="25"/>
      <c r="I328" s="2"/>
    </row>
    <row r="329" spans="1:9" s="39" customFormat="1" x14ac:dyDescent="0.25">
      <c r="A329" s="41"/>
      <c r="B329" s="3"/>
      <c r="C329" s="3" t="s">
        <v>52</v>
      </c>
      <c r="D329" s="5">
        <f>D333+D339</f>
        <v>0</v>
      </c>
      <c r="E329" s="5">
        <f t="shared" ref="E329:F329" si="183">E333+E339</f>
        <v>-25169.63</v>
      </c>
      <c r="F329" s="5">
        <f t="shared" si="183"/>
        <v>-23496.42</v>
      </c>
      <c r="G329" s="5">
        <f t="shared" si="182"/>
        <v>1673.2100000000028</v>
      </c>
      <c r="H329" s="25"/>
      <c r="I329" s="2"/>
    </row>
    <row r="330" spans="1:9" s="39" customFormat="1" x14ac:dyDescent="0.25">
      <c r="A330" s="41"/>
      <c r="B330" s="3"/>
      <c r="C330" s="3" t="s">
        <v>53</v>
      </c>
      <c r="D330" s="5">
        <f>D334+D340</f>
        <v>0</v>
      </c>
      <c r="E330" s="5">
        <f t="shared" ref="E330:F330" si="184">E334+E340</f>
        <v>-5993.44</v>
      </c>
      <c r="F330" s="5">
        <f t="shared" si="184"/>
        <v>-2938.0299999999997</v>
      </c>
      <c r="G330" s="5">
        <f t="shared" si="182"/>
        <v>3055.41</v>
      </c>
      <c r="H330" s="25"/>
      <c r="I330" s="2"/>
    </row>
    <row r="331" spans="1:9" s="39" customFormat="1" x14ac:dyDescent="0.25">
      <c r="A331" s="41"/>
      <c r="B331" s="3"/>
      <c r="C331" s="3" t="s">
        <v>114</v>
      </c>
      <c r="D331" s="5">
        <f>D341+D336</f>
        <v>0</v>
      </c>
      <c r="E331" s="5">
        <f t="shared" ref="E331:F331" si="185">E341+E336</f>
        <v>0</v>
      </c>
      <c r="F331" s="5">
        <f t="shared" si="185"/>
        <v>-16634.66</v>
      </c>
      <c r="G331" s="5">
        <f t="shared" si="182"/>
        <v>-16634.66</v>
      </c>
      <c r="H331" s="25"/>
      <c r="I331" s="2"/>
    </row>
    <row r="332" spans="1:9" s="39" customFormat="1" x14ac:dyDescent="0.25">
      <c r="A332" s="41"/>
      <c r="B332" s="41"/>
      <c r="C332" s="41" t="s">
        <v>117</v>
      </c>
      <c r="D332" s="42">
        <f>SUM(D333:D334)</f>
        <v>0</v>
      </c>
      <c r="E332" s="42">
        <f>SUM(E333:E334)</f>
        <v>-31163.07</v>
      </c>
      <c r="F332" s="42">
        <f>SUM(F333:F334)</f>
        <v>-25587.200000000001</v>
      </c>
      <c r="G332" s="42">
        <f>F332-E332</f>
        <v>5575.869999999999</v>
      </c>
      <c r="H332" s="25"/>
      <c r="I332" s="2"/>
    </row>
    <row r="333" spans="1:9" s="39" customFormat="1" x14ac:dyDescent="0.25">
      <c r="A333" s="41"/>
      <c r="B333" s="3"/>
      <c r="C333" s="3" t="s">
        <v>52</v>
      </c>
      <c r="D333" s="5">
        <v>0</v>
      </c>
      <c r="E333" s="5">
        <v>-25169.63</v>
      </c>
      <c r="F333" s="5">
        <v>-22696.25</v>
      </c>
      <c r="G333" s="5">
        <f t="shared" ref="G333:G336" si="186">F333-E333</f>
        <v>2473.380000000001</v>
      </c>
      <c r="H333" s="25"/>
      <c r="I333" s="2"/>
    </row>
    <row r="334" spans="1:9" s="39" customFormat="1" x14ac:dyDescent="0.25">
      <c r="A334" s="41"/>
      <c r="B334" s="3"/>
      <c r="C334" s="3" t="s">
        <v>53</v>
      </c>
      <c r="D334" s="5">
        <v>0</v>
      </c>
      <c r="E334" s="5">
        <v>-5993.44</v>
      </c>
      <c r="F334" s="5">
        <v>-2890.95</v>
      </c>
      <c r="G334" s="5">
        <f t="shared" si="186"/>
        <v>3102.49</v>
      </c>
      <c r="H334" s="25"/>
      <c r="I334" s="2"/>
    </row>
    <row r="335" spans="1:9" s="39" customFormat="1" x14ac:dyDescent="0.25">
      <c r="A335" s="41"/>
      <c r="B335" s="41"/>
      <c r="C335" s="41" t="s">
        <v>118</v>
      </c>
      <c r="D335" s="42">
        <f>D336</f>
        <v>0</v>
      </c>
      <c r="E335" s="42">
        <f t="shared" ref="E335:F335" si="187">E336</f>
        <v>0</v>
      </c>
      <c r="F335" s="42">
        <f t="shared" si="187"/>
        <v>0.03</v>
      </c>
      <c r="G335" s="42">
        <f t="shared" si="186"/>
        <v>0.03</v>
      </c>
      <c r="H335" s="25"/>
      <c r="I335" s="2"/>
    </row>
    <row r="336" spans="1:9" s="39" customFormat="1" x14ac:dyDescent="0.25">
      <c r="A336" s="41"/>
      <c r="B336" s="3"/>
      <c r="C336" s="3" t="s">
        <v>54</v>
      </c>
      <c r="D336" s="5">
        <v>0</v>
      </c>
      <c r="E336" s="5">
        <v>0</v>
      </c>
      <c r="F336" s="5">
        <v>0.03</v>
      </c>
      <c r="G336" s="5">
        <f t="shared" si="186"/>
        <v>0.03</v>
      </c>
      <c r="H336" s="25"/>
      <c r="I336" s="2"/>
    </row>
    <row r="337" spans="1:9" s="39" customFormat="1" x14ac:dyDescent="0.25">
      <c r="A337" s="41"/>
      <c r="B337" s="41"/>
      <c r="C337" s="41" t="s">
        <v>119</v>
      </c>
      <c r="D337" s="42">
        <f>SUM(D338:D340)</f>
        <v>0</v>
      </c>
      <c r="E337" s="42">
        <f t="shared" ref="E337:F337" si="188">SUM(E338:E340)</f>
        <v>-1265.4000000000001</v>
      </c>
      <c r="F337" s="42">
        <f t="shared" si="188"/>
        <v>-847.25</v>
      </c>
      <c r="G337" s="42">
        <f>F337-E337</f>
        <v>418.15000000000009</v>
      </c>
      <c r="H337" s="25"/>
      <c r="I337" s="2"/>
    </row>
    <row r="338" spans="1:9" s="39" customFormat="1" x14ac:dyDescent="0.25">
      <c r="A338" s="41"/>
      <c r="B338" s="41"/>
      <c r="C338" s="3" t="s">
        <v>193</v>
      </c>
      <c r="D338" s="42">
        <v>0</v>
      </c>
      <c r="E338" s="5">
        <v>-1265.4000000000001</v>
      </c>
      <c r="F338" s="5"/>
      <c r="G338" s="5">
        <f t="shared" ref="G338:G340" si="189">F338-E338</f>
        <v>1265.4000000000001</v>
      </c>
      <c r="H338" s="25"/>
      <c r="I338" s="2"/>
    </row>
    <row r="339" spans="1:9" s="39" customFormat="1" x14ac:dyDescent="0.25">
      <c r="A339" s="41"/>
      <c r="B339" s="3"/>
      <c r="C339" s="3" t="s">
        <v>52</v>
      </c>
      <c r="D339" s="5">
        <v>0</v>
      </c>
      <c r="E339" s="5">
        <v>0</v>
      </c>
      <c r="F339" s="5">
        <v>-800.17</v>
      </c>
      <c r="G339" s="5">
        <f t="shared" si="189"/>
        <v>-800.17</v>
      </c>
      <c r="H339" s="25"/>
      <c r="I339" s="2"/>
    </row>
    <row r="340" spans="1:9" s="39" customFormat="1" x14ac:dyDescent="0.25">
      <c r="A340" s="41"/>
      <c r="B340" s="41"/>
      <c r="C340" s="3" t="s">
        <v>53</v>
      </c>
      <c r="D340" s="5">
        <v>0</v>
      </c>
      <c r="E340" s="5">
        <v>0</v>
      </c>
      <c r="F340" s="5">
        <v>-47.08</v>
      </c>
      <c r="G340" s="5">
        <f t="shared" si="189"/>
        <v>-47.08</v>
      </c>
      <c r="H340" s="25"/>
      <c r="I340" s="2"/>
    </row>
    <row r="341" spans="1:9" s="39" customFormat="1" x14ac:dyDescent="0.25">
      <c r="A341" s="41"/>
      <c r="B341" s="41"/>
      <c r="C341" s="41" t="s">
        <v>121</v>
      </c>
      <c r="D341" s="42">
        <v>0</v>
      </c>
      <c r="E341" s="42">
        <f>D341</f>
        <v>0</v>
      </c>
      <c r="F341" s="42">
        <v>-16634.689999999999</v>
      </c>
      <c r="G341" s="42">
        <f>F341-E341</f>
        <v>-16634.689999999999</v>
      </c>
      <c r="H341" s="25"/>
      <c r="I341" s="2"/>
    </row>
    <row r="342" spans="1:9" s="39" customFormat="1" ht="15.75" x14ac:dyDescent="0.25">
      <c r="A342" s="71" t="s">
        <v>142</v>
      </c>
      <c r="B342" s="41"/>
      <c r="C342" s="41"/>
      <c r="D342" s="42">
        <f>SUM(D343:D347)</f>
        <v>-119185731</v>
      </c>
      <c r="E342" s="42">
        <f t="shared" ref="E342:F342" si="190">SUM(E343:E347)</f>
        <v>-119904304.45999999</v>
      </c>
      <c r="F342" s="42">
        <f t="shared" si="190"/>
        <v>-119377027.17</v>
      </c>
      <c r="G342" s="42">
        <f t="shared" ref="G342:G347" si="191">F342-E342</f>
        <v>527277.28999999166</v>
      </c>
      <c r="H342" s="25"/>
      <c r="I342" s="2"/>
    </row>
    <row r="343" spans="1:9" x14ac:dyDescent="0.25">
      <c r="A343" s="3"/>
      <c r="B343" s="3" t="s">
        <v>117</v>
      </c>
      <c r="C343" s="3"/>
      <c r="D343" s="5">
        <f>D354+D373+D397+D414</f>
        <v>-2059183</v>
      </c>
      <c r="E343" s="5">
        <f>E354+E373+E397+E414+E433</f>
        <v>-2724937.1200000006</v>
      </c>
      <c r="F343" s="5">
        <f>F354+F373+F397+F414+F433</f>
        <v>-2274055.0100000002</v>
      </c>
      <c r="G343" s="5">
        <f t="shared" si="191"/>
        <v>450882.11000000034</v>
      </c>
      <c r="I343" s="2"/>
    </row>
    <row r="344" spans="1:9" x14ac:dyDescent="0.25">
      <c r="A344" s="3"/>
      <c r="B344" s="3" t="s">
        <v>118</v>
      </c>
      <c r="C344" s="3"/>
      <c r="D344" s="5">
        <v>0</v>
      </c>
      <c r="E344" s="5">
        <v>0</v>
      </c>
      <c r="F344" s="5">
        <f>F359+F378+F417</f>
        <v>-25814.28</v>
      </c>
      <c r="G344" s="5">
        <f t="shared" si="191"/>
        <v>-25814.28</v>
      </c>
      <c r="I344" s="2"/>
    </row>
    <row r="345" spans="1:9" x14ac:dyDescent="0.25">
      <c r="A345" s="3"/>
      <c r="B345" s="3" t="s">
        <v>119</v>
      </c>
      <c r="C345" s="3"/>
      <c r="D345" s="5">
        <f>D361+D381+D401</f>
        <v>-116887449</v>
      </c>
      <c r="E345" s="5">
        <f>E361+E381+E401+E419+E438</f>
        <v>-116885879.36999999</v>
      </c>
      <c r="F345" s="5">
        <f>F361+F381+F401+F419+F438</f>
        <v>-116819969.67999999</v>
      </c>
      <c r="G345" s="5">
        <f t="shared" si="191"/>
        <v>65909.689999997616</v>
      </c>
      <c r="I345" s="2"/>
    </row>
    <row r="346" spans="1:9" x14ac:dyDescent="0.25">
      <c r="A346" s="3"/>
      <c r="B346" s="3" t="s">
        <v>120</v>
      </c>
      <c r="C346" s="3"/>
      <c r="D346" s="5">
        <f>D403+D423</f>
        <v>-51719</v>
      </c>
      <c r="E346" s="5">
        <f>E403+E423+E387</f>
        <v>-106107.97</v>
      </c>
      <c r="F346" s="5">
        <f>F403+F423+F387</f>
        <v>-56606.110000000008</v>
      </c>
      <c r="G346" s="5">
        <f t="shared" si="191"/>
        <v>49501.859999999993</v>
      </c>
      <c r="I346" s="2"/>
    </row>
    <row r="347" spans="1:9" x14ac:dyDescent="0.25">
      <c r="A347" s="3"/>
      <c r="B347" s="3" t="s">
        <v>121</v>
      </c>
      <c r="C347" s="3"/>
      <c r="D347" s="5">
        <f>D365+D391+D408</f>
        <v>-187380</v>
      </c>
      <c r="E347" s="5">
        <f>E365+E391+E408</f>
        <v>-187380</v>
      </c>
      <c r="F347" s="5">
        <f>F365+F391+F408+F442</f>
        <v>-200582.09000000003</v>
      </c>
      <c r="G347" s="5">
        <f t="shared" si="191"/>
        <v>-13202.090000000026</v>
      </c>
      <c r="I347" s="2"/>
    </row>
    <row r="348" spans="1:9" x14ac:dyDescent="0.25">
      <c r="A348" s="41"/>
      <c r="B348" s="41" t="s">
        <v>87</v>
      </c>
      <c r="C348" s="41"/>
      <c r="D348" s="42">
        <f>SUM(D350:D353)</f>
        <v>-857842</v>
      </c>
      <c r="E348" s="42">
        <f>SUM(E349:E353)</f>
        <v>-1196171.24</v>
      </c>
      <c r="F348" s="42">
        <f t="shared" ref="F348" si="192">SUM(F350:F353)</f>
        <v>-872852.37</v>
      </c>
      <c r="G348" s="42">
        <f>F348-E348</f>
        <v>323318.87</v>
      </c>
      <c r="I348" s="2"/>
    </row>
    <row r="349" spans="1:9" x14ac:dyDescent="0.25">
      <c r="A349" s="41"/>
      <c r="B349" s="41"/>
      <c r="C349" s="3" t="s">
        <v>193</v>
      </c>
      <c r="D349" s="42">
        <v>0</v>
      </c>
      <c r="E349" s="5">
        <f>E362</f>
        <v>-181364.97</v>
      </c>
      <c r="F349" s="5">
        <v>0</v>
      </c>
      <c r="G349" s="5">
        <f t="shared" ref="G349" si="193">F349-E349</f>
        <v>181364.97</v>
      </c>
      <c r="I349" s="2"/>
    </row>
    <row r="350" spans="1:9" x14ac:dyDescent="0.25">
      <c r="A350" s="3"/>
      <c r="B350" s="3"/>
      <c r="C350" s="3" t="s">
        <v>52</v>
      </c>
      <c r="D350" s="5">
        <f>D355+D363</f>
        <v>-650002</v>
      </c>
      <c r="E350" s="5">
        <f t="shared" ref="E350:F350" si="194">E355+E363</f>
        <v>-545553.68000000005</v>
      </c>
      <c r="F350" s="5">
        <f t="shared" si="194"/>
        <v>-658181.12</v>
      </c>
      <c r="G350" s="5">
        <f t="shared" ref="G350:G353" si="195">F350-E350</f>
        <v>-112627.43999999994</v>
      </c>
      <c r="I350" s="2"/>
    </row>
    <row r="351" spans="1:9" x14ac:dyDescent="0.25">
      <c r="A351" s="3"/>
      <c r="B351" s="3"/>
      <c r="C351" s="3" t="s">
        <v>53</v>
      </c>
      <c r="D351" s="5">
        <f>D356+D364</f>
        <v>-182105</v>
      </c>
      <c r="E351" s="5">
        <f t="shared" ref="E351:F351" si="196">E356+E364</f>
        <v>-404714.86</v>
      </c>
      <c r="F351" s="5">
        <f t="shared" si="196"/>
        <v>-171342.65</v>
      </c>
      <c r="G351" s="5">
        <f t="shared" si="195"/>
        <v>233372.21</v>
      </c>
      <c r="I351" s="2"/>
    </row>
    <row r="352" spans="1:9" x14ac:dyDescent="0.25">
      <c r="A352" s="3"/>
      <c r="B352" s="3"/>
      <c r="C352" s="3" t="s">
        <v>113</v>
      </c>
      <c r="D352" s="5">
        <f>D357</f>
        <v>-8600</v>
      </c>
      <c r="E352" s="5">
        <f t="shared" ref="E352:F352" si="197">E357</f>
        <v>-47402.73</v>
      </c>
      <c r="F352" s="5">
        <f t="shared" si="197"/>
        <v>-8898.73</v>
      </c>
      <c r="G352" s="5">
        <f t="shared" si="195"/>
        <v>38504</v>
      </c>
      <c r="I352" s="2"/>
    </row>
    <row r="353" spans="1:9" x14ac:dyDescent="0.25">
      <c r="A353" s="3"/>
      <c r="B353" s="3"/>
      <c r="C353" s="3" t="s">
        <v>114</v>
      </c>
      <c r="D353" s="5">
        <f>D365</f>
        <v>-17135</v>
      </c>
      <c r="E353" s="5">
        <f t="shared" ref="E353" si="198">E365</f>
        <v>-17135</v>
      </c>
      <c r="F353" s="5">
        <f>F365+F358+F360</f>
        <v>-34429.869999999995</v>
      </c>
      <c r="G353" s="5">
        <f t="shared" si="195"/>
        <v>-17294.869999999995</v>
      </c>
      <c r="I353" s="2"/>
    </row>
    <row r="354" spans="1:9" x14ac:dyDescent="0.25">
      <c r="A354" s="41"/>
      <c r="B354" s="41"/>
      <c r="C354" s="41" t="s">
        <v>117</v>
      </c>
      <c r="D354" s="42">
        <f>SUM(D355:D357)</f>
        <v>-693937</v>
      </c>
      <c r="E354" s="42">
        <f t="shared" ref="E354" si="199">SUM(E355:E357)</f>
        <v>-997671.27</v>
      </c>
      <c r="F354" s="42">
        <f>SUM(F355:F358)</f>
        <v>-704392.75999999989</v>
      </c>
      <c r="G354" s="42">
        <f>F354-E354</f>
        <v>293278.51000000013</v>
      </c>
      <c r="I354" s="2"/>
    </row>
    <row r="355" spans="1:9" x14ac:dyDescent="0.25">
      <c r="A355" s="3"/>
      <c r="B355" s="3"/>
      <c r="C355" s="3" t="s">
        <v>52</v>
      </c>
      <c r="D355" s="5">
        <v>-536985</v>
      </c>
      <c r="E355" s="5">
        <v>-545553.68000000005</v>
      </c>
      <c r="F355" s="5">
        <v>-529432.85</v>
      </c>
      <c r="G355" s="5">
        <f t="shared" ref="G355:G358" si="200">F355-E355</f>
        <v>16120.830000000075</v>
      </c>
      <c r="I355" s="2"/>
    </row>
    <row r="356" spans="1:9" x14ac:dyDescent="0.25">
      <c r="A356" s="3"/>
      <c r="B356" s="3"/>
      <c r="C356" s="3" t="s">
        <v>53</v>
      </c>
      <c r="D356" s="5">
        <v>-148352</v>
      </c>
      <c r="E356" s="5">
        <f>-401871.74-2843.12</f>
        <v>-404714.86</v>
      </c>
      <c r="F356" s="5">
        <v>-165975.57999999999</v>
      </c>
      <c r="G356" s="5">
        <f t="shared" si="200"/>
        <v>238739.28</v>
      </c>
      <c r="I356" s="2"/>
    </row>
    <row r="357" spans="1:9" x14ac:dyDescent="0.25">
      <c r="A357" s="3"/>
      <c r="B357" s="3"/>
      <c r="C357" s="3" t="s">
        <v>113</v>
      </c>
      <c r="D357" s="5">
        <v>-8600</v>
      </c>
      <c r="E357" s="5">
        <v>-47402.73</v>
      </c>
      <c r="F357" s="5">
        <v>-8898.73</v>
      </c>
      <c r="G357" s="5">
        <f t="shared" si="200"/>
        <v>38504</v>
      </c>
      <c r="I357" s="2"/>
    </row>
    <row r="358" spans="1:9" x14ac:dyDescent="0.25">
      <c r="A358" s="3"/>
      <c r="B358" s="3"/>
      <c r="C358" s="3" t="s">
        <v>54</v>
      </c>
      <c r="D358" s="5">
        <v>0</v>
      </c>
      <c r="E358" s="5">
        <v>0</v>
      </c>
      <c r="F358" s="5">
        <v>-85.6</v>
      </c>
      <c r="G358" s="5">
        <f t="shared" si="200"/>
        <v>-85.6</v>
      </c>
      <c r="I358" s="2"/>
    </row>
    <row r="359" spans="1:9" x14ac:dyDescent="0.25">
      <c r="A359" s="3"/>
      <c r="B359" s="3"/>
      <c r="C359" s="41" t="s">
        <v>118</v>
      </c>
      <c r="D359" s="42">
        <v>0</v>
      </c>
      <c r="E359" s="42">
        <v>0</v>
      </c>
      <c r="F359" s="42">
        <f>F360</f>
        <v>-63.03</v>
      </c>
      <c r="G359" s="42">
        <f>F359-E359</f>
        <v>-63.03</v>
      </c>
      <c r="I359" s="2"/>
    </row>
    <row r="360" spans="1:9" x14ac:dyDescent="0.25">
      <c r="A360" s="3"/>
      <c r="B360" s="3"/>
      <c r="C360" s="3" t="s">
        <v>114</v>
      </c>
      <c r="D360" s="5">
        <v>0</v>
      </c>
      <c r="E360" s="5">
        <v>0</v>
      </c>
      <c r="F360" s="5">
        <v>-63.03</v>
      </c>
      <c r="G360" s="5">
        <f t="shared" ref="G360" si="201">F360-E360</f>
        <v>-63.03</v>
      </c>
      <c r="I360" s="2"/>
    </row>
    <row r="361" spans="1:9" x14ac:dyDescent="0.25">
      <c r="A361" s="41"/>
      <c r="B361" s="41"/>
      <c r="C361" s="41" t="s">
        <v>119</v>
      </c>
      <c r="D361" s="42">
        <f>SUM(D363:D364)</f>
        <v>-146770</v>
      </c>
      <c r="E361" s="42">
        <f>E362</f>
        <v>-181364.97</v>
      </c>
      <c r="F361" s="42">
        <f>SUM(F363:F364)</f>
        <v>-134115.34</v>
      </c>
      <c r="G361" s="42">
        <f>F361-E361</f>
        <v>47249.630000000005</v>
      </c>
      <c r="I361" s="2"/>
    </row>
    <row r="362" spans="1:9" x14ac:dyDescent="0.25">
      <c r="A362" s="41"/>
      <c r="B362" s="41"/>
      <c r="C362" s="3" t="s">
        <v>193</v>
      </c>
      <c r="D362" s="42">
        <v>0</v>
      </c>
      <c r="E362" s="5">
        <v>-181364.97</v>
      </c>
      <c r="F362" s="25">
        <v>0</v>
      </c>
      <c r="G362" s="5">
        <f t="shared" ref="G362" si="202">F362-E362</f>
        <v>181364.97</v>
      </c>
      <c r="I362" s="2"/>
    </row>
    <row r="363" spans="1:9" x14ac:dyDescent="0.25">
      <c r="A363" s="3"/>
      <c r="B363" s="3"/>
      <c r="C363" s="3" t="s">
        <v>52</v>
      </c>
      <c r="D363" s="5">
        <v>-113017</v>
      </c>
      <c r="E363" s="42">
        <v>0</v>
      </c>
      <c r="F363" s="5">
        <v>-128748.27</v>
      </c>
      <c r="G363" s="5">
        <f t="shared" ref="G363:G364" si="203">F363-E363</f>
        <v>-128748.27</v>
      </c>
      <c r="I363" s="2"/>
    </row>
    <row r="364" spans="1:9" x14ac:dyDescent="0.25">
      <c r="A364" s="41"/>
      <c r="B364" s="41"/>
      <c r="C364" s="3" t="s">
        <v>53</v>
      </c>
      <c r="D364" s="5">
        <v>-33753</v>
      </c>
      <c r="E364" s="42">
        <v>0</v>
      </c>
      <c r="F364" s="5">
        <v>-5367.07</v>
      </c>
      <c r="G364" s="5">
        <f t="shared" si="203"/>
        <v>-5367.07</v>
      </c>
      <c r="I364" s="2"/>
    </row>
    <row r="365" spans="1:9" s="39" customFormat="1" x14ac:dyDescent="0.25">
      <c r="A365" s="41"/>
      <c r="B365" s="41"/>
      <c r="C365" s="41" t="s">
        <v>121</v>
      </c>
      <c r="D365" s="42">
        <v>-17135</v>
      </c>
      <c r="E365" s="42">
        <f>D365</f>
        <v>-17135</v>
      </c>
      <c r="F365" s="42">
        <v>-34281.24</v>
      </c>
      <c r="G365" s="42">
        <f>F365-E365</f>
        <v>-17146.239999999998</v>
      </c>
      <c r="H365" s="25"/>
      <c r="I365" s="2"/>
    </row>
    <row r="366" spans="1:9" x14ac:dyDescent="0.25">
      <c r="A366" s="41"/>
      <c r="B366" s="41" t="s">
        <v>129</v>
      </c>
      <c r="C366" s="41"/>
      <c r="D366" s="42">
        <f>SUM(D368:D371)</f>
        <v>-118053784</v>
      </c>
      <c r="E366" s="42">
        <f>SUM(E367:E371)</f>
        <v>-118276097.67999998</v>
      </c>
      <c r="F366" s="42">
        <f>SUM(F368:F372)</f>
        <v>-118095742.63</v>
      </c>
      <c r="G366" s="42">
        <f>F366-E366</f>
        <v>180355.04999998212</v>
      </c>
      <c r="I366" s="2"/>
    </row>
    <row r="367" spans="1:9" x14ac:dyDescent="0.25">
      <c r="A367" s="41"/>
      <c r="B367" s="41"/>
      <c r="C367" s="3" t="s">
        <v>193</v>
      </c>
      <c r="D367" s="42">
        <v>0</v>
      </c>
      <c r="E367" s="5">
        <f>E382+E388</f>
        <v>-116699810.30999999</v>
      </c>
      <c r="F367" s="5">
        <v>0</v>
      </c>
      <c r="G367" s="5">
        <f t="shared" ref="G367" si="204">F367-E367</f>
        <v>116699810.30999999</v>
      </c>
      <c r="I367" s="2"/>
    </row>
    <row r="368" spans="1:9" x14ac:dyDescent="0.25">
      <c r="A368" s="3"/>
      <c r="B368" s="3"/>
      <c r="C368" s="3" t="s">
        <v>52</v>
      </c>
      <c r="D368" s="5">
        <f>D374+D383</f>
        <v>-1572122</v>
      </c>
      <c r="E368" s="5">
        <f t="shared" ref="E368" si="205">E374+E383</f>
        <v>-1153883.1000000001</v>
      </c>
      <c r="F368" s="5">
        <f>F374+F383+F389</f>
        <v>-1787001.2300000002</v>
      </c>
      <c r="G368" s="5">
        <f t="shared" ref="G368:G372" si="206">F368-E368</f>
        <v>-633118.13000000012</v>
      </c>
      <c r="I368" s="2"/>
    </row>
    <row r="369" spans="1:9" x14ac:dyDescent="0.25">
      <c r="A369" s="3"/>
      <c r="B369" s="3"/>
      <c r="C369" s="3" t="s">
        <v>53</v>
      </c>
      <c r="D369" s="5">
        <f>D375+D384</f>
        <v>-299096</v>
      </c>
      <c r="E369" s="5">
        <f t="shared" ref="E369" si="207">E375+E384</f>
        <v>-260757.17</v>
      </c>
      <c r="F369" s="5">
        <f>F375+F384+F390</f>
        <v>-393363.77</v>
      </c>
      <c r="G369" s="5">
        <f t="shared" si="206"/>
        <v>-132606.6</v>
      </c>
      <c r="I369" s="2"/>
    </row>
    <row r="370" spans="1:9" x14ac:dyDescent="0.25">
      <c r="A370" s="3"/>
      <c r="B370" s="3"/>
      <c r="C370" s="3" t="s">
        <v>113</v>
      </c>
      <c r="D370" s="5">
        <f>D376+D385</f>
        <v>-116021037</v>
      </c>
      <c r="E370" s="5">
        <f>E376+E385</f>
        <v>-118.1</v>
      </c>
      <c r="F370" s="5">
        <f>F376+F385</f>
        <v>-115784154.13</v>
      </c>
      <c r="G370" s="5">
        <f t="shared" si="206"/>
        <v>-115784036.03</v>
      </c>
      <c r="I370" s="2"/>
    </row>
    <row r="371" spans="1:9" x14ac:dyDescent="0.25">
      <c r="A371" s="3"/>
      <c r="B371" s="3"/>
      <c r="C371" s="3" t="s">
        <v>114</v>
      </c>
      <c r="D371" s="5">
        <f>D391</f>
        <v>-161529</v>
      </c>
      <c r="E371" s="5">
        <f t="shared" ref="E371" si="208">E391</f>
        <v>-161529</v>
      </c>
      <c r="F371" s="5">
        <f>F391+F377+F379+F386</f>
        <v>-105103.42</v>
      </c>
      <c r="G371" s="5">
        <f t="shared" si="206"/>
        <v>56425.58</v>
      </c>
      <c r="I371" s="2"/>
    </row>
    <row r="372" spans="1:9" x14ac:dyDescent="0.25">
      <c r="A372" s="3"/>
      <c r="B372" s="3"/>
      <c r="C372" s="3" t="s">
        <v>30</v>
      </c>
      <c r="D372" s="5">
        <v>0</v>
      </c>
      <c r="E372" s="5">
        <v>0</v>
      </c>
      <c r="F372" s="5">
        <f>F380</f>
        <v>-26120.080000000002</v>
      </c>
      <c r="G372" s="5">
        <f t="shared" si="206"/>
        <v>-26120.080000000002</v>
      </c>
      <c r="I372" s="2"/>
    </row>
    <row r="373" spans="1:9" x14ac:dyDescent="0.25">
      <c r="A373" s="41"/>
      <c r="B373" s="41"/>
      <c r="C373" s="41" t="s">
        <v>117</v>
      </c>
      <c r="D373" s="42">
        <f>SUM(D374:D376)</f>
        <v>-1152775</v>
      </c>
      <c r="E373" s="42">
        <f t="shared" ref="E373" si="209">SUM(E374:E376)</f>
        <v>-1414758.37</v>
      </c>
      <c r="F373" s="42">
        <f>SUM(F374:F377)</f>
        <v>-1283188.8800000001</v>
      </c>
      <c r="G373" s="42">
        <f>F373-E373</f>
        <v>131569.49</v>
      </c>
      <c r="I373" s="2"/>
    </row>
    <row r="374" spans="1:9" x14ac:dyDescent="0.25">
      <c r="A374" s="3"/>
      <c r="B374" s="3"/>
      <c r="C374" s="3" t="s">
        <v>52</v>
      </c>
      <c r="D374" s="5">
        <v>-945428</v>
      </c>
      <c r="E374" s="5">
        <v>-1153883.1000000001</v>
      </c>
      <c r="F374" s="5">
        <v>-1106924.8700000001</v>
      </c>
      <c r="G374" s="5">
        <f t="shared" ref="G374:G377" si="210">F374-E374</f>
        <v>46958.229999999981</v>
      </c>
      <c r="I374" s="2"/>
    </row>
    <row r="375" spans="1:9" x14ac:dyDescent="0.25">
      <c r="A375" s="3"/>
      <c r="B375" s="3"/>
      <c r="C375" s="3" t="s">
        <v>53</v>
      </c>
      <c r="D375" s="5">
        <v>-207229</v>
      </c>
      <c r="E375" s="5">
        <f>-260708.2-48.97</f>
        <v>-260757.17</v>
      </c>
      <c r="F375" s="5">
        <v>-174965.23</v>
      </c>
      <c r="G375" s="5">
        <f t="shared" si="210"/>
        <v>85791.94</v>
      </c>
      <c r="I375" s="2"/>
    </row>
    <row r="376" spans="1:9" x14ac:dyDescent="0.25">
      <c r="A376" s="3"/>
      <c r="B376" s="3"/>
      <c r="C376" s="3" t="s">
        <v>113</v>
      </c>
      <c r="D376" s="5">
        <v>-118</v>
      </c>
      <c r="E376" s="5">
        <v>-118.1</v>
      </c>
      <c r="F376" s="5">
        <v>-118.1</v>
      </c>
      <c r="G376" s="5">
        <f t="shared" si="210"/>
        <v>0</v>
      </c>
      <c r="I376" s="2"/>
    </row>
    <row r="377" spans="1:9" x14ac:dyDescent="0.25">
      <c r="A377" s="3"/>
      <c r="B377" s="3"/>
      <c r="C377" s="3" t="s">
        <v>54</v>
      </c>
      <c r="D377" s="5">
        <v>0</v>
      </c>
      <c r="E377" s="25">
        <v>0</v>
      </c>
      <c r="F377" s="5">
        <v>-1180.68</v>
      </c>
      <c r="G377" s="5">
        <f t="shared" si="210"/>
        <v>-1180.68</v>
      </c>
      <c r="I377" s="2"/>
    </row>
    <row r="378" spans="1:9" x14ac:dyDescent="0.25">
      <c r="A378" s="3"/>
      <c r="B378" s="3"/>
      <c r="C378" s="41" t="s">
        <v>118</v>
      </c>
      <c r="D378" s="42">
        <f>SUM(D379:D380)</f>
        <v>0</v>
      </c>
      <c r="E378" s="42">
        <f t="shared" ref="E378:F378" si="211">SUM(E379:E380)</f>
        <v>0</v>
      </c>
      <c r="F378" s="42">
        <f t="shared" si="211"/>
        <v>-26099.75</v>
      </c>
      <c r="G378" s="42">
        <f>F378-E378</f>
        <v>-26099.75</v>
      </c>
      <c r="I378" s="2"/>
    </row>
    <row r="379" spans="1:9" x14ac:dyDescent="0.25">
      <c r="A379" s="3"/>
      <c r="B379" s="3"/>
      <c r="C379" s="3" t="s">
        <v>114</v>
      </c>
      <c r="D379" s="5">
        <v>0</v>
      </c>
      <c r="E379" s="5">
        <v>0</v>
      </c>
      <c r="F379" s="5">
        <v>20.329999999999998</v>
      </c>
      <c r="G379" s="5">
        <f t="shared" ref="G379:G380" si="212">F379-E379</f>
        <v>20.329999999999998</v>
      </c>
      <c r="I379" s="2"/>
    </row>
    <row r="380" spans="1:9" x14ac:dyDescent="0.25">
      <c r="A380" s="3"/>
      <c r="B380" s="3"/>
      <c r="C380" s="3" t="s">
        <v>30</v>
      </c>
      <c r="D380" s="5">
        <v>0</v>
      </c>
      <c r="E380" s="5">
        <v>0</v>
      </c>
      <c r="F380" s="5">
        <v>-26120.080000000002</v>
      </c>
      <c r="G380" s="5">
        <f t="shared" si="212"/>
        <v>-26120.080000000002</v>
      </c>
      <c r="I380" s="2"/>
    </row>
    <row r="381" spans="1:9" x14ac:dyDescent="0.25">
      <c r="A381" s="41"/>
      <c r="B381" s="41"/>
      <c r="C381" s="41" t="s">
        <v>119</v>
      </c>
      <c r="D381" s="42">
        <f>SUM(D383:D385)</f>
        <v>-116739480</v>
      </c>
      <c r="E381" s="42">
        <f>E382</f>
        <v>-116699030.45999999</v>
      </c>
      <c r="F381" s="42">
        <f>SUM(F383:F386)</f>
        <v>-116681857.3</v>
      </c>
      <c r="G381" s="42">
        <f>F381-E381</f>
        <v>17173.159999996424</v>
      </c>
      <c r="I381" s="2"/>
    </row>
    <row r="382" spans="1:9" x14ac:dyDescent="0.25">
      <c r="A382" s="41"/>
      <c r="B382" s="41"/>
      <c r="C382" s="3" t="s">
        <v>193</v>
      </c>
      <c r="D382" s="42">
        <v>0</v>
      </c>
      <c r="E382" s="5">
        <v>-116699030.45999999</v>
      </c>
      <c r="F382" s="25">
        <v>0</v>
      </c>
      <c r="G382" s="5">
        <f t="shared" ref="G382" si="213">F382-E382</f>
        <v>116699030.45999999</v>
      </c>
      <c r="I382" s="2"/>
    </row>
    <row r="383" spans="1:9" x14ac:dyDescent="0.25">
      <c r="A383" s="3"/>
      <c r="B383" s="3"/>
      <c r="C383" s="3" t="s">
        <v>52</v>
      </c>
      <c r="D383" s="5">
        <v>-626694</v>
      </c>
      <c r="E383" s="5">
        <v>0</v>
      </c>
      <c r="F383" s="5">
        <v>-679677.58</v>
      </c>
      <c r="G383" s="5">
        <f t="shared" ref="G383:G386" si="214">F383-E383</f>
        <v>-679677.58</v>
      </c>
      <c r="I383" s="2"/>
    </row>
    <row r="384" spans="1:9" x14ac:dyDescent="0.25">
      <c r="A384" s="41"/>
      <c r="B384" s="41"/>
      <c r="C384" s="3" t="s">
        <v>53</v>
      </c>
      <c r="D384" s="5">
        <v>-91867</v>
      </c>
      <c r="E384" s="5">
        <v>0</v>
      </c>
      <c r="F384" s="5">
        <v>-218017.47</v>
      </c>
      <c r="G384" s="5">
        <f t="shared" si="214"/>
        <v>-218017.47</v>
      </c>
      <c r="I384" s="2"/>
    </row>
    <row r="385" spans="1:9" x14ac:dyDescent="0.25">
      <c r="A385" s="41"/>
      <c r="B385" s="41"/>
      <c r="C385" s="3" t="s">
        <v>113</v>
      </c>
      <c r="D385" s="5">
        <v>-116020919</v>
      </c>
      <c r="E385" s="5">
        <v>0</v>
      </c>
      <c r="F385" s="5">
        <v>-115784036.03</v>
      </c>
      <c r="G385" s="5">
        <f t="shared" si="214"/>
        <v>-115784036.03</v>
      </c>
      <c r="I385" s="2"/>
    </row>
    <row r="386" spans="1:9" x14ac:dyDescent="0.25">
      <c r="A386" s="41"/>
      <c r="B386" s="41"/>
      <c r="C386" s="3" t="s">
        <v>54</v>
      </c>
      <c r="D386" s="5">
        <v>0</v>
      </c>
      <c r="E386" s="25">
        <v>0</v>
      </c>
      <c r="F386" s="5">
        <v>-126.22</v>
      </c>
      <c r="G386" s="5">
        <f t="shared" si="214"/>
        <v>-126.22</v>
      </c>
      <c r="I386" s="2"/>
    </row>
    <row r="387" spans="1:9" x14ac:dyDescent="0.25">
      <c r="A387" s="41"/>
      <c r="B387" s="41"/>
      <c r="C387" s="41" t="s">
        <v>120</v>
      </c>
      <c r="D387" s="42">
        <f>SUM(D388:D389)</f>
        <v>0</v>
      </c>
      <c r="E387" s="42">
        <f>SUM(E388:E390)</f>
        <v>-779.85</v>
      </c>
      <c r="F387" s="42">
        <f>SUM(F388:F390)</f>
        <v>-779.84999999999991</v>
      </c>
      <c r="G387" s="42">
        <f>F387-E387</f>
        <v>0</v>
      </c>
      <c r="I387" s="2"/>
    </row>
    <row r="388" spans="1:9" x14ac:dyDescent="0.25">
      <c r="A388" s="41"/>
      <c r="B388" s="41"/>
      <c r="C388" s="3" t="s">
        <v>193</v>
      </c>
      <c r="D388" s="5">
        <v>0</v>
      </c>
      <c r="E388" s="5">
        <v>-779.85</v>
      </c>
      <c r="F388" s="5">
        <v>0</v>
      </c>
      <c r="G388" s="5">
        <f t="shared" ref="G388:G390" si="215">F388-E388</f>
        <v>779.85</v>
      </c>
      <c r="I388" s="2"/>
    </row>
    <row r="389" spans="1:9" x14ac:dyDescent="0.25">
      <c r="A389" s="41"/>
      <c r="B389" s="41"/>
      <c r="C389" s="3" t="s">
        <v>52</v>
      </c>
      <c r="D389" s="5">
        <v>0</v>
      </c>
      <c r="E389" s="5">
        <v>0</v>
      </c>
      <c r="F389" s="5">
        <v>-398.78</v>
      </c>
      <c r="G389" s="5">
        <f t="shared" si="215"/>
        <v>-398.78</v>
      </c>
      <c r="I389" s="2"/>
    </row>
    <row r="390" spans="1:9" x14ac:dyDescent="0.25">
      <c r="A390" s="41"/>
      <c r="B390" s="41"/>
      <c r="C390" s="3" t="s">
        <v>53</v>
      </c>
      <c r="D390" s="5">
        <v>0</v>
      </c>
      <c r="E390" s="5">
        <v>0</v>
      </c>
      <c r="F390" s="5">
        <v>-381.07</v>
      </c>
      <c r="G390" s="5">
        <f t="shared" si="215"/>
        <v>-381.07</v>
      </c>
      <c r="I390" s="2"/>
    </row>
    <row r="391" spans="1:9" s="39" customFormat="1" x14ac:dyDescent="0.25">
      <c r="A391" s="41"/>
      <c r="B391" s="41"/>
      <c r="C391" s="41" t="s">
        <v>121</v>
      </c>
      <c r="D391" s="42">
        <v>-161529</v>
      </c>
      <c r="E391" s="42">
        <f>D391</f>
        <v>-161529</v>
      </c>
      <c r="F391" s="5">
        <v>-103816.85</v>
      </c>
      <c r="G391" s="42">
        <f>F391-E391</f>
        <v>57712.149999999994</v>
      </c>
      <c r="H391" s="25"/>
      <c r="I391" s="2"/>
    </row>
    <row r="392" spans="1:9" x14ac:dyDescent="0.25">
      <c r="A392" s="41"/>
      <c r="B392" s="41" t="s">
        <v>196</v>
      </c>
      <c r="C392" s="41"/>
      <c r="D392" s="42">
        <f>SUM(D394:D396)</f>
        <v>-129585</v>
      </c>
      <c r="E392" s="42">
        <f>SUM(E393:E396)</f>
        <v>-159781.18</v>
      </c>
      <c r="F392" s="42">
        <f>SUM(F393:F396)</f>
        <v>-122308.99000000002</v>
      </c>
      <c r="G392" s="42">
        <f>F392-E392</f>
        <v>37472.189999999973</v>
      </c>
      <c r="I392" s="2"/>
    </row>
    <row r="393" spans="1:9" x14ac:dyDescent="0.25">
      <c r="A393" s="41"/>
      <c r="B393" s="41"/>
      <c r="C393" s="3" t="s">
        <v>193</v>
      </c>
      <c r="D393" s="42">
        <v>0</v>
      </c>
      <c r="E393" s="5">
        <f>E404</f>
        <v>-67414.23</v>
      </c>
      <c r="F393" s="5">
        <v>0</v>
      </c>
      <c r="G393" s="5">
        <f t="shared" ref="G393" si="216">F393-E393</f>
        <v>67414.23</v>
      </c>
      <c r="I393" s="2"/>
    </row>
    <row r="394" spans="1:9" x14ac:dyDescent="0.25">
      <c r="A394" s="3"/>
      <c r="B394" s="3"/>
      <c r="C394" s="3" t="s">
        <v>52</v>
      </c>
      <c r="D394" s="5">
        <f>D398+D405</f>
        <v>-77801</v>
      </c>
      <c r="E394" s="5">
        <f>E398+E405</f>
        <v>-50167.29</v>
      </c>
      <c r="F394" s="5">
        <f>F398+F405</f>
        <v>-82459.290000000008</v>
      </c>
      <c r="G394" s="5">
        <f t="shared" ref="G394:G396" si="217">F394-E394</f>
        <v>-32292.000000000007</v>
      </c>
      <c r="I394" s="2"/>
    </row>
    <row r="395" spans="1:9" x14ac:dyDescent="0.25">
      <c r="A395" s="3"/>
      <c r="B395" s="3"/>
      <c r="C395" s="3" t="s">
        <v>53</v>
      </c>
      <c r="D395" s="5">
        <f>D399+D402+D406</f>
        <v>-43068</v>
      </c>
      <c r="E395" s="5">
        <f>E399+E402+E406</f>
        <v>-33483.660000000003</v>
      </c>
      <c r="F395" s="5">
        <f>F399+F402+F406</f>
        <v>-30965.32</v>
      </c>
      <c r="G395" s="5">
        <f t="shared" si="217"/>
        <v>2518.3400000000038</v>
      </c>
      <c r="I395" s="2"/>
    </row>
    <row r="396" spans="1:9" x14ac:dyDescent="0.25">
      <c r="A396" s="3"/>
      <c r="B396" s="3"/>
      <c r="C396" s="3" t="s">
        <v>114</v>
      </c>
      <c r="D396" s="5">
        <f>D408</f>
        <v>-8716</v>
      </c>
      <c r="E396" s="5">
        <f>E408</f>
        <v>-8716</v>
      </c>
      <c r="F396" s="5">
        <f>F408+F407+F400</f>
        <v>-8884.380000000001</v>
      </c>
      <c r="G396" s="5">
        <f t="shared" si="217"/>
        <v>-168.38000000000102</v>
      </c>
      <c r="I396" s="2"/>
    </row>
    <row r="397" spans="1:9" x14ac:dyDescent="0.25">
      <c r="A397" s="41"/>
      <c r="B397" s="41"/>
      <c r="C397" s="41" t="s">
        <v>117</v>
      </c>
      <c r="D397" s="42">
        <f>SUM(D398:D399)</f>
        <v>-83372</v>
      </c>
      <c r="E397" s="42">
        <f>SUM(E398:E399)</f>
        <v>-83650.950000000012</v>
      </c>
      <c r="F397" s="42">
        <f>SUM(F398:F400)</f>
        <v>-74567.039999999994</v>
      </c>
      <c r="G397" s="42">
        <f>F397-E397</f>
        <v>9083.910000000018</v>
      </c>
      <c r="I397" s="2"/>
    </row>
    <row r="398" spans="1:9" x14ac:dyDescent="0.25">
      <c r="A398" s="3"/>
      <c r="B398" s="3"/>
      <c r="C398" s="3" t="s">
        <v>52</v>
      </c>
      <c r="D398" s="5">
        <v>-50167</v>
      </c>
      <c r="E398" s="5">
        <v>-50167.29</v>
      </c>
      <c r="F398" s="5">
        <v>-49361.14</v>
      </c>
      <c r="G398" s="5">
        <f t="shared" ref="G398:G400" si="218">F398-E398</f>
        <v>806.15000000000146</v>
      </c>
      <c r="I398" s="2"/>
    </row>
    <row r="399" spans="1:9" x14ac:dyDescent="0.25">
      <c r="A399" s="3"/>
      <c r="B399" s="3"/>
      <c r="C399" s="3" t="s">
        <v>53</v>
      </c>
      <c r="D399" s="5">
        <v>-33205</v>
      </c>
      <c r="E399" s="5">
        <f>-33204.83-278.83</f>
        <v>-33483.660000000003</v>
      </c>
      <c r="F399" s="5">
        <v>-25167.23</v>
      </c>
      <c r="G399" s="5">
        <f t="shared" si="218"/>
        <v>8316.4300000000039</v>
      </c>
      <c r="I399" s="2"/>
    </row>
    <row r="400" spans="1:9" x14ac:dyDescent="0.25">
      <c r="A400" s="3"/>
      <c r="B400" s="3"/>
      <c r="C400" s="3" t="s">
        <v>54</v>
      </c>
      <c r="D400" s="5">
        <v>0</v>
      </c>
      <c r="E400" s="25">
        <v>0</v>
      </c>
      <c r="F400" s="5">
        <v>-38.67</v>
      </c>
      <c r="G400" s="5">
        <f t="shared" si="218"/>
        <v>-38.67</v>
      </c>
      <c r="I400" s="2"/>
    </row>
    <row r="401" spans="1:9" x14ac:dyDescent="0.25">
      <c r="A401" s="41"/>
      <c r="B401" s="41"/>
      <c r="C401" s="41" t="s">
        <v>119</v>
      </c>
      <c r="D401" s="42">
        <f>SUM(D402:D402)</f>
        <v>-1199</v>
      </c>
      <c r="E401" s="42">
        <f>SUM(E402:E402)</f>
        <v>0</v>
      </c>
      <c r="F401" s="42">
        <f>SUM(F402:F402)</f>
        <v>0</v>
      </c>
      <c r="G401" s="42">
        <f>F401-E401</f>
        <v>0</v>
      </c>
      <c r="I401" s="2"/>
    </row>
    <row r="402" spans="1:9" x14ac:dyDescent="0.25">
      <c r="A402" s="41"/>
      <c r="B402" s="41"/>
      <c r="C402" s="3" t="s">
        <v>53</v>
      </c>
      <c r="D402" s="5">
        <v>-1199</v>
      </c>
      <c r="E402" s="5">
        <v>0</v>
      </c>
      <c r="F402" s="42">
        <v>0</v>
      </c>
      <c r="G402" s="5">
        <f t="shared" ref="G402" si="219">F402-E402</f>
        <v>0</v>
      </c>
      <c r="I402" s="2"/>
    </row>
    <row r="403" spans="1:9" x14ac:dyDescent="0.25">
      <c r="A403" s="41"/>
      <c r="B403" s="41"/>
      <c r="C403" s="41" t="s">
        <v>120</v>
      </c>
      <c r="D403" s="42">
        <f>SUM(D405:D406)</f>
        <v>-36298</v>
      </c>
      <c r="E403" s="42">
        <f>E404</f>
        <v>-67414.23</v>
      </c>
      <c r="F403" s="42">
        <f>SUM(F405:F406)</f>
        <v>-38896.240000000005</v>
      </c>
      <c r="G403" s="42">
        <f>F403-E403</f>
        <v>28517.989999999991</v>
      </c>
      <c r="I403" s="2"/>
    </row>
    <row r="404" spans="1:9" x14ac:dyDescent="0.25">
      <c r="A404" s="41"/>
      <c r="B404" s="41"/>
      <c r="C404" s="3" t="s">
        <v>193</v>
      </c>
      <c r="D404" s="5">
        <v>0</v>
      </c>
      <c r="E404" s="5">
        <v>-67414.23</v>
      </c>
      <c r="F404" s="5"/>
      <c r="G404" s="5">
        <f t="shared" ref="G404" si="220">F404-E404</f>
        <v>67414.23</v>
      </c>
      <c r="I404" s="2"/>
    </row>
    <row r="405" spans="1:9" x14ac:dyDescent="0.25">
      <c r="A405" s="3"/>
      <c r="B405" s="3"/>
      <c r="C405" s="3" t="s">
        <v>52</v>
      </c>
      <c r="D405" s="5">
        <v>-27634</v>
      </c>
      <c r="E405" s="5">
        <v>0</v>
      </c>
      <c r="F405" s="5">
        <v>-33098.15</v>
      </c>
      <c r="G405" s="5">
        <f t="shared" ref="G405:G407" si="221">F405-E405</f>
        <v>-33098.15</v>
      </c>
      <c r="I405" s="2"/>
    </row>
    <row r="406" spans="1:9" x14ac:dyDescent="0.25">
      <c r="A406" s="41"/>
      <c r="B406" s="41"/>
      <c r="C406" s="3" t="s">
        <v>53</v>
      </c>
      <c r="D406" s="5">
        <v>-8664</v>
      </c>
      <c r="E406" s="5">
        <v>0</v>
      </c>
      <c r="F406" s="5">
        <v>-5798.09</v>
      </c>
      <c r="G406" s="5">
        <f t="shared" si="221"/>
        <v>-5798.09</v>
      </c>
      <c r="I406" s="2"/>
    </row>
    <row r="407" spans="1:9" x14ac:dyDescent="0.25">
      <c r="A407" s="41"/>
      <c r="B407" s="41"/>
      <c r="C407" s="3" t="s">
        <v>54</v>
      </c>
      <c r="D407" s="5">
        <v>0</v>
      </c>
      <c r="E407" s="5"/>
      <c r="F407" s="5">
        <v>-0.6</v>
      </c>
      <c r="G407" s="5">
        <f t="shared" si="221"/>
        <v>-0.6</v>
      </c>
      <c r="I407" s="2"/>
    </row>
    <row r="408" spans="1:9" s="39" customFormat="1" x14ac:dyDescent="0.25">
      <c r="A408" s="41"/>
      <c r="B408" s="41"/>
      <c r="C408" s="41" t="s">
        <v>121</v>
      </c>
      <c r="D408" s="42">
        <v>-8716</v>
      </c>
      <c r="E408" s="42">
        <f>D408</f>
        <v>-8716</v>
      </c>
      <c r="F408" s="5">
        <v>-8845.11</v>
      </c>
      <c r="G408" s="42">
        <f>F408-E408</f>
        <v>-129.11000000000058</v>
      </c>
      <c r="H408" s="25"/>
      <c r="I408" s="2"/>
    </row>
    <row r="409" spans="1:9" x14ac:dyDescent="0.25">
      <c r="A409" s="41"/>
      <c r="B409" s="41" t="s">
        <v>143</v>
      </c>
      <c r="C409" s="41"/>
      <c r="D409" s="42">
        <f>SUM(D410:D413)</f>
        <v>-144520</v>
      </c>
      <c r="E409" s="42">
        <f>SUM(E410:E413)</f>
        <v>-168771.92</v>
      </c>
      <c r="F409" s="42">
        <f>SUM(F410:F413)</f>
        <v>-147246.45000000001</v>
      </c>
      <c r="G409" s="42">
        <f>F409-E409</f>
        <v>21525.47</v>
      </c>
      <c r="I409" s="2"/>
    </row>
    <row r="410" spans="1:9" x14ac:dyDescent="0.25">
      <c r="A410" s="41"/>
      <c r="B410" s="41"/>
      <c r="C410" s="3" t="s">
        <v>193</v>
      </c>
      <c r="D410" s="42">
        <v>0</v>
      </c>
      <c r="E410" s="5">
        <f>E420+E424</f>
        <v>-39317.51</v>
      </c>
      <c r="F410" s="25"/>
      <c r="G410" s="5">
        <f t="shared" ref="G410" si="222">F410-E410</f>
        <v>39317.51</v>
      </c>
      <c r="I410" s="2"/>
    </row>
    <row r="411" spans="1:9" x14ac:dyDescent="0.25">
      <c r="A411" s="3"/>
      <c r="B411" s="3"/>
      <c r="C411" s="3" t="s">
        <v>52</v>
      </c>
      <c r="D411" s="5">
        <f>D415+D425</f>
        <v>-124879</v>
      </c>
      <c r="E411" s="5">
        <f t="shared" ref="E411" si="223">E415+E425</f>
        <v>-112920.68</v>
      </c>
      <c r="F411" s="5">
        <f>F415+F425+F421</f>
        <v>-128512.87</v>
      </c>
      <c r="G411" s="5">
        <f t="shared" ref="G411:G413" si="224">F411-E411</f>
        <v>-15592.190000000002</v>
      </c>
      <c r="I411" s="2"/>
    </row>
    <row r="412" spans="1:9" x14ac:dyDescent="0.25">
      <c r="A412" s="3"/>
      <c r="B412" s="3"/>
      <c r="C412" s="3" t="s">
        <v>53</v>
      </c>
      <c r="D412" s="5">
        <f>D416+D426</f>
        <v>-19641</v>
      </c>
      <c r="E412" s="5">
        <f t="shared" ref="E412" si="225">E416+E426</f>
        <v>-16533.73</v>
      </c>
      <c r="F412" s="5">
        <f>F416+F426+F422</f>
        <v>-18769.39</v>
      </c>
      <c r="G412" s="5">
        <f t="shared" si="224"/>
        <v>-2235.66</v>
      </c>
      <c r="I412" s="2"/>
    </row>
    <row r="413" spans="1:9" x14ac:dyDescent="0.25">
      <c r="A413" s="3"/>
      <c r="B413" s="3"/>
      <c r="C413" s="3" t="s">
        <v>114</v>
      </c>
      <c r="D413" s="5">
        <v>0</v>
      </c>
      <c r="E413" s="5">
        <f>E425</f>
        <v>0</v>
      </c>
      <c r="F413" s="5">
        <f>F418+F427</f>
        <v>35.81</v>
      </c>
      <c r="G413" s="5">
        <f t="shared" si="224"/>
        <v>35.81</v>
      </c>
      <c r="I413" s="2"/>
    </row>
    <row r="414" spans="1:9" x14ac:dyDescent="0.25">
      <c r="A414" s="41"/>
      <c r="B414" s="41"/>
      <c r="C414" s="41" t="s">
        <v>117</v>
      </c>
      <c r="D414" s="42">
        <f>SUM(D415:D416)</f>
        <v>-129099</v>
      </c>
      <c r="E414" s="42">
        <f>SUM(E415:E416)</f>
        <v>-129454.40999999999</v>
      </c>
      <c r="F414" s="42">
        <f>SUM(F415:F416)</f>
        <v>-129399.88</v>
      </c>
      <c r="G414" s="42">
        <f>F414-E414</f>
        <v>54.529999999984284</v>
      </c>
      <c r="I414" s="2"/>
    </row>
    <row r="415" spans="1:9" x14ac:dyDescent="0.25">
      <c r="A415" s="3"/>
      <c r="B415" s="3"/>
      <c r="C415" s="3" t="s">
        <v>52</v>
      </c>
      <c r="D415" s="5">
        <v>-114103</v>
      </c>
      <c r="E415" s="5">
        <v>-112920.68</v>
      </c>
      <c r="F415" s="5">
        <v>-114859.71</v>
      </c>
      <c r="G415" s="5">
        <f t="shared" ref="G415:G416" si="226">F415-E415</f>
        <v>-1939.0300000000134</v>
      </c>
      <c r="I415" s="2"/>
    </row>
    <row r="416" spans="1:9" x14ac:dyDescent="0.25">
      <c r="A416" s="3"/>
      <c r="B416" s="3"/>
      <c r="C416" s="3" t="s">
        <v>53</v>
      </c>
      <c r="D416" s="5">
        <v>-14996</v>
      </c>
      <c r="E416" s="5">
        <f>-16225.33-308.4</f>
        <v>-16533.73</v>
      </c>
      <c r="F416" s="5">
        <v>-14540.17</v>
      </c>
      <c r="G416" s="5">
        <f t="shared" si="226"/>
        <v>1993.5599999999995</v>
      </c>
      <c r="I416" s="2"/>
    </row>
    <row r="417" spans="1:9" x14ac:dyDescent="0.25">
      <c r="A417" s="3"/>
      <c r="B417" s="3"/>
      <c r="C417" s="41" t="s">
        <v>118</v>
      </c>
      <c r="D417" s="42">
        <v>0</v>
      </c>
      <c r="E417" s="42">
        <v>0</v>
      </c>
      <c r="F417" s="42">
        <f>F418</f>
        <v>348.5</v>
      </c>
      <c r="G417" s="42">
        <f>F417-E417</f>
        <v>348.5</v>
      </c>
      <c r="I417" s="2"/>
    </row>
    <row r="418" spans="1:9" x14ac:dyDescent="0.25">
      <c r="A418" s="3"/>
      <c r="B418" s="3"/>
      <c r="C418" s="3" t="s">
        <v>114</v>
      </c>
      <c r="D418" s="5">
        <v>0</v>
      </c>
      <c r="E418" s="5">
        <v>0</v>
      </c>
      <c r="F418" s="5">
        <v>348.5</v>
      </c>
      <c r="G418" s="5">
        <f t="shared" ref="G418" si="227">F418-E418</f>
        <v>348.5</v>
      </c>
      <c r="I418" s="2"/>
    </row>
    <row r="419" spans="1:9" x14ac:dyDescent="0.25">
      <c r="A419" s="3"/>
      <c r="B419" s="3"/>
      <c r="C419" s="41" t="s">
        <v>119</v>
      </c>
      <c r="D419" s="42">
        <v>0</v>
      </c>
      <c r="E419" s="42">
        <f>E420</f>
        <v>-1403.62</v>
      </c>
      <c r="F419" s="42">
        <f>SUM(F421:F422)</f>
        <v>-1265.05</v>
      </c>
      <c r="G419" s="42">
        <f>F419-E419</f>
        <v>138.56999999999994</v>
      </c>
      <c r="I419" s="2"/>
    </row>
    <row r="420" spans="1:9" x14ac:dyDescent="0.25">
      <c r="A420" s="3"/>
      <c r="B420" s="3"/>
      <c r="C420" s="3" t="s">
        <v>193</v>
      </c>
      <c r="D420" s="42">
        <v>0</v>
      </c>
      <c r="E420" s="5">
        <v>-1403.62</v>
      </c>
      <c r="F420" s="25">
        <v>0</v>
      </c>
      <c r="G420" s="5">
        <f t="shared" ref="G420:G422" si="228">F420-E420</f>
        <v>1403.62</v>
      </c>
      <c r="I420" s="2"/>
    </row>
    <row r="421" spans="1:9" x14ac:dyDescent="0.25">
      <c r="A421" s="3"/>
      <c r="B421" s="3"/>
      <c r="C421" s="3" t="s">
        <v>52</v>
      </c>
      <c r="D421" s="5">
        <v>0</v>
      </c>
      <c r="E421" s="5">
        <v>0</v>
      </c>
      <c r="F421" s="5">
        <v>-632.62</v>
      </c>
      <c r="G421" s="5">
        <f t="shared" si="228"/>
        <v>-632.62</v>
      </c>
      <c r="I421" s="2"/>
    </row>
    <row r="422" spans="1:9" x14ac:dyDescent="0.25">
      <c r="A422" s="3"/>
      <c r="B422" s="3"/>
      <c r="C422" s="3" t="s">
        <v>53</v>
      </c>
      <c r="D422" s="5">
        <v>0</v>
      </c>
      <c r="E422" s="5">
        <v>0</v>
      </c>
      <c r="F422" s="5">
        <v>-632.42999999999995</v>
      </c>
      <c r="G422" s="5">
        <f t="shared" si="228"/>
        <v>-632.42999999999995</v>
      </c>
      <c r="I422" s="2"/>
    </row>
    <row r="423" spans="1:9" x14ac:dyDescent="0.25">
      <c r="A423" s="41"/>
      <c r="B423" s="41"/>
      <c r="C423" s="41" t="s">
        <v>120</v>
      </c>
      <c r="D423" s="42">
        <f>SUM(D425:D426)</f>
        <v>-15421</v>
      </c>
      <c r="E423" s="42">
        <f>E424</f>
        <v>-37913.89</v>
      </c>
      <c r="F423" s="42">
        <f>SUM(F425:F427)</f>
        <v>-16930.02</v>
      </c>
      <c r="G423" s="42">
        <f>F423-E423</f>
        <v>20983.87</v>
      </c>
      <c r="I423" s="2"/>
    </row>
    <row r="424" spans="1:9" x14ac:dyDescent="0.25">
      <c r="A424" s="41"/>
      <c r="B424" s="41"/>
      <c r="C424" s="3" t="s">
        <v>193</v>
      </c>
      <c r="D424" s="42">
        <v>0</v>
      </c>
      <c r="E424" s="5">
        <v>-37913.89</v>
      </c>
      <c r="F424" s="25">
        <v>0</v>
      </c>
      <c r="G424" s="5">
        <f t="shared" ref="G424" si="229">F424-E424</f>
        <v>37913.89</v>
      </c>
      <c r="I424" s="2"/>
    </row>
    <row r="425" spans="1:9" x14ac:dyDescent="0.25">
      <c r="A425" s="3"/>
      <c r="B425" s="3"/>
      <c r="C425" s="3" t="s">
        <v>52</v>
      </c>
      <c r="D425" s="5">
        <v>-10776</v>
      </c>
      <c r="E425" s="5">
        <v>0</v>
      </c>
      <c r="F425" s="5">
        <v>-13020.54</v>
      </c>
      <c r="G425" s="5">
        <f t="shared" ref="G425:G448" si="230">F425-E425</f>
        <v>-13020.54</v>
      </c>
      <c r="I425" s="2"/>
    </row>
    <row r="426" spans="1:9" x14ac:dyDescent="0.25">
      <c r="A426" s="41"/>
      <c r="B426" s="41"/>
      <c r="C426" s="3" t="s">
        <v>53</v>
      </c>
      <c r="D426" s="5">
        <v>-4645</v>
      </c>
      <c r="E426" s="5">
        <v>0</v>
      </c>
      <c r="F426" s="5">
        <v>-3596.79</v>
      </c>
      <c r="G426" s="5">
        <f t="shared" si="230"/>
        <v>-3596.79</v>
      </c>
      <c r="I426" s="2"/>
    </row>
    <row r="427" spans="1:9" x14ac:dyDescent="0.25">
      <c r="A427" s="41"/>
      <c r="B427" s="41"/>
      <c r="C427" s="3" t="s">
        <v>54</v>
      </c>
      <c r="D427" s="5">
        <v>0</v>
      </c>
      <c r="E427" s="5">
        <v>0</v>
      </c>
      <c r="F427" s="5">
        <v>-312.69</v>
      </c>
      <c r="G427" s="5">
        <f t="shared" si="230"/>
        <v>-312.69</v>
      </c>
      <c r="I427" s="2"/>
    </row>
    <row r="428" spans="1:9" x14ac:dyDescent="0.25">
      <c r="A428" s="41"/>
      <c r="B428" s="39" t="s">
        <v>195</v>
      </c>
      <c r="C428" s="41"/>
      <c r="D428" s="42">
        <f>SUM(D429:D432)</f>
        <v>0</v>
      </c>
      <c r="E428" s="42">
        <f t="shared" ref="E428:F428" si="231">SUM(E429:E432)</f>
        <v>-103482.44</v>
      </c>
      <c r="F428" s="42">
        <f t="shared" si="231"/>
        <v>-138877.29999999999</v>
      </c>
      <c r="G428" s="42">
        <f>F428-E428</f>
        <v>-35394.859999999986</v>
      </c>
      <c r="I428" s="2"/>
    </row>
    <row r="429" spans="1:9" x14ac:dyDescent="0.25">
      <c r="A429" s="41"/>
      <c r="B429" s="41"/>
      <c r="C429" s="3" t="s">
        <v>193</v>
      </c>
      <c r="D429" s="42">
        <v>0</v>
      </c>
      <c r="E429" s="5">
        <f>E439</f>
        <v>-4080.32</v>
      </c>
      <c r="F429" s="5">
        <v>0</v>
      </c>
      <c r="G429" s="5">
        <f t="shared" ref="G429:G432" si="232">F429-E429</f>
        <v>4080.32</v>
      </c>
      <c r="I429" s="2"/>
    </row>
    <row r="430" spans="1:9" x14ac:dyDescent="0.25">
      <c r="A430" s="41"/>
      <c r="B430" s="3"/>
      <c r="C430" s="3" t="s">
        <v>52</v>
      </c>
      <c r="D430" s="5">
        <f>D434+D440</f>
        <v>0</v>
      </c>
      <c r="E430" s="5">
        <f t="shared" ref="E430:F430" si="233">E434+E440</f>
        <v>-80669.55</v>
      </c>
      <c r="F430" s="5">
        <f t="shared" si="233"/>
        <v>-75764.69</v>
      </c>
      <c r="G430" s="5">
        <f t="shared" si="232"/>
        <v>4904.8600000000006</v>
      </c>
      <c r="I430" s="2"/>
    </row>
    <row r="431" spans="1:9" x14ac:dyDescent="0.25">
      <c r="A431" s="41"/>
      <c r="B431" s="3"/>
      <c r="C431" s="3" t="s">
        <v>53</v>
      </c>
      <c r="D431" s="5">
        <f>D435+D441</f>
        <v>0</v>
      </c>
      <c r="E431" s="5">
        <f t="shared" ref="E431:F431" si="234">E435+E441</f>
        <v>-18732.57</v>
      </c>
      <c r="F431" s="5">
        <f t="shared" si="234"/>
        <v>-9473.75</v>
      </c>
      <c r="G431" s="5">
        <f t="shared" si="232"/>
        <v>9258.82</v>
      </c>
      <c r="I431" s="2"/>
    </row>
    <row r="432" spans="1:9" x14ac:dyDescent="0.25">
      <c r="A432" s="41"/>
      <c r="B432" s="3"/>
      <c r="C432" s="3" t="s">
        <v>114</v>
      </c>
      <c r="D432" s="5">
        <f>D442+D437</f>
        <v>0</v>
      </c>
      <c r="E432" s="5">
        <f t="shared" ref="E432:F432" si="235">E442+E437</f>
        <v>0</v>
      </c>
      <c r="F432" s="5">
        <f t="shared" si="235"/>
        <v>-53638.86</v>
      </c>
      <c r="G432" s="5">
        <f t="shared" si="232"/>
        <v>-53638.86</v>
      </c>
      <c r="I432" s="2"/>
    </row>
    <row r="433" spans="1:9" x14ac:dyDescent="0.25">
      <c r="A433" s="41"/>
      <c r="B433" s="41"/>
      <c r="C433" s="41" t="s">
        <v>117</v>
      </c>
      <c r="D433" s="42">
        <f>SUM(D434:D435)</f>
        <v>0</v>
      </c>
      <c r="E433" s="42">
        <f>SUM(E434:E435)</f>
        <v>-99402.12</v>
      </c>
      <c r="F433" s="42">
        <f>SUM(F434:F435)</f>
        <v>-82506.450000000012</v>
      </c>
      <c r="G433" s="42">
        <f>F433-E433</f>
        <v>16895.669999999984</v>
      </c>
      <c r="I433" s="2"/>
    </row>
    <row r="434" spans="1:9" x14ac:dyDescent="0.25">
      <c r="A434" s="41"/>
      <c r="B434" s="3"/>
      <c r="C434" s="3" t="s">
        <v>52</v>
      </c>
      <c r="D434" s="5">
        <v>0</v>
      </c>
      <c r="E434" s="5">
        <v>-80669.55</v>
      </c>
      <c r="F434" s="5">
        <v>-73184.52</v>
      </c>
      <c r="G434" s="5">
        <f t="shared" ref="G434:G437" si="236">F434-E434</f>
        <v>7485.0299999999988</v>
      </c>
      <c r="I434" s="2"/>
    </row>
    <row r="435" spans="1:9" x14ac:dyDescent="0.25">
      <c r="A435" s="41"/>
      <c r="B435" s="3"/>
      <c r="C435" s="3" t="s">
        <v>53</v>
      </c>
      <c r="D435" s="5">
        <v>0</v>
      </c>
      <c r="E435" s="5">
        <v>-18732.57</v>
      </c>
      <c r="F435" s="5">
        <v>-9321.93</v>
      </c>
      <c r="G435" s="5">
        <f t="shared" si="236"/>
        <v>9410.64</v>
      </c>
      <c r="I435" s="2"/>
    </row>
    <row r="436" spans="1:9" x14ac:dyDescent="0.25">
      <c r="A436" s="41"/>
      <c r="B436" s="41"/>
      <c r="C436" s="41" t="s">
        <v>118</v>
      </c>
      <c r="D436" s="42">
        <f>D437</f>
        <v>0</v>
      </c>
      <c r="E436" s="42">
        <f t="shared" ref="E436:F436" si="237">E437</f>
        <v>0</v>
      </c>
      <c r="F436" s="42">
        <f t="shared" si="237"/>
        <v>0.03</v>
      </c>
      <c r="G436" s="42">
        <f t="shared" si="236"/>
        <v>0.03</v>
      </c>
      <c r="I436" s="2"/>
    </row>
    <row r="437" spans="1:9" x14ac:dyDescent="0.25">
      <c r="A437" s="41"/>
      <c r="B437" s="3"/>
      <c r="C437" s="3" t="s">
        <v>54</v>
      </c>
      <c r="D437" s="5">
        <v>0</v>
      </c>
      <c r="E437" s="5">
        <v>0</v>
      </c>
      <c r="F437" s="5">
        <v>0.03</v>
      </c>
      <c r="G437" s="5">
        <f t="shared" si="236"/>
        <v>0.03</v>
      </c>
      <c r="I437" s="2"/>
    </row>
    <row r="438" spans="1:9" x14ac:dyDescent="0.25">
      <c r="A438" s="41"/>
      <c r="B438" s="41"/>
      <c r="C438" s="41" t="s">
        <v>119</v>
      </c>
      <c r="D438" s="42">
        <f>SUM(D439:D441)</f>
        <v>0</v>
      </c>
      <c r="E438" s="42">
        <f t="shared" ref="E438:F438" si="238">SUM(E439:E441)</f>
        <v>-4080.32</v>
      </c>
      <c r="F438" s="42">
        <f t="shared" si="238"/>
        <v>-2731.9900000000002</v>
      </c>
      <c r="G438" s="42">
        <f>F438-E438</f>
        <v>1348.33</v>
      </c>
      <c r="I438" s="2"/>
    </row>
    <row r="439" spans="1:9" x14ac:dyDescent="0.25">
      <c r="A439" s="41"/>
      <c r="B439" s="41"/>
      <c r="C439" s="3" t="s">
        <v>193</v>
      </c>
      <c r="D439" s="42">
        <v>0</v>
      </c>
      <c r="E439" s="5">
        <v>-4080.32</v>
      </c>
      <c r="F439" s="5"/>
      <c r="G439" s="5">
        <f t="shared" ref="G439:G441" si="239">F439-E439</f>
        <v>4080.32</v>
      </c>
      <c r="I439" s="2"/>
    </row>
    <row r="440" spans="1:9" x14ac:dyDescent="0.25">
      <c r="A440" s="41"/>
      <c r="B440" s="3"/>
      <c r="C440" s="3" t="s">
        <v>52</v>
      </c>
      <c r="D440" s="5">
        <v>0</v>
      </c>
      <c r="E440" s="5">
        <v>0</v>
      </c>
      <c r="F440" s="5">
        <v>-2580.17</v>
      </c>
      <c r="G440" s="5">
        <f t="shared" si="239"/>
        <v>-2580.17</v>
      </c>
      <c r="I440" s="2"/>
    </row>
    <row r="441" spans="1:9" x14ac:dyDescent="0.25">
      <c r="A441" s="41"/>
      <c r="B441" s="41"/>
      <c r="C441" s="3" t="s">
        <v>53</v>
      </c>
      <c r="D441" s="5">
        <v>0</v>
      </c>
      <c r="E441" s="5">
        <v>0</v>
      </c>
      <c r="F441" s="5">
        <v>-151.82</v>
      </c>
      <c r="G441" s="5">
        <f t="shared" si="239"/>
        <v>-151.82</v>
      </c>
      <c r="I441" s="2"/>
    </row>
    <row r="442" spans="1:9" x14ac:dyDescent="0.25">
      <c r="A442" s="41"/>
      <c r="B442" s="41"/>
      <c r="C442" s="41" t="s">
        <v>121</v>
      </c>
      <c r="D442" s="42">
        <v>0</v>
      </c>
      <c r="E442" s="42">
        <f>D442</f>
        <v>0</v>
      </c>
      <c r="F442" s="42">
        <v>-53638.89</v>
      </c>
      <c r="G442" s="42">
        <f>F442-E442</f>
        <v>-53638.89</v>
      </c>
      <c r="I442" s="2"/>
    </row>
    <row r="443" spans="1:9" s="39" customFormat="1" ht="15.75" x14ac:dyDescent="0.25">
      <c r="A443" s="71" t="s">
        <v>145</v>
      </c>
      <c r="B443" s="41"/>
      <c r="C443" s="41"/>
      <c r="D443" s="42">
        <f>SUM(D444:D448)</f>
        <v>-1640511</v>
      </c>
      <c r="E443" s="42">
        <f t="shared" ref="E443" si="240">SUM(E444:E448)</f>
        <v>-1603622.03</v>
      </c>
      <c r="F443" s="42">
        <f t="shared" ref="F443" si="241">SUM(F444:F448)</f>
        <v>-1410148.23</v>
      </c>
      <c r="G443" s="42">
        <f t="shared" si="230"/>
        <v>193473.80000000005</v>
      </c>
      <c r="H443" s="25"/>
      <c r="I443" s="2"/>
    </row>
    <row r="444" spans="1:9" x14ac:dyDescent="0.25">
      <c r="A444" s="3"/>
      <c r="B444" s="3" t="s">
        <v>117</v>
      </c>
      <c r="C444" s="3"/>
      <c r="D444" s="5">
        <f>D455+D475+D500+D517</f>
        <v>-821257</v>
      </c>
      <c r="E444" s="5">
        <f>E455+E475+E500+E517+E536</f>
        <v>-920598.45</v>
      </c>
      <c r="F444" s="5">
        <f>F455+F475+F500+F517+F536</f>
        <v>-777066.5199999999</v>
      </c>
      <c r="G444" s="5">
        <f t="shared" si="230"/>
        <v>143531.93000000005</v>
      </c>
      <c r="I444" s="2"/>
    </row>
    <row r="445" spans="1:9" x14ac:dyDescent="0.25">
      <c r="A445" s="3"/>
      <c r="B445" s="3" t="s">
        <v>118</v>
      </c>
      <c r="C445" s="3"/>
      <c r="D445" s="5">
        <v>0</v>
      </c>
      <c r="E445" s="5">
        <v>0</v>
      </c>
      <c r="F445" s="5">
        <f>F460+F480+F520</f>
        <v>-760.22000000000014</v>
      </c>
      <c r="G445" s="5">
        <f t="shared" si="230"/>
        <v>-760.22000000000014</v>
      </c>
      <c r="I445" s="2"/>
    </row>
    <row r="446" spans="1:9" x14ac:dyDescent="0.25">
      <c r="A446" s="3"/>
      <c r="B446" s="3" t="s">
        <v>119</v>
      </c>
      <c r="C446" s="3"/>
      <c r="D446" s="5">
        <f>D462+D483+D504+D522</f>
        <v>-724522</v>
      </c>
      <c r="E446" s="5">
        <f>E462+E483+E504+E522+E541</f>
        <v>-572577.86</v>
      </c>
      <c r="F446" s="5">
        <f>F462+F483+F504+F522+F541</f>
        <v>-542639.44999999995</v>
      </c>
      <c r="G446" s="5">
        <f t="shared" si="230"/>
        <v>29938.410000000033</v>
      </c>
      <c r="I446" s="2"/>
    </row>
    <row r="447" spans="1:9" x14ac:dyDescent="0.25">
      <c r="A447" s="3"/>
      <c r="B447" s="3" t="s">
        <v>120</v>
      </c>
      <c r="C447" s="3"/>
      <c r="D447" s="5">
        <f>D507+D526</f>
        <v>-51037</v>
      </c>
      <c r="E447" s="5">
        <f>E490+E526+E507</f>
        <v>-66750.720000000001</v>
      </c>
      <c r="F447" s="5">
        <f>F507+F526+F490</f>
        <v>-52807.93</v>
      </c>
      <c r="G447" s="5">
        <f t="shared" si="230"/>
        <v>13942.79</v>
      </c>
      <c r="I447" s="2"/>
    </row>
    <row r="448" spans="1:9" x14ac:dyDescent="0.25">
      <c r="A448" s="3"/>
      <c r="B448" s="3" t="s">
        <v>121</v>
      </c>
      <c r="C448" s="3"/>
      <c r="D448" s="5">
        <f>D466+D494+D511</f>
        <v>-43695</v>
      </c>
      <c r="E448" s="5">
        <f t="shared" ref="E448" si="242">E466+E494+E511</f>
        <v>-43695</v>
      </c>
      <c r="F448" s="5">
        <f>F466+F494+F511+F545</f>
        <v>-36874.11</v>
      </c>
      <c r="G448" s="5">
        <f t="shared" si="230"/>
        <v>6820.8899999999994</v>
      </c>
      <c r="I448" s="2"/>
    </row>
    <row r="449" spans="1:9" x14ac:dyDescent="0.25">
      <c r="A449" s="41"/>
      <c r="B449" s="41" t="s">
        <v>87</v>
      </c>
      <c r="C449" s="41"/>
      <c r="D449" s="42">
        <f>SUM(D451:D454)</f>
        <v>-399308</v>
      </c>
      <c r="E449" s="42">
        <f>SUM(E450:E454)</f>
        <v>-459529.61</v>
      </c>
      <c r="F449" s="42">
        <f t="shared" ref="F449" si="243">SUM(F451:F454)</f>
        <v>-320571.75</v>
      </c>
      <c r="G449" s="42">
        <f>F449-E449</f>
        <v>138957.85999999999</v>
      </c>
      <c r="H449" s="88"/>
      <c r="I449" s="2"/>
    </row>
    <row r="450" spans="1:9" x14ac:dyDescent="0.25">
      <c r="A450" s="41"/>
      <c r="B450" s="41"/>
      <c r="C450" s="3" t="s">
        <v>193</v>
      </c>
      <c r="D450" s="42">
        <v>0</v>
      </c>
      <c r="E450" s="5">
        <v>-115587</v>
      </c>
      <c r="F450" s="5">
        <v>0</v>
      </c>
      <c r="G450" s="5">
        <f t="shared" ref="G450" si="244">F450-E450</f>
        <v>115587</v>
      </c>
      <c r="I450" s="2"/>
    </row>
    <row r="451" spans="1:9" x14ac:dyDescent="0.25">
      <c r="A451" s="3"/>
      <c r="B451" s="3"/>
      <c r="C451" s="3" t="s">
        <v>52</v>
      </c>
      <c r="D451" s="5">
        <f>D456+D464</f>
        <v>-176547</v>
      </c>
      <c r="E451" s="5">
        <f t="shared" ref="E451:F451" si="245">E456+E464</f>
        <v>-120653.07</v>
      </c>
      <c r="F451" s="5">
        <f t="shared" si="245"/>
        <v>-124089.93000000001</v>
      </c>
      <c r="G451" s="5">
        <f t="shared" ref="G451:G454" si="246">F451-E451</f>
        <v>-3436.8600000000006</v>
      </c>
      <c r="I451" s="2"/>
    </row>
    <row r="452" spans="1:9" x14ac:dyDescent="0.25">
      <c r="A452" s="3"/>
      <c r="B452" s="3"/>
      <c r="C452" s="3" t="s">
        <v>53</v>
      </c>
      <c r="D452" s="5">
        <f>D457+D465</f>
        <v>-67714</v>
      </c>
      <c r="E452" s="5">
        <f t="shared" ref="E452:F452" si="247">E457+E465</f>
        <v>-68242.540000000008</v>
      </c>
      <c r="F452" s="5">
        <f t="shared" si="247"/>
        <v>-44345.93</v>
      </c>
      <c r="G452" s="5">
        <f t="shared" si="246"/>
        <v>23896.610000000008</v>
      </c>
      <c r="I452" s="2"/>
    </row>
    <row r="453" spans="1:9" x14ac:dyDescent="0.25">
      <c r="A453" s="3"/>
      <c r="B453" s="3"/>
      <c r="C453" s="3" t="s">
        <v>113</v>
      </c>
      <c r="D453" s="5">
        <f>D458</f>
        <v>-142820</v>
      </c>
      <c r="E453" s="5">
        <f t="shared" ref="E453:F453" si="248">E458</f>
        <v>-142820</v>
      </c>
      <c r="F453" s="5">
        <f t="shared" si="248"/>
        <v>-142820</v>
      </c>
      <c r="G453" s="5">
        <f t="shared" si="246"/>
        <v>0</v>
      </c>
      <c r="I453" s="2"/>
    </row>
    <row r="454" spans="1:9" x14ac:dyDescent="0.25">
      <c r="A454" s="3"/>
      <c r="B454" s="3"/>
      <c r="C454" s="3" t="s">
        <v>114</v>
      </c>
      <c r="D454" s="5">
        <f>D466</f>
        <v>-12227</v>
      </c>
      <c r="E454" s="5">
        <f t="shared" ref="E454:F454" si="249">E466</f>
        <v>-12227</v>
      </c>
      <c r="F454" s="5">
        <f t="shared" si="249"/>
        <v>-9315.89</v>
      </c>
      <c r="G454" s="5">
        <f t="shared" si="246"/>
        <v>2911.1100000000006</v>
      </c>
      <c r="I454" s="2"/>
    </row>
    <row r="455" spans="1:9" x14ac:dyDescent="0.25">
      <c r="A455" s="41"/>
      <c r="B455" s="41"/>
      <c r="C455" s="41" t="s">
        <v>117</v>
      </c>
      <c r="D455" s="42">
        <f>SUM(D456:D458)</f>
        <v>-264772</v>
      </c>
      <c r="E455" s="42">
        <f t="shared" ref="E455" si="250">SUM(E456:E458)</f>
        <v>-331715.61</v>
      </c>
      <c r="F455" s="42">
        <f>SUM(F456:F459)</f>
        <v>-224310.18</v>
      </c>
      <c r="G455" s="42">
        <f>F455-E455</f>
        <v>107405.43</v>
      </c>
      <c r="I455" s="2"/>
    </row>
    <row r="456" spans="1:9" x14ac:dyDescent="0.25">
      <c r="A456" s="3"/>
      <c r="B456" s="3"/>
      <c r="C456" s="3" t="s">
        <v>52</v>
      </c>
      <c r="D456" s="5">
        <v>-82366</v>
      </c>
      <c r="E456" s="5">
        <v>-120653.07</v>
      </c>
      <c r="F456" s="5">
        <v>-38339.19</v>
      </c>
      <c r="G456" s="5">
        <f t="shared" ref="G456:G459" si="251">F456-E456</f>
        <v>82313.88</v>
      </c>
      <c r="I456" s="2"/>
    </row>
    <row r="457" spans="1:9" x14ac:dyDescent="0.25">
      <c r="A457" s="3"/>
      <c r="B457" s="3"/>
      <c r="C457" s="3" t="s">
        <v>53</v>
      </c>
      <c r="D457" s="5">
        <v>-39586</v>
      </c>
      <c r="E457" s="5">
        <f>-67765.96-476.58</f>
        <v>-68242.540000000008</v>
      </c>
      <c r="F457" s="5">
        <v>-43141.55</v>
      </c>
      <c r="G457" s="5">
        <f t="shared" si="251"/>
        <v>25100.990000000005</v>
      </c>
      <c r="I457" s="2"/>
    </row>
    <row r="458" spans="1:9" x14ac:dyDescent="0.25">
      <c r="A458" s="3"/>
      <c r="B458" s="3"/>
      <c r="C458" s="3" t="s">
        <v>113</v>
      </c>
      <c r="D458" s="5">
        <v>-142820</v>
      </c>
      <c r="E458" s="5">
        <v>-142820</v>
      </c>
      <c r="F458" s="5">
        <v>-142820</v>
      </c>
      <c r="G458" s="5">
        <f t="shared" si="251"/>
        <v>0</v>
      </c>
      <c r="I458" s="2"/>
    </row>
    <row r="459" spans="1:9" x14ac:dyDescent="0.25">
      <c r="A459" s="3"/>
      <c r="B459" s="3"/>
      <c r="C459" s="3" t="s">
        <v>54</v>
      </c>
      <c r="D459" s="5">
        <v>0</v>
      </c>
      <c r="E459" s="5">
        <v>0</v>
      </c>
      <c r="F459" s="5">
        <v>-9.44</v>
      </c>
      <c r="G459" s="5">
        <f t="shared" si="251"/>
        <v>-9.44</v>
      </c>
      <c r="I459" s="2"/>
    </row>
    <row r="460" spans="1:9" x14ac:dyDescent="0.25">
      <c r="A460" s="3"/>
      <c r="B460" s="3"/>
      <c r="C460" s="41" t="s">
        <v>118</v>
      </c>
      <c r="D460" s="42">
        <v>0</v>
      </c>
      <c r="E460" s="42">
        <v>0</v>
      </c>
      <c r="F460" s="42">
        <f>F461</f>
        <v>-6.95</v>
      </c>
      <c r="G460" s="42">
        <f>F460-E460</f>
        <v>-6.95</v>
      </c>
      <c r="H460" s="88"/>
      <c r="I460" s="2"/>
    </row>
    <row r="461" spans="1:9" x14ac:dyDescent="0.25">
      <c r="A461" s="3"/>
      <c r="B461" s="3"/>
      <c r="C461" s="3" t="s">
        <v>114</v>
      </c>
      <c r="D461" s="5">
        <v>0</v>
      </c>
      <c r="E461" s="5">
        <v>0</v>
      </c>
      <c r="F461" s="5">
        <v>-6.95</v>
      </c>
      <c r="G461" s="5">
        <f t="shared" ref="G461" si="252">F461-E461</f>
        <v>-6.95</v>
      </c>
      <c r="I461" s="2"/>
    </row>
    <row r="462" spans="1:9" x14ac:dyDescent="0.25">
      <c r="A462" s="41"/>
      <c r="B462" s="41"/>
      <c r="C462" s="41" t="s">
        <v>119</v>
      </c>
      <c r="D462" s="42">
        <f>SUM(D464:D465)</f>
        <v>-122309</v>
      </c>
      <c r="E462" s="42">
        <f>E463</f>
        <v>-115586.96</v>
      </c>
      <c r="F462" s="42">
        <f>SUM(F464:F465)</f>
        <v>-86955.12000000001</v>
      </c>
      <c r="G462" s="42">
        <f>F462-E462</f>
        <v>28631.839999999997</v>
      </c>
      <c r="I462" s="2"/>
    </row>
    <row r="463" spans="1:9" x14ac:dyDescent="0.25">
      <c r="A463" s="41"/>
      <c r="B463" s="41"/>
      <c r="C463" s="3" t="s">
        <v>193</v>
      </c>
      <c r="D463" s="42">
        <v>0</v>
      </c>
      <c r="E463" s="25">
        <v>-115586.96</v>
      </c>
      <c r="F463" s="25">
        <v>0</v>
      </c>
      <c r="G463" s="5">
        <f t="shared" ref="G463" si="253">F463-E463</f>
        <v>115586.96</v>
      </c>
      <c r="I463" s="2"/>
    </row>
    <row r="464" spans="1:9" x14ac:dyDescent="0.25">
      <c r="A464" s="3"/>
      <c r="B464" s="3"/>
      <c r="C464" s="3" t="s">
        <v>52</v>
      </c>
      <c r="D464" s="5">
        <v>-94181</v>
      </c>
      <c r="E464" s="5">
        <v>0</v>
      </c>
      <c r="F464" s="5">
        <v>-85750.74</v>
      </c>
      <c r="G464" s="5">
        <f t="shared" ref="G464:G465" si="254">F464-E464</f>
        <v>-85750.74</v>
      </c>
      <c r="I464" s="2"/>
    </row>
    <row r="465" spans="1:9" x14ac:dyDescent="0.25">
      <c r="A465" s="41"/>
      <c r="B465" s="41"/>
      <c r="C465" s="3" t="s">
        <v>53</v>
      </c>
      <c r="D465" s="5">
        <v>-28128</v>
      </c>
      <c r="E465" s="5">
        <v>0</v>
      </c>
      <c r="F465" s="5">
        <v>-1204.3800000000001</v>
      </c>
      <c r="G465" s="5">
        <f t="shared" si="254"/>
        <v>-1204.3800000000001</v>
      </c>
      <c r="I465" s="2"/>
    </row>
    <row r="466" spans="1:9" s="39" customFormat="1" x14ac:dyDescent="0.25">
      <c r="A466" s="41"/>
      <c r="B466" s="41"/>
      <c r="C466" s="41" t="s">
        <v>121</v>
      </c>
      <c r="D466" s="42">
        <v>-12227</v>
      </c>
      <c r="E466" s="42">
        <f>D466</f>
        <v>-12227</v>
      </c>
      <c r="F466" s="42">
        <v>-9315.89</v>
      </c>
      <c r="G466" s="42">
        <f>F466-E466</f>
        <v>2911.1100000000006</v>
      </c>
      <c r="H466" s="25"/>
      <c r="I466" s="2"/>
    </row>
    <row r="467" spans="1:9" x14ac:dyDescent="0.25">
      <c r="A467" s="41"/>
      <c r="B467" s="41" t="s">
        <v>129</v>
      </c>
      <c r="C467" s="41"/>
      <c r="D467" s="42">
        <f>SUM(D469:D473)</f>
        <v>-696900</v>
      </c>
      <c r="E467" s="42">
        <f>SUM(E468:E473)</f>
        <v>-570116.98999999987</v>
      </c>
      <c r="F467" s="42">
        <f>SUM(F468:F474)</f>
        <v>-538637.9</v>
      </c>
      <c r="G467" s="42">
        <f>F467-E467</f>
        <v>31479.089999999851</v>
      </c>
      <c r="I467" s="2"/>
    </row>
    <row r="468" spans="1:9" x14ac:dyDescent="0.25">
      <c r="A468" s="41"/>
      <c r="B468" s="41"/>
      <c r="C468" s="3" t="s">
        <v>193</v>
      </c>
      <c r="D468" s="42">
        <v>0</v>
      </c>
      <c r="E468" s="5">
        <f>E483+E491</f>
        <v>-453213.67</v>
      </c>
      <c r="F468" s="25">
        <v>0</v>
      </c>
      <c r="G468" s="5">
        <f t="shared" ref="G468" si="255">F468-E468</f>
        <v>453213.67</v>
      </c>
      <c r="I468" s="2"/>
    </row>
    <row r="469" spans="1:9" x14ac:dyDescent="0.25">
      <c r="A469" s="3"/>
      <c r="B469" s="3"/>
      <c r="C469" s="3" t="s">
        <v>52</v>
      </c>
      <c r="D469" s="5">
        <f>D476+D485</f>
        <v>-84882</v>
      </c>
      <c r="E469" s="5">
        <f>E476+E485</f>
        <v>-70829.48</v>
      </c>
      <c r="F469" s="5">
        <f>F476+F485+F492</f>
        <v>-89569.83</v>
      </c>
      <c r="G469" s="5">
        <f t="shared" ref="G469:G474" si="256">F469-E469</f>
        <v>-18740.350000000006</v>
      </c>
      <c r="I469" s="2"/>
    </row>
    <row r="470" spans="1:9" x14ac:dyDescent="0.25">
      <c r="A470" s="3"/>
      <c r="B470" s="3"/>
      <c r="C470" s="3" t="s">
        <v>53</v>
      </c>
      <c r="D470" s="5">
        <f>D477+D486</f>
        <v>-18135</v>
      </c>
      <c r="E470" s="5">
        <f>E477+E486</f>
        <v>-15710.27</v>
      </c>
      <c r="F470" s="5">
        <f>F477+F486+F493</f>
        <v>-23106.45</v>
      </c>
      <c r="G470" s="5">
        <f t="shared" si="256"/>
        <v>-7396.18</v>
      </c>
      <c r="I470" s="2"/>
    </row>
    <row r="471" spans="1:9" x14ac:dyDescent="0.25">
      <c r="A471" s="3"/>
      <c r="B471" s="3"/>
      <c r="C471" s="3" t="s">
        <v>122</v>
      </c>
      <c r="D471" s="5">
        <f>D487</f>
        <v>0</v>
      </c>
      <c r="E471" s="5">
        <f t="shared" ref="E471:F471" si="257">E487</f>
        <v>0</v>
      </c>
      <c r="F471" s="5">
        <f t="shared" si="257"/>
        <v>-172173</v>
      </c>
      <c r="G471" s="5">
        <f t="shared" si="256"/>
        <v>-172173</v>
      </c>
      <c r="I471" s="2"/>
    </row>
    <row r="472" spans="1:9" x14ac:dyDescent="0.25">
      <c r="A472" s="3"/>
      <c r="B472" s="3"/>
      <c r="C472" s="3" t="s">
        <v>113</v>
      </c>
      <c r="D472" s="5">
        <f>D478+D488</f>
        <v>-563565</v>
      </c>
      <c r="E472" s="5">
        <f>E478+E488</f>
        <v>-45.57</v>
      </c>
      <c r="F472" s="5">
        <f>F478+F488</f>
        <v>-228575.68</v>
      </c>
      <c r="G472" s="5">
        <f t="shared" si="256"/>
        <v>-228530.11</v>
      </c>
      <c r="I472" s="2"/>
    </row>
    <row r="473" spans="1:9" x14ac:dyDescent="0.25">
      <c r="A473" s="3"/>
      <c r="B473" s="3"/>
      <c r="C473" s="3" t="s">
        <v>114</v>
      </c>
      <c r="D473" s="5">
        <f>D494</f>
        <v>-30318</v>
      </c>
      <c r="E473" s="5">
        <f>E494</f>
        <v>-30318</v>
      </c>
      <c r="F473" s="5">
        <f>F494+F489+F481+F479</f>
        <v>-23709.780000000002</v>
      </c>
      <c r="G473" s="5">
        <f t="shared" si="256"/>
        <v>6608.2199999999975</v>
      </c>
      <c r="I473" s="2"/>
    </row>
    <row r="474" spans="1:9" x14ac:dyDescent="0.25">
      <c r="A474" s="3"/>
      <c r="B474" s="3"/>
      <c r="C474" s="3" t="s">
        <v>30</v>
      </c>
      <c r="D474" s="5"/>
      <c r="E474" s="5"/>
      <c r="F474" s="5">
        <f>F482</f>
        <v>-1503.16</v>
      </c>
      <c r="G474" s="5">
        <f t="shared" si="256"/>
        <v>-1503.16</v>
      </c>
      <c r="I474" s="2"/>
    </row>
    <row r="475" spans="1:9" x14ac:dyDescent="0.25">
      <c r="A475" s="41"/>
      <c r="B475" s="41"/>
      <c r="C475" s="41" t="s">
        <v>117</v>
      </c>
      <c r="D475" s="42">
        <f>SUM(D476:D478)</f>
        <v>-66355</v>
      </c>
      <c r="E475" s="42">
        <f>SUM(E476:E478)</f>
        <v>-86585.32</v>
      </c>
      <c r="F475" s="42">
        <f>SUM(F476:F479)</f>
        <v>-65179.979999999996</v>
      </c>
      <c r="G475" s="42">
        <f>F475-E475</f>
        <v>21405.340000000011</v>
      </c>
      <c r="I475" s="2"/>
    </row>
    <row r="476" spans="1:9" x14ac:dyDescent="0.25">
      <c r="A476" s="3"/>
      <c r="B476" s="3"/>
      <c r="C476" s="3" t="s">
        <v>52</v>
      </c>
      <c r="D476" s="5">
        <v>-54408</v>
      </c>
      <c r="E476" s="5">
        <v>-70829.48</v>
      </c>
      <c r="F476" s="5">
        <v>-55356.959999999999</v>
      </c>
      <c r="G476" s="5">
        <f t="shared" ref="G476:G479" si="258">F476-E476</f>
        <v>15472.519999999997</v>
      </c>
      <c r="I476" s="2"/>
    </row>
    <row r="477" spans="1:9" x14ac:dyDescent="0.25">
      <c r="A477" s="3"/>
      <c r="B477" s="3"/>
      <c r="C477" s="3" t="s">
        <v>53</v>
      </c>
      <c r="D477" s="5">
        <v>-11925</v>
      </c>
      <c r="E477" s="5">
        <f>-15707.45-2.82</f>
        <v>-15710.27</v>
      </c>
      <c r="F477" s="5">
        <v>-9709.5</v>
      </c>
      <c r="G477" s="5">
        <f t="shared" si="258"/>
        <v>6000.77</v>
      </c>
      <c r="I477" s="2"/>
    </row>
    <row r="478" spans="1:9" x14ac:dyDescent="0.25">
      <c r="A478" s="3"/>
      <c r="B478" s="3"/>
      <c r="C478" s="3" t="s">
        <v>113</v>
      </c>
      <c r="D478" s="5">
        <v>-22</v>
      </c>
      <c r="E478" s="5">
        <v>-45.57</v>
      </c>
      <c r="F478" s="5">
        <v>-45.57</v>
      </c>
      <c r="G478" s="5">
        <f t="shared" si="258"/>
        <v>0</v>
      </c>
      <c r="I478" s="2"/>
    </row>
    <row r="479" spans="1:9" x14ac:dyDescent="0.25">
      <c r="A479" s="3"/>
      <c r="B479" s="3"/>
      <c r="C479" s="3" t="s">
        <v>54</v>
      </c>
      <c r="D479" s="5">
        <v>0</v>
      </c>
      <c r="E479" s="5">
        <v>0</v>
      </c>
      <c r="F479" s="5">
        <v>-67.95</v>
      </c>
      <c r="G479" s="5">
        <f t="shared" si="258"/>
        <v>-67.95</v>
      </c>
      <c r="I479" s="2"/>
    </row>
    <row r="480" spans="1:9" x14ac:dyDescent="0.25">
      <c r="A480" s="3"/>
      <c r="B480" s="3"/>
      <c r="C480" s="41" t="s">
        <v>118</v>
      </c>
      <c r="D480" s="42">
        <f>SUM(D481:D482)</f>
        <v>0</v>
      </c>
      <c r="E480" s="42">
        <f t="shared" ref="E480:F480" si="259">SUM(E481:E482)</f>
        <v>0</v>
      </c>
      <c r="F480" s="42">
        <f t="shared" si="259"/>
        <v>-1563.66</v>
      </c>
      <c r="G480" s="42">
        <f>F480-E480</f>
        <v>-1563.66</v>
      </c>
      <c r="I480" s="2"/>
    </row>
    <row r="481" spans="1:9" x14ac:dyDescent="0.25">
      <c r="A481" s="3"/>
      <c r="B481" s="3"/>
      <c r="C481" s="3" t="s">
        <v>54</v>
      </c>
      <c r="D481" s="5">
        <v>0</v>
      </c>
      <c r="E481" s="5">
        <v>0</v>
      </c>
      <c r="F481" s="5">
        <v>-60.5</v>
      </c>
      <c r="G481" s="5">
        <f t="shared" ref="G481:G482" si="260">F481-E481</f>
        <v>-60.5</v>
      </c>
      <c r="H481" s="3"/>
      <c r="I481" s="2"/>
    </row>
    <row r="482" spans="1:9" x14ac:dyDescent="0.25">
      <c r="A482" s="3"/>
      <c r="B482" s="3"/>
      <c r="C482" s="3" t="s">
        <v>30</v>
      </c>
      <c r="D482" s="5">
        <v>0</v>
      </c>
      <c r="E482" s="5">
        <v>0</v>
      </c>
      <c r="F482" s="5">
        <v>-1503.16</v>
      </c>
      <c r="G482" s="5">
        <f t="shared" si="260"/>
        <v>-1503.16</v>
      </c>
      <c r="I482" s="2"/>
    </row>
    <row r="483" spans="1:9" x14ac:dyDescent="0.25">
      <c r="A483" s="41"/>
      <c r="B483" s="41"/>
      <c r="C483" s="41" t="s">
        <v>119</v>
      </c>
      <c r="D483" s="42">
        <f>SUM(D485:D488)</f>
        <v>-600227</v>
      </c>
      <c r="E483" s="42">
        <f>E484</f>
        <v>-453168.79</v>
      </c>
      <c r="F483" s="42">
        <f>SUM(F485:F489)</f>
        <v>-452363.79</v>
      </c>
      <c r="G483" s="42">
        <f>F483-E483</f>
        <v>805</v>
      </c>
      <c r="I483" s="2"/>
    </row>
    <row r="484" spans="1:9" x14ac:dyDescent="0.25">
      <c r="A484" s="41"/>
      <c r="B484" s="41"/>
      <c r="C484" s="3" t="s">
        <v>193</v>
      </c>
      <c r="D484" s="42">
        <v>0</v>
      </c>
      <c r="E484" s="5">
        <v>-453168.79</v>
      </c>
      <c r="F484" s="25">
        <v>0</v>
      </c>
      <c r="G484" s="5">
        <f t="shared" ref="G484" si="261">F484-E484</f>
        <v>453168.79</v>
      </c>
      <c r="I484" s="2"/>
    </row>
    <row r="485" spans="1:9" x14ac:dyDescent="0.25">
      <c r="A485" s="3"/>
      <c r="B485" s="3"/>
      <c r="C485" s="3" t="s">
        <v>52</v>
      </c>
      <c r="D485" s="5">
        <v>-30474</v>
      </c>
      <c r="E485" s="5">
        <v>0</v>
      </c>
      <c r="F485" s="5">
        <v>-34189.919999999998</v>
      </c>
      <c r="G485" s="5">
        <f t="shared" ref="G485:G489" si="262">F485-E485</f>
        <v>-34189.919999999998</v>
      </c>
      <c r="I485" s="2"/>
    </row>
    <row r="486" spans="1:9" x14ac:dyDescent="0.25">
      <c r="A486" s="41"/>
      <c r="B486" s="41"/>
      <c r="C486" s="3" t="s">
        <v>53</v>
      </c>
      <c r="D486" s="5">
        <v>-6210</v>
      </c>
      <c r="E486" s="5">
        <v>0</v>
      </c>
      <c r="F486" s="5">
        <v>-13375.02</v>
      </c>
      <c r="G486" s="5">
        <f t="shared" si="262"/>
        <v>-13375.02</v>
      </c>
      <c r="I486" s="2"/>
    </row>
    <row r="487" spans="1:9" x14ac:dyDescent="0.25">
      <c r="A487" s="41"/>
      <c r="B487" s="41"/>
      <c r="C487" s="3" t="s">
        <v>122</v>
      </c>
      <c r="D487" s="5">
        <v>0</v>
      </c>
      <c r="E487" s="5"/>
      <c r="F487" s="5">
        <v>-172173</v>
      </c>
      <c r="G487" s="5">
        <f t="shared" si="262"/>
        <v>-172173</v>
      </c>
      <c r="I487" s="2"/>
    </row>
    <row r="488" spans="1:9" x14ac:dyDescent="0.25">
      <c r="A488" s="41"/>
      <c r="B488" s="41"/>
      <c r="C488" s="3" t="s">
        <v>113</v>
      </c>
      <c r="D488" s="5">
        <f>-138269-425274</f>
        <v>-563543</v>
      </c>
      <c r="E488" s="5">
        <v>0</v>
      </c>
      <c r="F488" s="5">
        <v>-228530.11</v>
      </c>
      <c r="G488" s="5">
        <f t="shared" si="262"/>
        <v>-228530.11</v>
      </c>
      <c r="I488" s="2"/>
    </row>
    <row r="489" spans="1:9" x14ac:dyDescent="0.25">
      <c r="A489" s="41"/>
      <c r="B489" s="41"/>
      <c r="C489" s="3" t="s">
        <v>54</v>
      </c>
      <c r="D489" s="5">
        <v>0</v>
      </c>
      <c r="E489" s="5">
        <v>0</v>
      </c>
      <c r="F489" s="5">
        <v>-4095.74</v>
      </c>
      <c r="G489" s="5">
        <f t="shared" si="262"/>
        <v>-4095.74</v>
      </c>
      <c r="I489" s="2"/>
    </row>
    <row r="490" spans="1:9" x14ac:dyDescent="0.25">
      <c r="A490" s="41"/>
      <c r="B490" s="41"/>
      <c r="C490" s="41" t="s">
        <v>120</v>
      </c>
      <c r="D490" s="42">
        <f>SUM(D491:D492)</f>
        <v>0</v>
      </c>
      <c r="E490" s="42">
        <f>SUM(E491:E493)</f>
        <v>-44.88</v>
      </c>
      <c r="F490" s="42">
        <f>SUM(F491:F493)</f>
        <v>-44.879999999999995</v>
      </c>
      <c r="G490" s="42">
        <f>F490-E490</f>
        <v>0</v>
      </c>
      <c r="I490" s="2"/>
    </row>
    <row r="491" spans="1:9" x14ac:dyDescent="0.25">
      <c r="A491" s="41"/>
      <c r="B491" s="41"/>
      <c r="C491" s="3" t="s">
        <v>193</v>
      </c>
      <c r="D491" s="5">
        <v>0</v>
      </c>
      <c r="E491" s="5">
        <v>-44.88</v>
      </c>
      <c r="F491" s="5">
        <v>0</v>
      </c>
      <c r="G491" s="5">
        <f t="shared" ref="G491:G493" si="263">F491-E491</f>
        <v>44.88</v>
      </c>
      <c r="I491" s="2"/>
    </row>
    <row r="492" spans="1:9" x14ac:dyDescent="0.25">
      <c r="A492" s="41"/>
      <c r="B492" s="41"/>
      <c r="C492" s="3" t="s">
        <v>52</v>
      </c>
      <c r="D492" s="5">
        <v>0</v>
      </c>
      <c r="E492" s="5">
        <v>0</v>
      </c>
      <c r="F492" s="5">
        <v>-22.95</v>
      </c>
      <c r="G492" s="5">
        <f t="shared" si="263"/>
        <v>-22.95</v>
      </c>
      <c r="I492" s="2"/>
    </row>
    <row r="493" spans="1:9" x14ac:dyDescent="0.25">
      <c r="A493" s="41"/>
      <c r="B493" s="41"/>
      <c r="C493" s="3" t="s">
        <v>53</v>
      </c>
      <c r="D493" s="5">
        <v>0</v>
      </c>
      <c r="E493" s="5">
        <v>0</v>
      </c>
      <c r="F493" s="5">
        <v>-21.93</v>
      </c>
      <c r="G493" s="5">
        <f t="shared" si="263"/>
        <v>-21.93</v>
      </c>
      <c r="I493" s="2"/>
    </row>
    <row r="494" spans="1:9" s="39" customFormat="1" x14ac:dyDescent="0.25">
      <c r="A494" s="41"/>
      <c r="B494" s="41"/>
      <c r="C494" s="41" t="s">
        <v>121</v>
      </c>
      <c r="D494" s="42">
        <v>-30318</v>
      </c>
      <c r="E494" s="42">
        <f>D494</f>
        <v>-30318</v>
      </c>
      <c r="F494" s="5">
        <v>-19485.59</v>
      </c>
      <c r="G494" s="42">
        <f>F494-E494</f>
        <v>10832.41</v>
      </c>
      <c r="H494" s="25"/>
      <c r="I494" s="2"/>
    </row>
    <row r="495" spans="1:9" x14ac:dyDescent="0.25">
      <c r="A495" s="41"/>
      <c r="B495" s="41" t="s">
        <v>196</v>
      </c>
      <c r="C495" s="41"/>
      <c r="D495" s="42">
        <f>SUM(D497:D499)</f>
        <v>-24896</v>
      </c>
      <c r="E495" s="42">
        <f>SUM(E496:E499)</f>
        <v>-31265</v>
      </c>
      <c r="F495" s="42">
        <f t="shared" ref="F495" si="264">SUM(F497:F499)</f>
        <v>-20932.390000000003</v>
      </c>
      <c r="G495" s="42">
        <f>F495-E495</f>
        <v>10332.609999999997</v>
      </c>
      <c r="I495" s="2"/>
    </row>
    <row r="496" spans="1:9" x14ac:dyDescent="0.25">
      <c r="A496" s="41"/>
      <c r="B496" s="41"/>
      <c r="C496" s="3" t="s">
        <v>193</v>
      </c>
      <c r="D496" s="42">
        <v>0</v>
      </c>
      <c r="E496" s="5">
        <f>E508</f>
        <v>-18282</v>
      </c>
      <c r="F496" s="25">
        <v>0</v>
      </c>
      <c r="G496" s="5">
        <f t="shared" ref="G496" si="265">F496-E496</f>
        <v>18282</v>
      </c>
      <c r="I496" s="2"/>
    </row>
    <row r="497" spans="1:9" x14ac:dyDescent="0.25">
      <c r="A497" s="3"/>
      <c r="B497" s="3"/>
      <c r="C497" s="3" t="s">
        <v>52</v>
      </c>
      <c r="D497" s="5">
        <f>D501+D505+D509</f>
        <v>-12464</v>
      </c>
      <c r="E497" s="5">
        <f>E501+E505+E509</f>
        <v>-3915.02</v>
      </c>
      <c r="F497" s="5">
        <f t="shared" ref="F497" si="266">F501+F505+F509</f>
        <v>-12338.130000000001</v>
      </c>
      <c r="G497" s="5">
        <f t="shared" ref="G497:G499" si="267">F497-E497</f>
        <v>-8423.11</v>
      </c>
      <c r="I497" s="2"/>
    </row>
    <row r="498" spans="1:9" x14ac:dyDescent="0.25">
      <c r="A498" s="3"/>
      <c r="B498" s="3"/>
      <c r="C498" s="3" t="s">
        <v>53</v>
      </c>
      <c r="D498" s="5">
        <f>D502+D506+D510</f>
        <v>-11282</v>
      </c>
      <c r="E498" s="5">
        <f>E502+E506+E510</f>
        <v>-7917.9800000000005</v>
      </c>
      <c r="F498" s="5">
        <f t="shared" ref="F498" si="268">F502+F506+F510</f>
        <v>-7629.45</v>
      </c>
      <c r="G498" s="5">
        <f t="shared" si="267"/>
        <v>288.53000000000065</v>
      </c>
      <c r="I498" s="2"/>
    </row>
    <row r="499" spans="1:9" x14ac:dyDescent="0.25">
      <c r="A499" s="3"/>
      <c r="B499" s="3"/>
      <c r="C499" s="3" t="s">
        <v>114</v>
      </c>
      <c r="D499" s="5">
        <f>D511</f>
        <v>-1150</v>
      </c>
      <c r="E499" s="5">
        <f t="shared" ref="E499" si="269">E511</f>
        <v>-1150</v>
      </c>
      <c r="F499" s="5">
        <f>F511+F503</f>
        <v>-964.81</v>
      </c>
      <c r="G499" s="5">
        <f t="shared" si="267"/>
        <v>185.19000000000005</v>
      </c>
      <c r="I499" s="2"/>
    </row>
    <row r="500" spans="1:9" x14ac:dyDescent="0.25">
      <c r="A500" s="41"/>
      <c r="B500" s="41"/>
      <c r="C500" s="41" t="s">
        <v>117</v>
      </c>
      <c r="D500" s="42">
        <f>SUM(D501:D502)</f>
        <v>-11768</v>
      </c>
      <c r="E500" s="42">
        <f>SUM(E501:E503)</f>
        <v>-11833</v>
      </c>
      <c r="F500" s="42">
        <f>SUM(F501:F503)</f>
        <v>-9354.65</v>
      </c>
      <c r="G500" s="42">
        <f>F500-E500</f>
        <v>2478.3500000000004</v>
      </c>
      <c r="I500" s="2"/>
    </row>
    <row r="501" spans="1:9" x14ac:dyDescent="0.25">
      <c r="A501" s="3"/>
      <c r="B501" s="3"/>
      <c r="C501" s="3" t="s">
        <v>52</v>
      </c>
      <c r="D501" s="5">
        <v>-3915</v>
      </c>
      <c r="E501" s="5">
        <v>-3915.02</v>
      </c>
      <c r="F501" s="5">
        <v>-3903.68</v>
      </c>
      <c r="G501" s="5">
        <f t="shared" ref="G501:G503" si="270">F501-E501</f>
        <v>11.340000000000146</v>
      </c>
      <c r="I501" s="2"/>
    </row>
    <row r="502" spans="1:9" x14ac:dyDescent="0.25">
      <c r="A502" s="3"/>
      <c r="B502" s="3"/>
      <c r="C502" s="3" t="s">
        <v>53</v>
      </c>
      <c r="D502" s="5">
        <v>-7853</v>
      </c>
      <c r="E502" s="5">
        <f>-7853.68-64.3</f>
        <v>-7917.9800000000005</v>
      </c>
      <c r="F502" s="5">
        <v>-5439.94</v>
      </c>
      <c r="G502" s="5">
        <f t="shared" si="270"/>
        <v>2478.0400000000009</v>
      </c>
      <c r="I502" s="2"/>
    </row>
    <row r="503" spans="1:9" x14ac:dyDescent="0.25">
      <c r="A503" s="3"/>
      <c r="B503" s="3"/>
      <c r="C503" s="3" t="s">
        <v>54</v>
      </c>
      <c r="D503" s="5">
        <v>0</v>
      </c>
      <c r="E503" s="5">
        <v>0</v>
      </c>
      <c r="F503" s="5">
        <v>-11.03</v>
      </c>
      <c r="G503" s="5">
        <f t="shared" si="270"/>
        <v>-11.03</v>
      </c>
      <c r="I503" s="2"/>
    </row>
    <row r="504" spans="1:9" x14ac:dyDescent="0.25">
      <c r="A504" s="41"/>
      <c r="B504" s="41"/>
      <c r="C504" s="41" t="s">
        <v>119</v>
      </c>
      <c r="D504" s="42">
        <f>SUM(D505:D506)</f>
        <v>-263</v>
      </c>
      <c r="E504" s="42">
        <f t="shared" ref="E504:F504" si="271">SUM(E505:E506)</f>
        <v>0</v>
      </c>
      <c r="F504" s="42">
        <f t="shared" si="271"/>
        <v>0</v>
      </c>
      <c r="G504" s="42">
        <f>F504-E504</f>
        <v>0</v>
      </c>
      <c r="I504" s="2"/>
    </row>
    <row r="505" spans="1:9" x14ac:dyDescent="0.25">
      <c r="A505" s="3"/>
      <c r="B505" s="3"/>
      <c r="C505" s="3" t="s">
        <v>52</v>
      </c>
      <c r="D505" s="5">
        <v>-30</v>
      </c>
      <c r="E505" s="5">
        <v>0</v>
      </c>
      <c r="F505" s="5">
        <v>0</v>
      </c>
      <c r="G505" s="5">
        <f t="shared" ref="G505:G506" si="272">F505-E505</f>
        <v>0</v>
      </c>
      <c r="I505" s="2"/>
    </row>
    <row r="506" spans="1:9" x14ac:dyDescent="0.25">
      <c r="A506" s="41"/>
      <c r="B506" s="41"/>
      <c r="C506" s="3" t="s">
        <v>53</v>
      </c>
      <c r="D506" s="5">
        <v>-233</v>
      </c>
      <c r="E506" s="5">
        <v>0</v>
      </c>
      <c r="F506" s="42">
        <v>0</v>
      </c>
      <c r="G506" s="5">
        <f t="shared" si="272"/>
        <v>0</v>
      </c>
      <c r="I506" s="2"/>
    </row>
    <row r="507" spans="1:9" x14ac:dyDescent="0.25">
      <c r="A507" s="41"/>
      <c r="B507" s="41"/>
      <c r="C507" s="41" t="s">
        <v>120</v>
      </c>
      <c r="D507" s="42">
        <f>SUM(D509:D510)</f>
        <v>-11715</v>
      </c>
      <c r="E507" s="42">
        <f>E508</f>
        <v>-18282</v>
      </c>
      <c r="F507" s="42">
        <f>SUM(F509:F510)</f>
        <v>-10623.960000000001</v>
      </c>
      <c r="G507" s="42">
        <f>F507-E507</f>
        <v>7658.0399999999991</v>
      </c>
      <c r="I507" s="2"/>
    </row>
    <row r="508" spans="1:9" x14ac:dyDescent="0.25">
      <c r="A508" s="41"/>
      <c r="B508" s="41"/>
      <c r="C508" s="3" t="s">
        <v>193</v>
      </c>
      <c r="D508" s="5">
        <v>0</v>
      </c>
      <c r="E508" s="5">
        <v>-18282</v>
      </c>
      <c r="F508" s="5">
        <v>0</v>
      </c>
      <c r="G508" s="5">
        <f t="shared" ref="G508" si="273">F508-E508</f>
        <v>18282</v>
      </c>
      <c r="I508" s="2"/>
    </row>
    <row r="509" spans="1:9" x14ac:dyDescent="0.25">
      <c r="A509" s="3"/>
      <c r="B509" s="3"/>
      <c r="C509" s="3" t="s">
        <v>52</v>
      </c>
      <c r="D509" s="5">
        <v>-8519</v>
      </c>
      <c r="E509" s="5">
        <v>0</v>
      </c>
      <c r="F509" s="5">
        <v>-8434.4500000000007</v>
      </c>
      <c r="G509" s="5">
        <f t="shared" ref="G509:G510" si="274">F509-E509</f>
        <v>-8434.4500000000007</v>
      </c>
      <c r="I509" s="2"/>
    </row>
    <row r="510" spans="1:9" x14ac:dyDescent="0.25">
      <c r="A510" s="41"/>
      <c r="B510" s="41"/>
      <c r="C510" s="3" t="s">
        <v>53</v>
      </c>
      <c r="D510" s="5">
        <v>-3196</v>
      </c>
      <c r="E510" s="5">
        <v>0</v>
      </c>
      <c r="F510" s="5">
        <v>-2189.5100000000002</v>
      </c>
      <c r="G510" s="5">
        <f t="shared" si="274"/>
        <v>-2189.5100000000002</v>
      </c>
      <c r="I510" s="2"/>
    </row>
    <row r="511" spans="1:9" s="39" customFormat="1" x14ac:dyDescent="0.25">
      <c r="A511" s="41"/>
      <c r="B511" s="41"/>
      <c r="C511" s="41" t="s">
        <v>121</v>
      </c>
      <c r="D511" s="42">
        <v>-1150</v>
      </c>
      <c r="E511" s="42">
        <f>D511</f>
        <v>-1150</v>
      </c>
      <c r="F511" s="5">
        <v>-953.78</v>
      </c>
      <c r="G511" s="42">
        <f>F511-E511</f>
        <v>196.22000000000003</v>
      </c>
      <c r="H511" s="25"/>
      <c r="I511" s="2"/>
    </row>
    <row r="512" spans="1:9" x14ac:dyDescent="0.25">
      <c r="A512" s="41"/>
      <c r="B512" s="41" t="s">
        <v>143</v>
      </c>
      <c r="C512" s="41"/>
      <c r="D512" s="42">
        <f>SUM(D514:D515)</f>
        <v>-519407</v>
      </c>
      <c r="E512" s="42">
        <f>SUM(E513:E515)</f>
        <v>-529585.65999999992</v>
      </c>
      <c r="F512" s="42">
        <f>SUM(F514:F516)</f>
        <v>-511558.27</v>
      </c>
      <c r="G512" s="42">
        <f>F512-E512</f>
        <v>18027.389999999898</v>
      </c>
      <c r="I512" s="2"/>
    </row>
    <row r="513" spans="1:9" x14ac:dyDescent="0.25">
      <c r="A513" s="41"/>
      <c r="B513" s="41"/>
      <c r="C513" s="3" t="s">
        <v>193</v>
      </c>
      <c r="D513" s="5"/>
      <c r="E513" s="25">
        <f>-3280.58+E527</f>
        <v>-51704.42</v>
      </c>
      <c r="F513" s="5">
        <v>0</v>
      </c>
      <c r="G513" s="5">
        <f t="shared" ref="G513" si="275">F513-E513</f>
        <v>51704.42</v>
      </c>
      <c r="I513" s="2"/>
    </row>
    <row r="514" spans="1:9" x14ac:dyDescent="0.25">
      <c r="A514" s="3"/>
      <c r="B514" s="3"/>
      <c r="C514" s="3" t="s">
        <v>52</v>
      </c>
      <c r="D514" s="5">
        <f>D518+D524+D528</f>
        <v>-410274</v>
      </c>
      <c r="E514" s="5">
        <f>E518+E524+E528</f>
        <v>-379187.05</v>
      </c>
      <c r="F514" s="5">
        <f>F518+F524+F528</f>
        <v>-442109.41000000003</v>
      </c>
      <c r="G514" s="5">
        <f t="shared" ref="G514:G516" si="276">F514-E514</f>
        <v>-62922.360000000044</v>
      </c>
      <c r="I514" s="2"/>
    </row>
    <row r="515" spans="1:9" x14ac:dyDescent="0.25">
      <c r="A515" s="3"/>
      <c r="B515" s="3"/>
      <c r="C515" s="3" t="s">
        <v>53</v>
      </c>
      <c r="D515" s="5">
        <f>D519+D529</f>
        <v>-109133</v>
      </c>
      <c r="E515" s="5">
        <f>E519+E529</f>
        <v>-98694.19</v>
      </c>
      <c r="F515" s="5">
        <f>F519+F529+F525</f>
        <v>-69531.240000000005</v>
      </c>
      <c r="G515" s="5">
        <f t="shared" si="276"/>
        <v>29162.949999999997</v>
      </c>
      <c r="I515" s="2"/>
    </row>
    <row r="516" spans="1:9" x14ac:dyDescent="0.25">
      <c r="A516" s="3"/>
      <c r="B516" s="3"/>
      <c r="C516" s="3" t="s">
        <v>114</v>
      </c>
      <c r="D516" s="5">
        <v>0</v>
      </c>
      <c r="E516" s="5">
        <f t="shared" ref="E516" si="277">E528</f>
        <v>0</v>
      </c>
      <c r="F516" s="5">
        <f>F521+F530</f>
        <v>82.38</v>
      </c>
      <c r="G516" s="5">
        <f t="shared" si="276"/>
        <v>82.38</v>
      </c>
      <c r="I516" s="2"/>
    </row>
    <row r="517" spans="1:9" x14ac:dyDescent="0.25">
      <c r="A517" s="41"/>
      <c r="B517" s="41"/>
      <c r="C517" s="41" t="s">
        <v>117</v>
      </c>
      <c r="D517" s="42">
        <f>SUM(D518:D519)</f>
        <v>-478362</v>
      </c>
      <c r="E517" s="42">
        <f>SUM(E518:E519)</f>
        <v>-477881.24</v>
      </c>
      <c r="F517" s="42">
        <f>SUM(F518:F519)</f>
        <v>-467271.61</v>
      </c>
      <c r="G517" s="42">
        <f>F517-E517</f>
        <v>10609.630000000005</v>
      </c>
      <c r="I517" s="2"/>
    </row>
    <row r="518" spans="1:9" x14ac:dyDescent="0.25">
      <c r="A518" s="3"/>
      <c r="B518" s="3"/>
      <c r="C518" s="3" t="s">
        <v>52</v>
      </c>
      <c r="D518" s="5">
        <v>-382317</v>
      </c>
      <c r="E518" s="5">
        <v>-379187.05</v>
      </c>
      <c r="F518" s="5">
        <v>-407827.83</v>
      </c>
      <c r="G518" s="5">
        <f t="shared" ref="G518:G519" si="278">F518-E518</f>
        <v>-28640.780000000028</v>
      </c>
      <c r="I518" s="2"/>
    </row>
    <row r="519" spans="1:9" x14ac:dyDescent="0.25">
      <c r="A519" s="3"/>
      <c r="B519" s="3"/>
      <c r="C519" s="3" t="s">
        <v>53</v>
      </c>
      <c r="D519" s="5">
        <v>-96045</v>
      </c>
      <c r="E519" s="5">
        <f>-97976.16-718.03</f>
        <v>-98694.19</v>
      </c>
      <c r="F519" s="5">
        <v>-59443.78</v>
      </c>
      <c r="G519" s="5">
        <f t="shared" si="278"/>
        <v>39250.410000000003</v>
      </c>
      <c r="I519" s="2"/>
    </row>
    <row r="520" spans="1:9" x14ac:dyDescent="0.25">
      <c r="A520" s="3"/>
      <c r="B520" s="3"/>
      <c r="C520" s="41" t="s">
        <v>118</v>
      </c>
      <c r="D520" s="42">
        <v>0</v>
      </c>
      <c r="E520" s="42">
        <v>0</v>
      </c>
      <c r="F520" s="42">
        <f>F521</f>
        <v>810.39</v>
      </c>
      <c r="G520" s="42">
        <f>F520-E520</f>
        <v>810.39</v>
      </c>
      <c r="I520" s="2"/>
    </row>
    <row r="521" spans="1:9" x14ac:dyDescent="0.25">
      <c r="A521" s="3"/>
      <c r="B521" s="3"/>
      <c r="C521" s="3" t="s">
        <v>114</v>
      </c>
      <c r="D521" s="5">
        <v>0</v>
      </c>
      <c r="E521" s="5">
        <v>0</v>
      </c>
      <c r="F521" s="5">
        <v>810.39</v>
      </c>
      <c r="G521" s="5">
        <f t="shared" ref="G521" si="279">F521-E521</f>
        <v>810.39</v>
      </c>
      <c r="I521" s="2"/>
    </row>
    <row r="522" spans="1:9" x14ac:dyDescent="0.25">
      <c r="A522" s="41"/>
      <c r="B522" s="41"/>
      <c r="C522" s="41" t="s">
        <v>119</v>
      </c>
      <c r="D522" s="42">
        <f>D524</f>
        <v>-1723</v>
      </c>
      <c r="E522" s="42">
        <f>E523</f>
        <v>-3280.58</v>
      </c>
      <c r="F522" s="42">
        <f>F524+F525</f>
        <v>-2957.96</v>
      </c>
      <c r="G522" s="42">
        <f>F522-E522</f>
        <v>322.61999999999989</v>
      </c>
      <c r="I522" s="2"/>
    </row>
    <row r="523" spans="1:9" x14ac:dyDescent="0.25">
      <c r="A523" s="41"/>
      <c r="B523" s="41"/>
      <c r="C523" s="3" t="s">
        <v>193</v>
      </c>
      <c r="D523" s="5">
        <v>0</v>
      </c>
      <c r="E523" s="5">
        <v>-3280.58</v>
      </c>
      <c r="F523" s="5">
        <v>0</v>
      </c>
      <c r="G523" s="5">
        <f t="shared" ref="G523" si="280">F523-E523</f>
        <v>3280.58</v>
      </c>
      <c r="I523" s="2"/>
    </row>
    <row r="524" spans="1:9" x14ac:dyDescent="0.25">
      <c r="A524" s="3"/>
      <c r="B524" s="3"/>
      <c r="C524" s="3" t="s">
        <v>52</v>
      </c>
      <c r="D524" s="5">
        <v>-1723</v>
      </c>
      <c r="E524" s="5">
        <v>0</v>
      </c>
      <c r="F524" s="5">
        <v>-1485.52</v>
      </c>
      <c r="G524" s="5">
        <f t="shared" ref="G524:G525" si="281">F524-E524</f>
        <v>-1485.52</v>
      </c>
      <c r="I524" s="2"/>
    </row>
    <row r="525" spans="1:9" x14ac:dyDescent="0.25">
      <c r="A525" s="3"/>
      <c r="B525" s="3"/>
      <c r="C525" s="3" t="s">
        <v>53</v>
      </c>
      <c r="D525" s="5">
        <v>0</v>
      </c>
      <c r="E525" s="5">
        <v>0</v>
      </c>
      <c r="F525" s="5">
        <v>-1472.44</v>
      </c>
      <c r="G525" s="5">
        <f t="shared" si="281"/>
        <v>-1472.44</v>
      </c>
      <c r="I525" s="2"/>
    </row>
    <row r="526" spans="1:9" x14ac:dyDescent="0.25">
      <c r="A526" s="41"/>
      <c r="B526" s="41"/>
      <c r="C526" s="41" t="s">
        <v>120</v>
      </c>
      <c r="D526" s="42">
        <f>SUM(D528:D529)</f>
        <v>-39322</v>
      </c>
      <c r="E526" s="42">
        <f>E527</f>
        <v>-48423.839999999997</v>
      </c>
      <c r="F526" s="42">
        <f>SUM(F528:F530)</f>
        <v>-42139.090000000004</v>
      </c>
      <c r="G526" s="42">
        <f>F526-E526</f>
        <v>6284.7499999999927</v>
      </c>
      <c r="I526" s="2"/>
    </row>
    <row r="527" spans="1:9" x14ac:dyDescent="0.25">
      <c r="A527" s="41"/>
      <c r="B527" s="41"/>
      <c r="C527" s="3" t="s">
        <v>193</v>
      </c>
      <c r="D527" s="5">
        <v>0</v>
      </c>
      <c r="E527" s="5">
        <v>-48423.839999999997</v>
      </c>
      <c r="F527" s="5">
        <v>0</v>
      </c>
      <c r="G527" s="5">
        <f t="shared" ref="G527" si="282">F527-E527</f>
        <v>48423.839999999997</v>
      </c>
      <c r="I527" s="2"/>
    </row>
    <row r="528" spans="1:9" x14ac:dyDescent="0.25">
      <c r="A528" s="3"/>
      <c r="B528" s="3"/>
      <c r="C528" s="3" t="s">
        <v>52</v>
      </c>
      <c r="D528" s="5">
        <v>-26234</v>
      </c>
      <c r="E528" s="5">
        <v>0</v>
      </c>
      <c r="F528" s="5">
        <v>-32796.06</v>
      </c>
      <c r="G528" s="5">
        <f t="shared" ref="G528:G551" si="283">F528-E528</f>
        <v>-32796.06</v>
      </c>
      <c r="I528" s="2"/>
    </row>
    <row r="529" spans="1:9" x14ac:dyDescent="0.25">
      <c r="A529" s="41"/>
      <c r="B529" s="41"/>
      <c r="C529" s="3" t="s">
        <v>53</v>
      </c>
      <c r="D529" s="5">
        <v>-13088</v>
      </c>
      <c r="E529" s="5">
        <v>0</v>
      </c>
      <c r="F529" s="5">
        <v>-8615.02</v>
      </c>
      <c r="G529" s="5">
        <f t="shared" si="283"/>
        <v>-8615.02</v>
      </c>
      <c r="I529" s="2"/>
    </row>
    <row r="530" spans="1:9" x14ac:dyDescent="0.25">
      <c r="A530" s="41"/>
      <c r="B530" s="41"/>
      <c r="C530" s="3" t="s">
        <v>54</v>
      </c>
      <c r="D530" s="5">
        <v>0</v>
      </c>
      <c r="E530" s="5">
        <v>0</v>
      </c>
      <c r="F530" s="5">
        <v>-728.01</v>
      </c>
      <c r="G530" s="5">
        <f t="shared" si="283"/>
        <v>-728.01</v>
      </c>
      <c r="I530" s="2"/>
    </row>
    <row r="531" spans="1:9" x14ac:dyDescent="0.25">
      <c r="A531" s="41"/>
      <c r="B531" s="39" t="s">
        <v>195</v>
      </c>
      <c r="C531" s="41"/>
      <c r="D531" s="42">
        <f>SUM(D532:D535)</f>
        <v>0</v>
      </c>
      <c r="E531" s="42">
        <f t="shared" ref="E531:F531" si="284">SUM(E532:E535)</f>
        <v>-13124.810000000001</v>
      </c>
      <c r="F531" s="42">
        <f t="shared" si="284"/>
        <v>-18431.5</v>
      </c>
      <c r="G531" s="42">
        <f>F531-E531</f>
        <v>-5306.6899999999987</v>
      </c>
      <c r="I531" s="2"/>
    </row>
    <row r="532" spans="1:9" x14ac:dyDescent="0.25">
      <c r="A532" s="41"/>
      <c r="B532" s="41"/>
      <c r="C532" s="3" t="s">
        <v>193</v>
      </c>
      <c r="D532" s="42">
        <v>0</v>
      </c>
      <c r="E532" s="5">
        <f>E542</f>
        <v>-541.53</v>
      </c>
      <c r="F532" s="5">
        <v>0</v>
      </c>
      <c r="G532" s="5">
        <f t="shared" ref="G532:G535" si="285">F532-E532</f>
        <v>541.53</v>
      </c>
      <c r="I532" s="2"/>
    </row>
    <row r="533" spans="1:9" x14ac:dyDescent="0.25">
      <c r="A533" s="41"/>
      <c r="B533" s="3"/>
      <c r="C533" s="3" t="s">
        <v>52</v>
      </c>
      <c r="D533" s="5">
        <f>D537+D543</f>
        <v>0</v>
      </c>
      <c r="E533" s="5">
        <f t="shared" ref="E533:F533" si="286">E537+E543</f>
        <v>-10430.66</v>
      </c>
      <c r="F533" s="5">
        <f t="shared" si="286"/>
        <v>-10055.34</v>
      </c>
      <c r="G533" s="5">
        <f t="shared" si="285"/>
        <v>375.31999999999971</v>
      </c>
      <c r="I533" s="2"/>
    </row>
    <row r="534" spans="1:9" x14ac:dyDescent="0.25">
      <c r="A534" s="41"/>
      <c r="B534" s="3"/>
      <c r="C534" s="3" t="s">
        <v>53</v>
      </c>
      <c r="D534" s="5">
        <f>D538+D544</f>
        <v>0</v>
      </c>
      <c r="E534" s="5">
        <f t="shared" ref="E534:F534" si="287">E538+E544</f>
        <v>-2152.62</v>
      </c>
      <c r="F534" s="5">
        <f t="shared" si="287"/>
        <v>-1257.3400000000001</v>
      </c>
      <c r="G534" s="5">
        <f t="shared" si="285"/>
        <v>895.27999999999975</v>
      </c>
      <c r="I534" s="2"/>
    </row>
    <row r="535" spans="1:9" x14ac:dyDescent="0.25">
      <c r="A535" s="41"/>
      <c r="B535" s="3"/>
      <c r="C535" s="3" t="s">
        <v>114</v>
      </c>
      <c r="D535" s="5">
        <f>D545+D540</f>
        <v>0</v>
      </c>
      <c r="E535" s="5">
        <f t="shared" ref="E535:F535" si="288">E545+E540</f>
        <v>0</v>
      </c>
      <c r="F535" s="5">
        <f t="shared" si="288"/>
        <v>-7118.8200000000006</v>
      </c>
      <c r="G535" s="5">
        <f t="shared" si="285"/>
        <v>-7118.8200000000006</v>
      </c>
      <c r="I535" s="2"/>
    </row>
    <row r="536" spans="1:9" x14ac:dyDescent="0.25">
      <c r="A536" s="41"/>
      <c r="B536" s="41"/>
      <c r="C536" s="41" t="s">
        <v>117</v>
      </c>
      <c r="D536" s="42">
        <f>SUM(D537:D538)</f>
        <v>0</v>
      </c>
      <c r="E536" s="42">
        <f>SUM(E537:E538)</f>
        <v>-12583.279999999999</v>
      </c>
      <c r="F536" s="42">
        <f>SUM(F537:F538)</f>
        <v>-10950.1</v>
      </c>
      <c r="G536" s="42">
        <f>F536-E536</f>
        <v>1633.1799999999985</v>
      </c>
      <c r="I536" s="2"/>
    </row>
    <row r="537" spans="1:9" x14ac:dyDescent="0.25">
      <c r="A537" s="41"/>
      <c r="B537" s="3"/>
      <c r="C537" s="3" t="s">
        <v>52</v>
      </c>
      <c r="D537" s="5">
        <v>0</v>
      </c>
      <c r="E537" s="5">
        <v>-10430.66</v>
      </c>
      <c r="F537" s="5">
        <v>-9712.91</v>
      </c>
      <c r="G537" s="5">
        <f t="shared" ref="G537:G540" si="289">F537-E537</f>
        <v>717.75</v>
      </c>
      <c r="I537" s="2"/>
    </row>
    <row r="538" spans="1:9" x14ac:dyDescent="0.25">
      <c r="A538" s="41"/>
      <c r="B538" s="3"/>
      <c r="C538" s="3" t="s">
        <v>53</v>
      </c>
      <c r="D538" s="5">
        <v>0</v>
      </c>
      <c r="E538" s="5">
        <v>-2152.62</v>
      </c>
      <c r="F538" s="5">
        <v>-1237.19</v>
      </c>
      <c r="G538" s="5">
        <f t="shared" si="289"/>
        <v>915.42999999999984</v>
      </c>
      <c r="I538" s="2"/>
    </row>
    <row r="539" spans="1:9" x14ac:dyDescent="0.25">
      <c r="A539" s="41"/>
      <c r="B539" s="41"/>
      <c r="C539" s="41" t="s">
        <v>118</v>
      </c>
      <c r="D539" s="42">
        <f>D540</f>
        <v>0</v>
      </c>
      <c r="E539" s="42">
        <f t="shared" ref="E539:F539" si="290">E540</f>
        <v>0</v>
      </c>
      <c r="F539" s="42">
        <f t="shared" si="290"/>
        <v>0.03</v>
      </c>
      <c r="G539" s="42">
        <f t="shared" si="289"/>
        <v>0.03</v>
      </c>
      <c r="I539" s="2"/>
    </row>
    <row r="540" spans="1:9" x14ac:dyDescent="0.25">
      <c r="A540" s="41"/>
      <c r="B540" s="3"/>
      <c r="C540" s="3" t="s">
        <v>54</v>
      </c>
      <c r="D540" s="5">
        <v>0</v>
      </c>
      <c r="E540" s="5">
        <v>0</v>
      </c>
      <c r="F540" s="5">
        <v>0.03</v>
      </c>
      <c r="G540" s="5">
        <f t="shared" si="289"/>
        <v>0.03</v>
      </c>
      <c r="I540" s="2"/>
    </row>
    <row r="541" spans="1:9" x14ac:dyDescent="0.25">
      <c r="A541" s="41"/>
      <c r="B541" s="41"/>
      <c r="C541" s="41" t="s">
        <v>119</v>
      </c>
      <c r="D541" s="42">
        <f>SUM(D542:D544)</f>
        <v>0</v>
      </c>
      <c r="E541" s="42">
        <f t="shared" ref="E541:F541" si="291">SUM(E542:E544)</f>
        <v>-541.53</v>
      </c>
      <c r="F541" s="42">
        <f t="shared" si="291"/>
        <v>-362.58</v>
      </c>
      <c r="G541" s="42">
        <f>F541-E541</f>
        <v>178.95</v>
      </c>
      <c r="I541" s="2"/>
    </row>
    <row r="542" spans="1:9" x14ac:dyDescent="0.25">
      <c r="A542" s="41"/>
      <c r="B542" s="41"/>
      <c r="C542" s="3" t="s">
        <v>193</v>
      </c>
      <c r="D542" s="42">
        <v>0</v>
      </c>
      <c r="E542" s="5">
        <v>-541.53</v>
      </c>
      <c r="F542" s="5">
        <v>0</v>
      </c>
      <c r="G542" s="5">
        <f t="shared" ref="G542:G544" si="292">F542-E542</f>
        <v>541.53</v>
      </c>
      <c r="I542" s="2"/>
    </row>
    <row r="543" spans="1:9" x14ac:dyDescent="0.25">
      <c r="A543" s="41"/>
      <c r="B543" s="3"/>
      <c r="C543" s="3" t="s">
        <v>52</v>
      </c>
      <c r="D543" s="5">
        <v>0</v>
      </c>
      <c r="E543" s="5">
        <v>0</v>
      </c>
      <c r="F543" s="5">
        <v>-342.43</v>
      </c>
      <c r="G543" s="5">
        <f t="shared" si="292"/>
        <v>-342.43</v>
      </c>
      <c r="I543" s="2"/>
    </row>
    <row r="544" spans="1:9" x14ac:dyDescent="0.25">
      <c r="A544" s="41"/>
      <c r="B544" s="41"/>
      <c r="C544" s="3" t="s">
        <v>53</v>
      </c>
      <c r="D544" s="5">
        <v>0</v>
      </c>
      <c r="E544" s="5">
        <v>0</v>
      </c>
      <c r="F544" s="5">
        <v>-20.149999999999999</v>
      </c>
      <c r="G544" s="5">
        <f t="shared" si="292"/>
        <v>-20.149999999999999</v>
      </c>
      <c r="I544" s="2"/>
    </row>
    <row r="545" spans="1:9" x14ac:dyDescent="0.25">
      <c r="A545" s="41"/>
      <c r="B545" s="41"/>
      <c r="C545" s="41" t="s">
        <v>121</v>
      </c>
      <c r="D545" s="42">
        <v>0</v>
      </c>
      <c r="E545" s="42">
        <f>D545</f>
        <v>0</v>
      </c>
      <c r="F545" s="5">
        <v>-7118.85</v>
      </c>
      <c r="G545" s="42">
        <f>F545-E545</f>
        <v>-7118.85</v>
      </c>
      <c r="I545" s="2"/>
    </row>
    <row r="546" spans="1:9" s="39" customFormat="1" ht="15.75" x14ac:dyDescent="0.25">
      <c r="A546" s="71" t="s">
        <v>149</v>
      </c>
      <c r="B546" s="41"/>
      <c r="C546" s="41"/>
      <c r="D546" s="42">
        <f>SUM(D547:D551)</f>
        <v>-3821643</v>
      </c>
      <c r="E546" s="42">
        <f t="shared" ref="E546:F546" si="293">SUM(E547:E551)</f>
        <v>-2925414.95</v>
      </c>
      <c r="F546" s="42">
        <f t="shared" si="293"/>
        <v>-2551106.04</v>
      </c>
      <c r="G546" s="42">
        <f t="shared" si="283"/>
        <v>374308.91000000015</v>
      </c>
      <c r="H546" s="25"/>
      <c r="I546" s="2"/>
    </row>
    <row r="547" spans="1:9" x14ac:dyDescent="0.25">
      <c r="A547" s="3"/>
      <c r="B547" s="3" t="s">
        <v>117</v>
      </c>
      <c r="C547" s="3"/>
      <c r="D547" s="5">
        <f>D558+D578+D603</f>
        <v>-1320103</v>
      </c>
      <c r="E547" s="5">
        <f>E558+E578+E603+E622</f>
        <v>-1488568.8900000001</v>
      </c>
      <c r="F547" s="5">
        <f>F558+F578+F603+F622</f>
        <v>-1173847.47</v>
      </c>
      <c r="G547" s="5">
        <f t="shared" si="283"/>
        <v>314721.42000000016</v>
      </c>
      <c r="I547" s="2"/>
    </row>
    <row r="548" spans="1:9" x14ac:dyDescent="0.25">
      <c r="A548" s="3"/>
      <c r="B548" s="3" t="s">
        <v>118</v>
      </c>
      <c r="C548" s="3"/>
      <c r="D548" s="5">
        <v>0</v>
      </c>
      <c r="E548" s="5">
        <v>0</v>
      </c>
      <c r="F548" s="5">
        <f>F563+F583+F606</f>
        <v>-3068.25</v>
      </c>
      <c r="G548" s="5">
        <f t="shared" si="283"/>
        <v>-3068.25</v>
      </c>
      <c r="I548" s="2"/>
    </row>
    <row r="549" spans="1:9" x14ac:dyDescent="0.25">
      <c r="A549" s="3"/>
      <c r="B549" s="3" t="s">
        <v>119</v>
      </c>
      <c r="C549" s="3"/>
      <c r="D549" s="5">
        <f>D565+D586</f>
        <v>-2455136</v>
      </c>
      <c r="E549" s="5">
        <f>E565+E586+E608+E627</f>
        <v>-1386336.75</v>
      </c>
      <c r="F549" s="5">
        <f>F565+F586+F608+F627</f>
        <v>-1311161.1499999999</v>
      </c>
      <c r="G549" s="5">
        <f t="shared" si="283"/>
        <v>75175.600000000093</v>
      </c>
      <c r="I549" s="2"/>
    </row>
    <row r="550" spans="1:9" x14ac:dyDescent="0.25">
      <c r="A550" s="3"/>
      <c r="B550" s="3" t="s">
        <v>120</v>
      </c>
      <c r="C550" s="3"/>
      <c r="D550" s="5">
        <f>D612</f>
        <v>-823</v>
      </c>
      <c r="E550" s="5">
        <f>E612+E593</f>
        <v>-4928.3100000000004</v>
      </c>
      <c r="F550" s="5">
        <f>F593+F612</f>
        <v>-4928.32</v>
      </c>
      <c r="G550" s="5">
        <f t="shared" si="283"/>
        <v>-9.999999999308784E-3</v>
      </c>
      <c r="I550" s="2"/>
    </row>
    <row r="551" spans="1:9" x14ac:dyDescent="0.25">
      <c r="A551" s="3"/>
      <c r="B551" s="3" t="s">
        <v>121</v>
      </c>
      <c r="C551" s="3"/>
      <c r="D551" s="5">
        <f>D569+D597</f>
        <v>-45581</v>
      </c>
      <c r="E551" s="5">
        <f t="shared" ref="E551" si="294">E569+E597</f>
        <v>-45581</v>
      </c>
      <c r="F551" s="5">
        <f>F569+F597+F631</f>
        <v>-58100.850000000006</v>
      </c>
      <c r="G551" s="5">
        <f t="shared" si="283"/>
        <v>-12519.850000000006</v>
      </c>
      <c r="I551" s="2"/>
    </row>
    <row r="552" spans="1:9" x14ac:dyDescent="0.25">
      <c r="A552" s="41"/>
      <c r="B552" s="41" t="s">
        <v>87</v>
      </c>
      <c r="C552" s="41"/>
      <c r="D552" s="42">
        <f>SUM(D554:D557)</f>
        <v>-861752</v>
      </c>
      <c r="E552" s="42">
        <f>SUM(E553:E557)</f>
        <v>-1005341.5800000001</v>
      </c>
      <c r="F552" s="42">
        <f t="shared" ref="F552" si="295">SUM(F554:F557)</f>
        <v>-689848.57000000007</v>
      </c>
      <c r="G552" s="42">
        <f>F552-E552</f>
        <v>315493.01</v>
      </c>
      <c r="I552" s="2"/>
    </row>
    <row r="553" spans="1:9" x14ac:dyDescent="0.25">
      <c r="A553" s="41"/>
      <c r="B553" s="41"/>
      <c r="C553" s="3" t="s">
        <v>193</v>
      </c>
      <c r="D553" s="5">
        <v>0</v>
      </c>
      <c r="E553" s="25">
        <f>E566</f>
        <v>-173518.76</v>
      </c>
      <c r="F553" s="5">
        <v>0</v>
      </c>
      <c r="G553" s="5">
        <f t="shared" ref="G553" si="296">F553-E553</f>
        <v>173518.76</v>
      </c>
      <c r="I553" s="2"/>
    </row>
    <row r="554" spans="1:9" x14ac:dyDescent="0.25">
      <c r="A554" s="3"/>
      <c r="B554" s="3"/>
      <c r="C554" s="3" t="s">
        <v>52</v>
      </c>
      <c r="D554" s="5">
        <f>D559+D567</f>
        <v>-437303</v>
      </c>
      <c r="E554" s="5">
        <f t="shared" ref="E554:F554" si="297">E559+E567</f>
        <v>-403741.9</v>
      </c>
      <c r="F554" s="5">
        <f t="shared" si="297"/>
        <v>-510729.62</v>
      </c>
      <c r="G554" s="5">
        <f t="shared" ref="G554:G557" si="298">F554-E554</f>
        <v>-106987.71999999997</v>
      </c>
      <c r="I554" s="2"/>
    </row>
    <row r="555" spans="1:9" x14ac:dyDescent="0.25">
      <c r="A555" s="3"/>
      <c r="B555" s="3"/>
      <c r="C555" s="3" t="s">
        <v>53</v>
      </c>
      <c r="D555" s="5">
        <f>D560+D568</f>
        <v>-384148</v>
      </c>
      <c r="E555" s="5">
        <f t="shared" ref="E555:F555" si="299">E560+E568</f>
        <v>-347779.92</v>
      </c>
      <c r="F555" s="5">
        <f t="shared" si="299"/>
        <v>-124306.94</v>
      </c>
      <c r="G555" s="5">
        <f t="shared" si="298"/>
        <v>223472.97999999998</v>
      </c>
      <c r="I555" s="2"/>
    </row>
    <row r="556" spans="1:9" x14ac:dyDescent="0.25">
      <c r="A556" s="3"/>
      <c r="B556" s="3"/>
      <c r="C556" s="3" t="s">
        <v>113</v>
      </c>
      <c r="D556" s="5">
        <f>D561</f>
        <v>-34274</v>
      </c>
      <c r="E556" s="5">
        <f t="shared" ref="E556:F556" si="300">E561</f>
        <v>-74274</v>
      </c>
      <c r="F556" s="5">
        <f t="shared" si="300"/>
        <v>-40724.050000000003</v>
      </c>
      <c r="G556" s="5">
        <f t="shared" si="298"/>
        <v>33549.949999999997</v>
      </c>
      <c r="I556" s="2"/>
    </row>
    <row r="557" spans="1:9" x14ac:dyDescent="0.25">
      <c r="A557" s="3"/>
      <c r="B557" s="3"/>
      <c r="C557" s="3" t="s">
        <v>114</v>
      </c>
      <c r="D557" s="5">
        <f>D569</f>
        <v>-6027</v>
      </c>
      <c r="E557" s="5">
        <f t="shared" ref="E557" si="301">E569</f>
        <v>-6027</v>
      </c>
      <c r="F557" s="5">
        <f>F569+F562+F564</f>
        <v>-14087.96</v>
      </c>
      <c r="G557" s="5">
        <f t="shared" si="298"/>
        <v>-8060.9599999999991</v>
      </c>
      <c r="I557" s="2"/>
    </row>
    <row r="558" spans="1:9" x14ac:dyDescent="0.25">
      <c r="A558" s="41"/>
      <c r="B558" s="41"/>
      <c r="C558" s="41" t="s">
        <v>117</v>
      </c>
      <c r="D558" s="42">
        <f>SUM(D559:D561)</f>
        <v>-708955</v>
      </c>
      <c r="E558" s="42">
        <f t="shared" ref="E558" si="302">SUM(E559:E561)</f>
        <v>-825795.82000000007</v>
      </c>
      <c r="F558" s="42">
        <f>SUM(F559:F562)</f>
        <v>-546957.31000000006</v>
      </c>
      <c r="G558" s="42">
        <f>F558-E558</f>
        <v>278838.51</v>
      </c>
      <c r="I558" s="2"/>
    </row>
    <row r="559" spans="1:9" x14ac:dyDescent="0.25">
      <c r="A559" s="3"/>
      <c r="B559" s="3"/>
      <c r="C559" s="3" t="s">
        <v>52</v>
      </c>
      <c r="D559" s="5">
        <v>-324286</v>
      </c>
      <c r="E559" s="5">
        <v>-403741.9</v>
      </c>
      <c r="F559" s="5">
        <v>-386137.9</v>
      </c>
      <c r="G559" s="5">
        <f t="shared" ref="G559:G562" si="303">F559-E559</f>
        <v>17604</v>
      </c>
      <c r="I559" s="2"/>
    </row>
    <row r="560" spans="1:9" x14ac:dyDescent="0.25">
      <c r="A560" s="3"/>
      <c r="B560" s="3"/>
      <c r="C560" s="3" t="s">
        <v>53</v>
      </c>
      <c r="D560" s="5">
        <v>-350395</v>
      </c>
      <c r="E560" s="5">
        <f>-347087.3-692.62</f>
        <v>-347779.92</v>
      </c>
      <c r="F560" s="5">
        <v>-120048.64</v>
      </c>
      <c r="G560" s="5">
        <f t="shared" si="303"/>
        <v>227731.27999999997</v>
      </c>
      <c r="I560" s="2"/>
    </row>
    <row r="561" spans="1:9" x14ac:dyDescent="0.25">
      <c r="A561" s="3"/>
      <c r="B561" s="3"/>
      <c r="C561" s="3" t="s">
        <v>113</v>
      </c>
      <c r="D561" s="5">
        <v>-34274</v>
      </c>
      <c r="E561" s="5">
        <v>-74274</v>
      </c>
      <c r="F561" s="5">
        <v>-40724.050000000003</v>
      </c>
      <c r="G561" s="5">
        <f t="shared" si="303"/>
        <v>33549.949999999997</v>
      </c>
      <c r="I561" s="2"/>
    </row>
    <row r="562" spans="1:9" x14ac:dyDescent="0.25">
      <c r="A562" s="3"/>
      <c r="B562" s="3"/>
      <c r="C562" s="3" t="s">
        <v>54</v>
      </c>
      <c r="D562" s="5">
        <v>0</v>
      </c>
      <c r="E562" s="5">
        <v>0</v>
      </c>
      <c r="F562" s="5">
        <v>-46.72</v>
      </c>
      <c r="G562" s="5">
        <f t="shared" si="303"/>
        <v>-46.72</v>
      </c>
      <c r="I562" s="2"/>
    </row>
    <row r="563" spans="1:9" x14ac:dyDescent="0.25">
      <c r="A563" s="3"/>
      <c r="B563" s="3"/>
      <c r="C563" s="41" t="s">
        <v>118</v>
      </c>
      <c r="D563" s="42">
        <v>0</v>
      </c>
      <c r="E563" s="42">
        <v>0</v>
      </c>
      <c r="F563" s="42">
        <f>F564</f>
        <v>-34.4</v>
      </c>
      <c r="G563" s="42">
        <f>F563-E563</f>
        <v>-34.4</v>
      </c>
      <c r="I563" s="2"/>
    </row>
    <row r="564" spans="1:9" x14ac:dyDescent="0.25">
      <c r="A564" s="3"/>
      <c r="B564" s="3"/>
      <c r="C564" s="3" t="s">
        <v>114</v>
      </c>
      <c r="D564" s="5">
        <v>0</v>
      </c>
      <c r="E564" s="5">
        <v>0</v>
      </c>
      <c r="F564" s="5">
        <v>-34.4</v>
      </c>
      <c r="G564" s="5">
        <f t="shared" ref="G564" si="304">F564-E564</f>
        <v>-34.4</v>
      </c>
      <c r="I564" s="2"/>
    </row>
    <row r="565" spans="1:9" x14ac:dyDescent="0.25">
      <c r="A565" s="41"/>
      <c r="B565" s="41"/>
      <c r="C565" s="41" t="s">
        <v>119</v>
      </c>
      <c r="D565" s="42">
        <f>SUM(D567:D568)</f>
        <v>-146770</v>
      </c>
      <c r="E565" s="42">
        <f>E566</f>
        <v>-173518.76</v>
      </c>
      <c r="F565" s="42">
        <f>SUM(F567:F568)</f>
        <v>-128850.02</v>
      </c>
      <c r="G565" s="42">
        <f>F565-E565</f>
        <v>44668.740000000005</v>
      </c>
      <c r="I565" s="2"/>
    </row>
    <row r="566" spans="1:9" x14ac:dyDescent="0.25">
      <c r="A566" s="41"/>
      <c r="B566" s="41"/>
      <c r="C566" s="3" t="s">
        <v>193</v>
      </c>
      <c r="D566" s="5">
        <v>0</v>
      </c>
      <c r="E566" s="5">
        <v>-173518.76</v>
      </c>
      <c r="F566" s="5">
        <v>0</v>
      </c>
      <c r="G566" s="5">
        <f t="shared" ref="G566" si="305">F566-E566</f>
        <v>173518.76</v>
      </c>
      <c r="I566" s="2"/>
    </row>
    <row r="567" spans="1:9" x14ac:dyDescent="0.25">
      <c r="A567" s="3"/>
      <c r="B567" s="3"/>
      <c r="C567" s="3" t="s">
        <v>52</v>
      </c>
      <c r="D567" s="5">
        <v>-113017</v>
      </c>
      <c r="E567" s="5">
        <v>0</v>
      </c>
      <c r="F567" s="5">
        <v>-124591.72</v>
      </c>
      <c r="G567" s="5">
        <f t="shared" ref="G567:G568" si="306">F567-E567</f>
        <v>-124591.72</v>
      </c>
      <c r="I567" s="2"/>
    </row>
    <row r="568" spans="1:9" x14ac:dyDescent="0.25">
      <c r="A568" s="41"/>
      <c r="B568" s="41"/>
      <c r="C568" s="3" t="s">
        <v>53</v>
      </c>
      <c r="D568" s="5">
        <v>-33753</v>
      </c>
      <c r="E568" s="5">
        <v>0</v>
      </c>
      <c r="F568" s="5">
        <v>-4258.3</v>
      </c>
      <c r="G568" s="5">
        <f t="shared" si="306"/>
        <v>-4258.3</v>
      </c>
      <c r="I568" s="2"/>
    </row>
    <row r="569" spans="1:9" s="39" customFormat="1" x14ac:dyDescent="0.25">
      <c r="A569" s="41"/>
      <c r="B569" s="41"/>
      <c r="C569" s="41" t="s">
        <v>121</v>
      </c>
      <c r="D569" s="42">
        <v>-6027</v>
      </c>
      <c r="E569" s="42">
        <f>D569</f>
        <v>-6027</v>
      </c>
      <c r="F569" s="5">
        <v>-14006.84</v>
      </c>
      <c r="G569" s="42">
        <f>F569-E569</f>
        <v>-7979.84</v>
      </c>
      <c r="H569" s="25"/>
      <c r="I569" s="2"/>
    </row>
    <row r="570" spans="1:9" x14ac:dyDescent="0.25">
      <c r="A570" s="41"/>
      <c r="B570" s="41" t="s">
        <v>129</v>
      </c>
      <c r="C570" s="41"/>
      <c r="D570" s="42">
        <f>SUM(D572:D576)</f>
        <v>-2871818</v>
      </c>
      <c r="E570" s="42">
        <f>SUM(E571:E576)</f>
        <v>-1723070.77</v>
      </c>
      <c r="F570" s="42">
        <f>SUM(F571:F577)</f>
        <v>-1679364.5500000003</v>
      </c>
      <c r="G570" s="42">
        <f>F570-E570</f>
        <v>43706.219999999739</v>
      </c>
      <c r="I570" s="2"/>
    </row>
    <row r="571" spans="1:9" x14ac:dyDescent="0.25">
      <c r="A571" s="41"/>
      <c r="B571" s="41"/>
      <c r="C571" s="3" t="s">
        <v>193</v>
      </c>
      <c r="D571" s="5">
        <v>0</v>
      </c>
      <c r="E571" s="5">
        <f>E586+E594</f>
        <v>-1141614.8900000001</v>
      </c>
      <c r="F571" s="5">
        <v>0</v>
      </c>
      <c r="G571" s="5">
        <f t="shared" ref="G571" si="307">F571-E571</f>
        <v>1141614.8900000001</v>
      </c>
      <c r="I571" s="2"/>
    </row>
    <row r="572" spans="1:9" x14ac:dyDescent="0.25">
      <c r="A572" s="3"/>
      <c r="B572" s="3"/>
      <c r="C572" s="3" t="s">
        <v>52</v>
      </c>
      <c r="D572" s="5">
        <f>D579+D588</f>
        <v>-121155</v>
      </c>
      <c r="E572" s="5">
        <f>E579+E588</f>
        <v>-106096.44</v>
      </c>
      <c r="F572" s="5">
        <f>F579+F588+F595</f>
        <v>-125580.3</v>
      </c>
      <c r="G572" s="5">
        <f t="shared" ref="G572:G577" si="308">F572-E572</f>
        <v>-19483.86</v>
      </c>
      <c r="I572" s="2"/>
    </row>
    <row r="573" spans="1:9" x14ac:dyDescent="0.25">
      <c r="A573" s="3"/>
      <c r="B573" s="3"/>
      <c r="C573" s="3" t="s">
        <v>53</v>
      </c>
      <c r="D573" s="5">
        <f>D580+D589</f>
        <v>-26080</v>
      </c>
      <c r="E573" s="5">
        <f>E580+E589</f>
        <v>-25776.52</v>
      </c>
      <c r="F573" s="5">
        <f>F580+F589+F596</f>
        <v>-28494.18</v>
      </c>
      <c r="G573" s="5">
        <f t="shared" si="308"/>
        <v>-2717.66</v>
      </c>
      <c r="I573" s="2"/>
    </row>
    <row r="574" spans="1:9" x14ac:dyDescent="0.25">
      <c r="A574" s="3"/>
      <c r="B574" s="3"/>
      <c r="C574" s="3" t="s">
        <v>122</v>
      </c>
      <c r="D574" s="5">
        <f>D590</f>
        <v>0</v>
      </c>
      <c r="E574" s="5">
        <f t="shared" ref="E574:F574" si="309">E590</f>
        <v>0</v>
      </c>
      <c r="F574" s="5">
        <f t="shared" si="309"/>
        <v>-167893.44</v>
      </c>
      <c r="G574" s="5">
        <f t="shared" si="308"/>
        <v>-167893.44</v>
      </c>
      <c r="I574" s="2"/>
    </row>
    <row r="575" spans="1:9" x14ac:dyDescent="0.25">
      <c r="A575" s="3"/>
      <c r="B575" s="3"/>
      <c r="C575" s="3" t="s">
        <v>113</v>
      </c>
      <c r="D575" s="5">
        <f>D581+D591</f>
        <v>-2685029</v>
      </c>
      <c r="E575" s="5">
        <f>E581+E591</f>
        <v>-410028.92</v>
      </c>
      <c r="F575" s="5">
        <f>F581+F591</f>
        <v>-1327760.03</v>
      </c>
      <c r="G575" s="5">
        <f t="shared" si="308"/>
        <v>-917731.1100000001</v>
      </c>
      <c r="I575" s="2"/>
    </row>
    <row r="576" spans="1:9" x14ac:dyDescent="0.25">
      <c r="A576" s="3"/>
      <c r="B576" s="3"/>
      <c r="C576" s="3" t="s">
        <v>114</v>
      </c>
      <c r="D576" s="5">
        <f>D597</f>
        <v>-39554</v>
      </c>
      <c r="E576" s="5">
        <f t="shared" ref="E576" si="310">E597</f>
        <v>-39554</v>
      </c>
      <c r="F576" s="5">
        <f>F597+F584+F592+F582</f>
        <v>-27056.25</v>
      </c>
      <c r="G576" s="5">
        <f t="shared" si="308"/>
        <v>12497.75</v>
      </c>
      <c r="I576" s="2"/>
    </row>
    <row r="577" spans="1:9" x14ac:dyDescent="0.25">
      <c r="A577" s="3"/>
      <c r="B577" s="3"/>
      <c r="C577" s="3" t="s">
        <v>30</v>
      </c>
      <c r="D577" s="5">
        <v>0</v>
      </c>
      <c r="E577" s="5">
        <v>0</v>
      </c>
      <c r="F577" s="5">
        <f>F585</f>
        <v>-2580.35</v>
      </c>
      <c r="G577" s="5">
        <f t="shared" si="308"/>
        <v>-2580.35</v>
      </c>
      <c r="I577" s="2"/>
    </row>
    <row r="578" spans="1:9" x14ac:dyDescent="0.25">
      <c r="A578" s="41"/>
      <c r="B578" s="41"/>
      <c r="C578" s="41" t="s">
        <v>117</v>
      </c>
      <c r="D578" s="42">
        <f>SUM(D579:D581)</f>
        <v>-523898</v>
      </c>
      <c r="E578" s="42">
        <f t="shared" ref="E578" si="311">SUM(E579:E581)</f>
        <v>-541901.88</v>
      </c>
      <c r="F578" s="42">
        <f>SUM(F579:F582)</f>
        <v>-518433.13</v>
      </c>
      <c r="G578" s="42">
        <f>F578-E578</f>
        <v>23468.75</v>
      </c>
      <c r="I578" s="2"/>
    </row>
    <row r="579" spans="1:9" x14ac:dyDescent="0.25">
      <c r="A579" s="3"/>
      <c r="B579" s="3"/>
      <c r="C579" s="3" t="s">
        <v>52</v>
      </c>
      <c r="D579" s="5">
        <v>-93397</v>
      </c>
      <c r="E579" s="5">
        <v>-106096.44</v>
      </c>
      <c r="F579" s="5">
        <v>-95026.51</v>
      </c>
      <c r="G579" s="5">
        <f t="shared" ref="G579:G582" si="312">F579-E579</f>
        <v>11069.930000000008</v>
      </c>
      <c r="I579" s="2"/>
    </row>
    <row r="580" spans="1:9" x14ac:dyDescent="0.25">
      <c r="A580" s="3"/>
      <c r="B580" s="3"/>
      <c r="C580" s="3" t="s">
        <v>53</v>
      </c>
      <c r="D580" s="5">
        <v>-20472</v>
      </c>
      <c r="E580" s="5">
        <f>-25754.27-22.25</f>
        <v>-25776.52</v>
      </c>
      <c r="F580" s="5">
        <v>-16667.47</v>
      </c>
      <c r="G580" s="5">
        <f t="shared" si="312"/>
        <v>9109.0499999999993</v>
      </c>
      <c r="I580" s="2"/>
    </row>
    <row r="581" spans="1:9" x14ac:dyDescent="0.25">
      <c r="A581" s="3"/>
      <c r="B581" s="3"/>
      <c r="C581" s="3" t="s">
        <v>113</v>
      </c>
      <c r="D581" s="5">
        <v>-410029</v>
      </c>
      <c r="E581" s="5">
        <v>-410028.92</v>
      </c>
      <c r="F581" s="5">
        <v>-406617.64</v>
      </c>
      <c r="G581" s="5">
        <f t="shared" si="312"/>
        <v>3411.2799999999697</v>
      </c>
      <c r="I581" s="2"/>
    </row>
    <row r="582" spans="1:9" x14ac:dyDescent="0.25">
      <c r="A582" s="3"/>
      <c r="B582" s="3"/>
      <c r="C582" s="3" t="s">
        <v>54</v>
      </c>
      <c r="D582" s="5">
        <v>0</v>
      </c>
      <c r="E582" s="5">
        <v>0</v>
      </c>
      <c r="F582" s="5">
        <v>-121.51</v>
      </c>
      <c r="G582" s="5">
        <f t="shared" si="312"/>
        <v>-121.51</v>
      </c>
      <c r="I582" s="2"/>
    </row>
    <row r="583" spans="1:9" x14ac:dyDescent="0.25">
      <c r="A583" s="3"/>
      <c r="B583" s="3"/>
      <c r="C583" s="41" t="s">
        <v>118</v>
      </c>
      <c r="D583" s="42">
        <f>SUM(D584:D585)</f>
        <v>0</v>
      </c>
      <c r="E583" s="42">
        <f t="shared" ref="E583:F583" si="313">SUM(E584:E585)</f>
        <v>0</v>
      </c>
      <c r="F583" s="42">
        <f t="shared" si="313"/>
        <v>-3220.72</v>
      </c>
      <c r="G583" s="42">
        <f>F583-E583</f>
        <v>-3220.72</v>
      </c>
      <c r="I583" s="2"/>
    </row>
    <row r="584" spans="1:9" x14ac:dyDescent="0.25">
      <c r="A584" s="3"/>
      <c r="B584" s="3"/>
      <c r="C584" s="3" t="s">
        <v>114</v>
      </c>
      <c r="D584" s="5">
        <v>0</v>
      </c>
      <c r="E584" s="5">
        <v>0</v>
      </c>
      <c r="F584" s="5">
        <v>-640.37</v>
      </c>
      <c r="G584" s="5">
        <f t="shared" ref="G584:G585" si="314">F584-E584</f>
        <v>-640.37</v>
      </c>
      <c r="I584" s="2"/>
    </row>
    <row r="585" spans="1:9" x14ac:dyDescent="0.25">
      <c r="A585" s="3"/>
      <c r="B585" s="3"/>
      <c r="C585" s="3" t="s">
        <v>30</v>
      </c>
      <c r="D585" s="5">
        <v>0</v>
      </c>
      <c r="E585" s="5">
        <v>0</v>
      </c>
      <c r="F585" s="5">
        <v>-2580.35</v>
      </c>
      <c r="G585" s="5">
        <f t="shared" si="314"/>
        <v>-2580.35</v>
      </c>
      <c r="I585" s="2"/>
    </row>
    <row r="586" spans="1:9" x14ac:dyDescent="0.25">
      <c r="A586" s="41"/>
      <c r="B586" s="41"/>
      <c r="C586" s="41" t="s">
        <v>119</v>
      </c>
      <c r="D586" s="42">
        <f>SUM(D588:D591)</f>
        <v>-2308366</v>
      </c>
      <c r="E586" s="42">
        <f>E587</f>
        <v>-1141537.8500000001</v>
      </c>
      <c r="F586" s="42">
        <f>SUM(F588:F592)</f>
        <v>-1132211.92</v>
      </c>
      <c r="G586" s="42">
        <f>F586-E586</f>
        <v>9325.9300000001676</v>
      </c>
      <c r="I586" s="2"/>
    </row>
    <row r="587" spans="1:9" x14ac:dyDescent="0.25">
      <c r="A587" s="41"/>
      <c r="B587" s="41"/>
      <c r="C587" s="3" t="s">
        <v>193</v>
      </c>
      <c r="D587" s="5"/>
      <c r="E587" s="5">
        <v>-1141537.8500000001</v>
      </c>
      <c r="F587" s="5">
        <v>0</v>
      </c>
      <c r="G587" s="5">
        <f t="shared" ref="G587" si="315">F587-E587</f>
        <v>1141537.8500000001</v>
      </c>
      <c r="I587" s="2"/>
    </row>
    <row r="588" spans="1:9" x14ac:dyDescent="0.25">
      <c r="A588" s="3"/>
      <c r="B588" s="3"/>
      <c r="C588" s="3" t="s">
        <v>52</v>
      </c>
      <c r="D588" s="5">
        <v>-27758</v>
      </c>
      <c r="E588" s="5">
        <v>0</v>
      </c>
      <c r="F588" s="5">
        <v>-30514.400000000001</v>
      </c>
      <c r="G588" s="5">
        <f t="shared" ref="G588:G592" si="316">F588-E588</f>
        <v>-30514.400000000001</v>
      </c>
      <c r="I588" s="2"/>
    </row>
    <row r="589" spans="1:9" x14ac:dyDescent="0.25">
      <c r="A589" s="41"/>
      <c r="B589" s="41"/>
      <c r="C589" s="3" t="s">
        <v>53</v>
      </c>
      <c r="D589" s="5">
        <v>-5608</v>
      </c>
      <c r="E589" s="5">
        <v>0</v>
      </c>
      <c r="F589" s="5">
        <v>-11789.06</v>
      </c>
      <c r="G589" s="5">
        <f t="shared" si="316"/>
        <v>-11789.06</v>
      </c>
      <c r="I589" s="2"/>
    </row>
    <row r="590" spans="1:9" x14ac:dyDescent="0.25">
      <c r="A590" s="41"/>
      <c r="B590" s="41"/>
      <c r="C590" s="3" t="s">
        <v>122</v>
      </c>
      <c r="D590" s="5">
        <v>0</v>
      </c>
      <c r="E590" s="5">
        <v>0</v>
      </c>
      <c r="F590" s="5">
        <v>-167893.44</v>
      </c>
      <c r="G590" s="5">
        <f t="shared" si="316"/>
        <v>-167893.44</v>
      </c>
      <c r="I590" s="2"/>
    </row>
    <row r="591" spans="1:9" x14ac:dyDescent="0.25">
      <c r="A591" s="41"/>
      <c r="B591" s="41"/>
      <c r="C591" s="3" t="s">
        <v>113</v>
      </c>
      <c r="D591" s="5">
        <f>-1736051-538949</f>
        <v>-2275000</v>
      </c>
      <c r="E591" s="5">
        <v>0</v>
      </c>
      <c r="F591" s="5">
        <v>-921142.39</v>
      </c>
      <c r="G591" s="5">
        <f t="shared" si="316"/>
        <v>-921142.39</v>
      </c>
      <c r="I591" s="2"/>
    </row>
    <row r="592" spans="1:9" x14ac:dyDescent="0.25">
      <c r="A592" s="41"/>
      <c r="B592" s="41"/>
      <c r="C592" s="3" t="s">
        <v>54</v>
      </c>
      <c r="D592" s="5">
        <v>0</v>
      </c>
      <c r="E592" s="5">
        <v>0</v>
      </c>
      <c r="F592" s="5">
        <v>-872.63</v>
      </c>
      <c r="G592" s="5">
        <f t="shared" si="316"/>
        <v>-872.63</v>
      </c>
      <c r="I592" s="2"/>
    </row>
    <row r="593" spans="1:9" x14ac:dyDescent="0.25">
      <c r="A593" s="41"/>
      <c r="B593" s="41"/>
      <c r="C593" s="41" t="s">
        <v>120</v>
      </c>
      <c r="D593" s="42">
        <f>SUM(D594:D595)</f>
        <v>0</v>
      </c>
      <c r="E593" s="42">
        <f>SUM(E594:E596)</f>
        <v>-77.040000000000006</v>
      </c>
      <c r="F593" s="42">
        <f>SUM(F594:F596)</f>
        <v>-77.039999999999992</v>
      </c>
      <c r="G593" s="42">
        <f>F593-E593</f>
        <v>0</v>
      </c>
      <c r="I593" s="2"/>
    </row>
    <row r="594" spans="1:9" x14ac:dyDescent="0.25">
      <c r="A594" s="41"/>
      <c r="B594" s="41"/>
      <c r="C594" s="3" t="s">
        <v>193</v>
      </c>
      <c r="D594" s="5">
        <v>0</v>
      </c>
      <c r="E594" s="5">
        <v>-77.040000000000006</v>
      </c>
      <c r="F594" s="5">
        <v>0</v>
      </c>
      <c r="G594" s="5">
        <f t="shared" ref="G594:G596" si="317">F594-E594</f>
        <v>77.040000000000006</v>
      </c>
      <c r="I594" s="2"/>
    </row>
    <row r="595" spans="1:9" x14ac:dyDescent="0.25">
      <c r="A595" s="41"/>
      <c r="B595" s="41"/>
      <c r="C595" s="3" t="s">
        <v>52</v>
      </c>
      <c r="D595" s="5">
        <v>0</v>
      </c>
      <c r="E595" s="5">
        <v>0</v>
      </c>
      <c r="F595" s="5">
        <v>-39.39</v>
      </c>
      <c r="G595" s="5">
        <f t="shared" si="317"/>
        <v>-39.39</v>
      </c>
      <c r="I595" s="2"/>
    </row>
    <row r="596" spans="1:9" x14ac:dyDescent="0.25">
      <c r="A596" s="41"/>
      <c r="B596" s="41"/>
      <c r="C596" s="3" t="s">
        <v>53</v>
      </c>
      <c r="D596" s="5">
        <v>0</v>
      </c>
      <c r="E596" s="5">
        <v>0</v>
      </c>
      <c r="F596" s="5">
        <v>-37.65</v>
      </c>
      <c r="G596" s="5">
        <f t="shared" si="317"/>
        <v>-37.65</v>
      </c>
      <c r="I596" s="2"/>
    </row>
    <row r="597" spans="1:9" s="39" customFormat="1" x14ac:dyDescent="0.25">
      <c r="A597" s="41"/>
      <c r="B597" s="41"/>
      <c r="C597" s="41" t="s">
        <v>121</v>
      </c>
      <c r="D597" s="42">
        <v>-39554</v>
      </c>
      <c r="E597" s="42">
        <f>D597</f>
        <v>-39554</v>
      </c>
      <c r="F597" s="5">
        <v>-25421.74</v>
      </c>
      <c r="G597" s="42">
        <f>F597-E597</f>
        <v>14132.259999999998</v>
      </c>
      <c r="H597" s="25"/>
      <c r="I597" s="2"/>
    </row>
    <row r="598" spans="1:9" x14ac:dyDescent="0.25">
      <c r="A598" s="41"/>
      <c r="B598" s="41" t="s">
        <v>143</v>
      </c>
      <c r="C598" s="41"/>
      <c r="D598" s="42">
        <f>SUM(D600:D601)</f>
        <v>-88073</v>
      </c>
      <c r="E598" s="42">
        <f>SUM(E599:E601)</f>
        <v>-162999.82</v>
      </c>
      <c r="F598" s="42">
        <f>SUM(F600:F602)</f>
        <v>-133548.25</v>
      </c>
      <c r="G598" s="42">
        <f>F598-E598</f>
        <v>29451.570000000007</v>
      </c>
      <c r="I598" s="2"/>
    </row>
    <row r="599" spans="1:9" x14ac:dyDescent="0.25">
      <c r="A599" s="41"/>
      <c r="B599" s="41"/>
      <c r="C599" s="3" t="s">
        <v>193</v>
      </c>
      <c r="D599" s="5">
        <v>0</v>
      </c>
      <c r="E599" s="5">
        <f>E609+E613</f>
        <v>-74711.010000000009</v>
      </c>
      <c r="F599" s="5">
        <v>0</v>
      </c>
      <c r="G599" s="5">
        <f t="shared" ref="G599" si="318">F599-E599</f>
        <v>74711.010000000009</v>
      </c>
      <c r="I599" s="2"/>
    </row>
    <row r="600" spans="1:9" x14ac:dyDescent="0.25">
      <c r="A600" s="3"/>
      <c r="B600" s="3"/>
      <c r="C600" s="3" t="s">
        <v>52</v>
      </c>
      <c r="D600" s="5">
        <f>D604+D614</f>
        <v>-32612</v>
      </c>
      <c r="E600" s="5">
        <f>E604+E614</f>
        <v>-32294.560000000001</v>
      </c>
      <c r="F600" s="5">
        <f>F604+F614+F610</f>
        <v>-104749.07</v>
      </c>
      <c r="G600" s="5">
        <f t="shared" ref="G600:G602" si="319">F600-E600</f>
        <v>-72454.510000000009</v>
      </c>
      <c r="I600" s="2"/>
    </row>
    <row r="601" spans="1:9" x14ac:dyDescent="0.25">
      <c r="A601" s="3"/>
      <c r="B601" s="3"/>
      <c r="C601" s="3" t="s">
        <v>53</v>
      </c>
      <c r="D601" s="5">
        <f>D605+D615</f>
        <v>-55461</v>
      </c>
      <c r="E601" s="5">
        <f>E605+E615</f>
        <v>-55994.25</v>
      </c>
      <c r="F601" s="5">
        <f>F605+F615+F611</f>
        <v>-28818.379999999997</v>
      </c>
      <c r="G601" s="5">
        <f t="shared" si="319"/>
        <v>27175.870000000003</v>
      </c>
      <c r="I601" s="2"/>
    </row>
    <row r="602" spans="1:9" x14ac:dyDescent="0.25">
      <c r="A602" s="3"/>
      <c r="B602" s="3"/>
      <c r="C602" s="3" t="s">
        <v>114</v>
      </c>
      <c r="D602" s="5">
        <v>0</v>
      </c>
      <c r="E602" s="5">
        <v>0</v>
      </c>
      <c r="F602" s="5">
        <f>F607+F616</f>
        <v>19.200000000000017</v>
      </c>
      <c r="G602" s="5">
        <f t="shared" si="319"/>
        <v>19.200000000000017</v>
      </c>
      <c r="I602" s="2"/>
    </row>
    <row r="603" spans="1:9" x14ac:dyDescent="0.25">
      <c r="A603" s="41"/>
      <c r="B603" s="41"/>
      <c r="C603" s="41" t="s">
        <v>117</v>
      </c>
      <c r="D603" s="42">
        <f>SUM(D604:D605)</f>
        <v>-87250</v>
      </c>
      <c r="E603" s="42">
        <f>SUM(E604:E605)</f>
        <v>-88288.81</v>
      </c>
      <c r="F603" s="42">
        <f>SUM(F604:F605)</f>
        <v>-79735.66</v>
      </c>
      <c r="G603" s="42">
        <f>F603-E603</f>
        <v>8553.1499999999942</v>
      </c>
      <c r="I603" s="2"/>
    </row>
    <row r="604" spans="1:9" x14ac:dyDescent="0.25">
      <c r="A604" s="3"/>
      <c r="B604" s="3"/>
      <c r="C604" s="3" t="s">
        <v>52</v>
      </c>
      <c r="D604" s="5">
        <v>-32509</v>
      </c>
      <c r="E604" s="5">
        <v>-32294.560000000001</v>
      </c>
      <c r="F604" s="5">
        <v>-60519.5</v>
      </c>
      <c r="G604" s="5">
        <f t="shared" ref="G604:G605" si="320">F604-E604</f>
        <v>-28224.94</v>
      </c>
      <c r="I604" s="2"/>
    </row>
    <row r="605" spans="1:9" x14ac:dyDescent="0.25">
      <c r="A605" s="3"/>
      <c r="B605" s="3"/>
      <c r="C605" s="3" t="s">
        <v>53</v>
      </c>
      <c r="D605" s="5">
        <v>-54741</v>
      </c>
      <c r="E605" s="5">
        <f>-55828.89-165.36</f>
        <v>-55994.25</v>
      </c>
      <c r="F605" s="5">
        <v>-19216.16</v>
      </c>
      <c r="G605" s="5">
        <f t="shared" si="320"/>
        <v>36778.089999999997</v>
      </c>
      <c r="I605" s="2"/>
    </row>
    <row r="606" spans="1:9" x14ac:dyDescent="0.25">
      <c r="A606" s="3"/>
      <c r="B606" s="3"/>
      <c r="C606" s="41" t="s">
        <v>118</v>
      </c>
      <c r="D606" s="42">
        <v>0</v>
      </c>
      <c r="E606" s="42">
        <v>0</v>
      </c>
      <c r="F606" s="42">
        <f>F607</f>
        <v>186.87</v>
      </c>
      <c r="G606" s="42">
        <f>F606-E606</f>
        <v>186.87</v>
      </c>
      <c r="H606" s="88"/>
      <c r="I606" s="2"/>
    </row>
    <row r="607" spans="1:9" x14ac:dyDescent="0.25">
      <c r="A607" s="3"/>
      <c r="B607" s="3"/>
      <c r="C607" s="3" t="s">
        <v>114</v>
      </c>
      <c r="D607" s="5">
        <v>0</v>
      </c>
      <c r="E607" s="5">
        <v>0</v>
      </c>
      <c r="F607" s="5">
        <v>186.87</v>
      </c>
      <c r="G607" s="5">
        <f t="shared" ref="G607" si="321">F607-E607</f>
        <v>186.87</v>
      </c>
      <c r="I607" s="2"/>
    </row>
    <row r="608" spans="1:9" x14ac:dyDescent="0.25">
      <c r="A608" s="3"/>
      <c r="B608" s="3"/>
      <c r="C608" s="41" t="s">
        <v>119</v>
      </c>
      <c r="D608" s="42">
        <v>0</v>
      </c>
      <c r="E608" s="42">
        <f>E609</f>
        <v>-69859.740000000005</v>
      </c>
      <c r="F608" s="42">
        <f>SUM(F609:F611)</f>
        <v>-49148.18</v>
      </c>
      <c r="G608" s="42">
        <f>F608-E608</f>
        <v>20711.560000000005</v>
      </c>
      <c r="I608" s="2"/>
    </row>
    <row r="609" spans="1:9" x14ac:dyDescent="0.25">
      <c r="A609" s="3"/>
      <c r="B609" s="3"/>
      <c r="C609" s="3" t="s">
        <v>193</v>
      </c>
      <c r="D609" s="5">
        <v>0</v>
      </c>
      <c r="E609" s="5">
        <v>-69859.740000000005</v>
      </c>
      <c r="F609" s="5">
        <v>0</v>
      </c>
      <c r="G609" s="5">
        <f t="shared" ref="G609:G611" si="322">F609-E609</f>
        <v>69859.740000000005</v>
      </c>
      <c r="I609" s="2"/>
    </row>
    <row r="610" spans="1:9" x14ac:dyDescent="0.25">
      <c r="A610" s="3"/>
      <c r="B610" s="3"/>
      <c r="C610" s="3" t="s">
        <v>52</v>
      </c>
      <c r="D610" s="5">
        <v>0</v>
      </c>
      <c r="E610" s="5">
        <v>0</v>
      </c>
      <c r="F610" s="5">
        <v>-45322.61</v>
      </c>
      <c r="G610" s="5">
        <f t="shared" si="322"/>
        <v>-45322.61</v>
      </c>
      <c r="I610" s="2"/>
    </row>
    <row r="611" spans="1:9" x14ac:dyDescent="0.25">
      <c r="A611" s="3"/>
      <c r="B611" s="3"/>
      <c r="C611" s="3" t="s">
        <v>53</v>
      </c>
      <c r="D611" s="5">
        <v>0</v>
      </c>
      <c r="E611" s="5">
        <v>0</v>
      </c>
      <c r="F611" s="5">
        <v>-3825.57</v>
      </c>
      <c r="G611" s="5">
        <f t="shared" si="322"/>
        <v>-3825.57</v>
      </c>
      <c r="I611" s="2"/>
    </row>
    <row r="612" spans="1:9" x14ac:dyDescent="0.25">
      <c r="A612" s="41"/>
      <c r="B612" s="41"/>
      <c r="C612" s="41" t="s">
        <v>120</v>
      </c>
      <c r="D612" s="42">
        <f>SUM(D614:D615)</f>
        <v>-823</v>
      </c>
      <c r="E612" s="42">
        <f>E613</f>
        <v>-4851.2700000000004</v>
      </c>
      <c r="F612" s="42">
        <f>SUM(F614:F616)</f>
        <v>-4851.28</v>
      </c>
      <c r="G612" s="42">
        <f>F612-E612</f>
        <v>-9.999999999308784E-3</v>
      </c>
      <c r="I612" s="2"/>
    </row>
    <row r="613" spans="1:9" x14ac:dyDescent="0.25">
      <c r="A613" s="41"/>
      <c r="B613" s="41"/>
      <c r="C613" s="3" t="s">
        <v>193</v>
      </c>
      <c r="D613" s="5">
        <v>0</v>
      </c>
      <c r="E613" s="5">
        <v>-4851.2700000000004</v>
      </c>
      <c r="F613" s="5">
        <v>0</v>
      </c>
      <c r="G613" s="5">
        <f t="shared" ref="G613" si="323">F613-E613</f>
        <v>4851.2700000000004</v>
      </c>
      <c r="I613" s="2"/>
    </row>
    <row r="614" spans="1:9" x14ac:dyDescent="0.25">
      <c r="A614" s="3"/>
      <c r="B614" s="3"/>
      <c r="C614" s="3" t="s">
        <v>52</v>
      </c>
      <c r="D614" s="5">
        <v>-103</v>
      </c>
      <c r="E614" s="5">
        <v>0</v>
      </c>
      <c r="F614" s="5">
        <v>1093.04</v>
      </c>
      <c r="G614" s="5">
        <f t="shared" ref="G614:G637" si="324">F614-E614</f>
        <v>1093.04</v>
      </c>
      <c r="I614" s="2"/>
    </row>
    <row r="615" spans="1:9" x14ac:dyDescent="0.25">
      <c r="A615" s="41"/>
      <c r="B615" s="41"/>
      <c r="C615" s="3" t="s">
        <v>53</v>
      </c>
      <c r="D615" s="5">
        <v>-720</v>
      </c>
      <c r="E615" s="5">
        <v>0</v>
      </c>
      <c r="F615" s="5">
        <v>-5776.65</v>
      </c>
      <c r="G615" s="5">
        <f t="shared" si="324"/>
        <v>-5776.65</v>
      </c>
      <c r="I615" s="2"/>
    </row>
    <row r="616" spans="1:9" x14ac:dyDescent="0.25">
      <c r="A616" s="41"/>
      <c r="B616" s="41"/>
      <c r="C616" s="3" t="s">
        <v>54</v>
      </c>
      <c r="D616" s="5">
        <v>0</v>
      </c>
      <c r="E616" s="5">
        <v>0</v>
      </c>
      <c r="F616" s="5">
        <v>-167.67</v>
      </c>
      <c r="G616" s="5">
        <f t="shared" si="324"/>
        <v>-167.67</v>
      </c>
      <c r="I616" s="2"/>
    </row>
    <row r="617" spans="1:9" x14ac:dyDescent="0.25">
      <c r="A617" s="41"/>
      <c r="B617" s="39" t="s">
        <v>195</v>
      </c>
      <c r="C617" s="41"/>
      <c r="D617" s="42">
        <f>SUM(D618:D621)</f>
        <v>0</v>
      </c>
      <c r="E617" s="42">
        <f t="shared" ref="E617:F617" si="325">SUM(E618:E621)</f>
        <v>-34002.78</v>
      </c>
      <c r="F617" s="42">
        <f t="shared" si="325"/>
        <v>-48344.639999999999</v>
      </c>
      <c r="G617" s="42">
        <f>F617-E617</f>
        <v>-14341.86</v>
      </c>
      <c r="I617" s="2"/>
    </row>
    <row r="618" spans="1:9" x14ac:dyDescent="0.25">
      <c r="A618" s="41"/>
      <c r="B618" s="41"/>
      <c r="C618" s="3" t="s">
        <v>193</v>
      </c>
      <c r="D618" s="42">
        <v>0</v>
      </c>
      <c r="E618" s="5">
        <f>E628</f>
        <v>-1420.4</v>
      </c>
      <c r="F618" s="5">
        <v>0</v>
      </c>
      <c r="G618" s="5">
        <f t="shared" ref="G618:G621" si="326">F618-E618</f>
        <v>1420.4</v>
      </c>
      <c r="I618" s="2"/>
    </row>
    <row r="619" spans="1:9" x14ac:dyDescent="0.25">
      <c r="A619" s="41"/>
      <c r="B619" s="3"/>
      <c r="C619" s="3" t="s">
        <v>52</v>
      </c>
      <c r="D619" s="5">
        <f>D623+D629</f>
        <v>0</v>
      </c>
      <c r="E619" s="5">
        <f t="shared" ref="E619:F619" si="327">E623+E629</f>
        <v>-27167.65</v>
      </c>
      <c r="F619" s="5">
        <f t="shared" si="327"/>
        <v>-26374.49</v>
      </c>
      <c r="G619" s="5">
        <f t="shared" si="326"/>
        <v>793.15999999999985</v>
      </c>
      <c r="I619" s="2"/>
    </row>
    <row r="620" spans="1:9" x14ac:dyDescent="0.25">
      <c r="A620" s="41"/>
      <c r="B620" s="3"/>
      <c r="C620" s="3" t="s">
        <v>53</v>
      </c>
      <c r="D620" s="5">
        <f>D624+D630</f>
        <v>0</v>
      </c>
      <c r="E620" s="5">
        <f t="shared" ref="E620:F620" si="328">E624+E630</f>
        <v>-5414.73</v>
      </c>
      <c r="F620" s="5">
        <f t="shared" si="328"/>
        <v>-3297.91</v>
      </c>
      <c r="G620" s="5">
        <f t="shared" si="326"/>
        <v>2116.8199999999997</v>
      </c>
      <c r="I620" s="2"/>
    </row>
    <row r="621" spans="1:9" x14ac:dyDescent="0.25">
      <c r="A621" s="41"/>
      <c r="B621" s="3"/>
      <c r="C621" s="3" t="s">
        <v>114</v>
      </c>
      <c r="D621" s="5">
        <f>D631+D626</f>
        <v>0</v>
      </c>
      <c r="E621" s="5">
        <f t="shared" ref="E621:F621" si="329">E631+E626</f>
        <v>0</v>
      </c>
      <c r="F621" s="5">
        <f t="shared" si="329"/>
        <v>-18672.240000000002</v>
      </c>
      <c r="G621" s="5">
        <f t="shared" si="326"/>
        <v>-18672.240000000002</v>
      </c>
      <c r="I621" s="2"/>
    </row>
    <row r="622" spans="1:9" x14ac:dyDescent="0.25">
      <c r="A622" s="41"/>
      <c r="B622" s="41"/>
      <c r="C622" s="41" t="s">
        <v>117</v>
      </c>
      <c r="D622" s="42">
        <f>SUM(D623:D624)</f>
        <v>0</v>
      </c>
      <c r="E622" s="42">
        <f>SUM(E623:E624)</f>
        <v>-32582.38</v>
      </c>
      <c r="F622" s="42">
        <f>SUM(F623:F624)</f>
        <v>-28721.370000000003</v>
      </c>
      <c r="G622" s="42">
        <f>F622-E622</f>
        <v>3861.0099999999984</v>
      </c>
      <c r="I622" s="2"/>
    </row>
    <row r="623" spans="1:9" x14ac:dyDescent="0.25">
      <c r="A623" s="41"/>
      <c r="B623" s="3"/>
      <c r="C623" s="3" t="s">
        <v>52</v>
      </c>
      <c r="D623" s="5">
        <v>0</v>
      </c>
      <c r="E623" s="5">
        <v>-27167.65</v>
      </c>
      <c r="F623" s="5">
        <v>-25476.31</v>
      </c>
      <c r="G623" s="5">
        <f t="shared" ref="G623:G626" si="330">F623-E623</f>
        <v>1691.3400000000001</v>
      </c>
      <c r="I623" s="2"/>
    </row>
    <row r="624" spans="1:9" x14ac:dyDescent="0.25">
      <c r="A624" s="41"/>
      <c r="B624" s="3"/>
      <c r="C624" s="3" t="s">
        <v>53</v>
      </c>
      <c r="D624" s="5">
        <v>0</v>
      </c>
      <c r="E624" s="5">
        <v>-5414.73</v>
      </c>
      <c r="F624" s="5">
        <v>-3245.06</v>
      </c>
      <c r="G624" s="5">
        <f t="shared" si="330"/>
        <v>2169.6699999999996</v>
      </c>
      <c r="I624" s="2"/>
    </row>
    <row r="625" spans="1:9" x14ac:dyDescent="0.25">
      <c r="A625" s="41"/>
      <c r="B625" s="41"/>
      <c r="C625" s="41" t="s">
        <v>118</v>
      </c>
      <c r="D625" s="42">
        <f>D626</f>
        <v>0</v>
      </c>
      <c r="E625" s="42">
        <f t="shared" ref="E625:F625" si="331">E626</f>
        <v>0</v>
      </c>
      <c r="F625" s="42">
        <f t="shared" si="331"/>
        <v>0.03</v>
      </c>
      <c r="G625" s="42">
        <f t="shared" si="330"/>
        <v>0.03</v>
      </c>
      <c r="I625" s="2"/>
    </row>
    <row r="626" spans="1:9" x14ac:dyDescent="0.25">
      <c r="A626" s="41"/>
      <c r="B626" s="3"/>
      <c r="C626" s="3" t="s">
        <v>54</v>
      </c>
      <c r="D626" s="5">
        <v>0</v>
      </c>
      <c r="E626" s="5">
        <v>0</v>
      </c>
      <c r="F626" s="5">
        <v>0.03</v>
      </c>
      <c r="G626" s="5">
        <f t="shared" si="330"/>
        <v>0.03</v>
      </c>
      <c r="I626" s="2"/>
    </row>
    <row r="627" spans="1:9" x14ac:dyDescent="0.25">
      <c r="A627" s="41"/>
      <c r="B627" s="41"/>
      <c r="C627" s="41" t="s">
        <v>119</v>
      </c>
      <c r="D627" s="42">
        <f>SUM(D628:D630)</f>
        <v>0</v>
      </c>
      <c r="E627" s="42">
        <f t="shared" ref="E627:F627" si="332">SUM(E628:E630)</f>
        <v>-1420.4</v>
      </c>
      <c r="F627" s="42">
        <f t="shared" si="332"/>
        <v>-951.03</v>
      </c>
      <c r="G627" s="42">
        <f>F627-E627</f>
        <v>469.37000000000012</v>
      </c>
      <c r="I627" s="2"/>
    </row>
    <row r="628" spans="1:9" x14ac:dyDescent="0.25">
      <c r="A628" s="41"/>
      <c r="B628" s="41"/>
      <c r="C628" s="3" t="s">
        <v>193</v>
      </c>
      <c r="D628" s="42">
        <v>0</v>
      </c>
      <c r="E628" s="5">
        <v>-1420.4</v>
      </c>
      <c r="F628" s="5">
        <v>0</v>
      </c>
      <c r="G628" s="5">
        <f t="shared" ref="G628:G630" si="333">F628-E628</f>
        <v>1420.4</v>
      </c>
      <c r="I628" s="2"/>
    </row>
    <row r="629" spans="1:9" x14ac:dyDescent="0.25">
      <c r="A629" s="41"/>
      <c r="B629" s="3"/>
      <c r="C629" s="3" t="s">
        <v>52</v>
      </c>
      <c r="D629" s="5">
        <v>0</v>
      </c>
      <c r="E629" s="5">
        <v>0</v>
      </c>
      <c r="F629" s="5">
        <v>-898.18</v>
      </c>
      <c r="G629" s="5">
        <f t="shared" si="333"/>
        <v>-898.18</v>
      </c>
      <c r="I629" s="2"/>
    </row>
    <row r="630" spans="1:9" x14ac:dyDescent="0.25">
      <c r="A630" s="41"/>
      <c r="B630" s="41"/>
      <c r="C630" s="3" t="s">
        <v>53</v>
      </c>
      <c r="D630" s="5">
        <v>0</v>
      </c>
      <c r="E630" s="5">
        <v>0</v>
      </c>
      <c r="F630" s="5">
        <v>-52.85</v>
      </c>
      <c r="G630" s="5">
        <f t="shared" si="333"/>
        <v>-52.85</v>
      </c>
      <c r="I630" s="2"/>
    </row>
    <row r="631" spans="1:9" x14ac:dyDescent="0.25">
      <c r="A631" s="41"/>
      <c r="B631" s="41"/>
      <c r="C631" s="41" t="s">
        <v>121</v>
      </c>
      <c r="D631" s="42">
        <v>0</v>
      </c>
      <c r="E631" s="42">
        <f>D631</f>
        <v>0</v>
      </c>
      <c r="F631" s="5">
        <v>-18672.27</v>
      </c>
      <c r="G631" s="42">
        <f>F631-E631</f>
        <v>-18672.27</v>
      </c>
      <c r="I631" s="2"/>
    </row>
    <row r="632" spans="1:9" s="39" customFormat="1" ht="15.75" x14ac:dyDescent="0.25">
      <c r="A632" s="71" t="s">
        <v>153</v>
      </c>
      <c r="B632" s="41"/>
      <c r="C632" s="41"/>
      <c r="D632" s="42">
        <f>SUM(D633:D637)</f>
        <v>-10364418</v>
      </c>
      <c r="E632" s="42">
        <f t="shared" ref="E632:F632" si="334">SUM(E633:E637)</f>
        <v>-7980646.4900000002</v>
      </c>
      <c r="F632" s="42">
        <f t="shared" si="334"/>
        <v>-7580400.6399999997</v>
      </c>
      <c r="G632" s="42">
        <f t="shared" si="324"/>
        <v>400245.85000000056</v>
      </c>
      <c r="H632" s="25"/>
      <c r="I632" s="2"/>
    </row>
    <row r="633" spans="1:9" x14ac:dyDescent="0.25">
      <c r="A633" s="3"/>
      <c r="B633" s="3" t="s">
        <v>117</v>
      </c>
      <c r="C633" s="3"/>
      <c r="D633" s="5">
        <f>D644+D664+D688</f>
        <v>-1423114</v>
      </c>
      <c r="E633" s="5">
        <f>E644+E664+E688+E707</f>
        <v>-1454288.79</v>
      </c>
      <c r="F633" s="5">
        <f>F644+F664+F688+F707</f>
        <v>-1391408.7</v>
      </c>
      <c r="G633" s="5">
        <f t="shared" si="324"/>
        <v>62880.090000000084</v>
      </c>
      <c r="I633" s="2"/>
    </row>
    <row r="634" spans="1:9" x14ac:dyDescent="0.25">
      <c r="A634" s="3"/>
      <c r="B634" s="3" t="s">
        <v>118</v>
      </c>
      <c r="C634" s="3"/>
      <c r="D634" s="5">
        <v>0</v>
      </c>
      <c r="E634" s="5">
        <v>0</v>
      </c>
      <c r="F634" s="5">
        <f>F649+F669+F691</f>
        <v>-7086.82</v>
      </c>
      <c r="G634" s="5">
        <f t="shared" si="324"/>
        <v>-7086.82</v>
      </c>
      <c r="I634" s="2"/>
    </row>
    <row r="635" spans="1:9" x14ac:dyDescent="0.25">
      <c r="A635" s="3"/>
      <c r="B635" s="3" t="s">
        <v>119</v>
      </c>
      <c r="C635" s="3"/>
      <c r="D635" s="5">
        <f>D651+D672</f>
        <v>-8461332</v>
      </c>
      <c r="E635" s="5">
        <f>E651+E672+E693+E712</f>
        <v>-6040465.8399999999</v>
      </c>
      <c r="F635" s="5">
        <f>F651+F672+F693+F712</f>
        <v>-5946593.8100000005</v>
      </c>
      <c r="G635" s="5">
        <f t="shared" si="324"/>
        <v>93872.029999999329</v>
      </c>
      <c r="I635" s="2"/>
    </row>
    <row r="636" spans="1:9" x14ac:dyDescent="0.25">
      <c r="A636" s="3"/>
      <c r="B636" s="3" t="s">
        <v>120</v>
      </c>
      <c r="C636" s="3"/>
      <c r="D636" s="5">
        <f>D697</f>
        <v>-14982</v>
      </c>
      <c r="E636" s="5">
        <f>E697+E678</f>
        <v>-20901.86</v>
      </c>
      <c r="F636" s="5">
        <f>F697+F678</f>
        <v>-9395.92</v>
      </c>
      <c r="G636" s="5">
        <f t="shared" si="324"/>
        <v>11505.94</v>
      </c>
      <c r="I636" s="2"/>
    </row>
    <row r="637" spans="1:9" x14ac:dyDescent="0.25">
      <c r="A637" s="3"/>
      <c r="B637" s="3" t="s">
        <v>121</v>
      </c>
      <c r="C637" s="3"/>
      <c r="D637" s="5">
        <f>D655+D682</f>
        <v>-464990</v>
      </c>
      <c r="E637" s="5">
        <f t="shared" ref="E637" si="335">E655+E682</f>
        <v>-464990</v>
      </c>
      <c r="F637" s="5">
        <f>F655+F682+F716</f>
        <v>-225915.39</v>
      </c>
      <c r="G637" s="5">
        <f t="shared" si="324"/>
        <v>239074.61</v>
      </c>
      <c r="I637" s="2"/>
    </row>
    <row r="638" spans="1:9" x14ac:dyDescent="0.25">
      <c r="A638" s="41"/>
      <c r="B638" s="41" t="s">
        <v>87</v>
      </c>
      <c r="C638" s="41"/>
      <c r="D638" s="42">
        <f>SUM(D640:D643)</f>
        <v>-1282493</v>
      </c>
      <c r="E638" s="42">
        <f>SUM(E639:E643)</f>
        <v>-1168142.1599999999</v>
      </c>
      <c r="F638" s="42">
        <f t="shared" ref="F638" si="336">SUM(F640:F643)</f>
        <v>-833056.71</v>
      </c>
      <c r="G638" s="42">
        <f>F638-E638</f>
        <v>335085.44999999995</v>
      </c>
      <c r="I638" s="2"/>
    </row>
    <row r="639" spans="1:9" x14ac:dyDescent="0.25">
      <c r="A639" s="41"/>
      <c r="B639" s="41"/>
      <c r="C639" s="3" t="s">
        <v>193</v>
      </c>
      <c r="D639" s="5">
        <v>0</v>
      </c>
      <c r="E639" s="5">
        <f>E652</f>
        <v>-287824.93</v>
      </c>
      <c r="F639" s="5">
        <v>0</v>
      </c>
      <c r="G639" s="5">
        <f t="shared" ref="G639" si="337">F639-E639</f>
        <v>287824.93</v>
      </c>
      <c r="I639" s="2"/>
    </row>
    <row r="640" spans="1:9" x14ac:dyDescent="0.25">
      <c r="A640" s="3"/>
      <c r="B640" s="3"/>
      <c r="C640" s="3" t="s">
        <v>52</v>
      </c>
      <c r="D640" s="5">
        <f>D645+D653</f>
        <v>-663936</v>
      </c>
      <c r="E640" s="5">
        <f t="shared" ref="E640:F640" si="338">E645+E653</f>
        <v>-418764.72</v>
      </c>
      <c r="F640" s="5">
        <f t="shared" si="338"/>
        <v>-599299.11</v>
      </c>
      <c r="G640" s="5">
        <f t="shared" ref="G640:G643" si="339">F640-E640</f>
        <v>-180534.39</v>
      </c>
      <c r="I640" s="2"/>
    </row>
    <row r="641" spans="1:9" x14ac:dyDescent="0.25">
      <c r="A641" s="3"/>
      <c r="B641" s="3"/>
      <c r="C641" s="3" t="s">
        <v>53</v>
      </c>
      <c r="D641" s="5">
        <f>D646+D654</f>
        <v>-242738</v>
      </c>
      <c r="E641" s="5">
        <f t="shared" ref="E641:F641" si="340">E646+E654</f>
        <v>-85733.51</v>
      </c>
      <c r="F641" s="5">
        <f t="shared" si="340"/>
        <v>-91935.82</v>
      </c>
      <c r="G641" s="5">
        <f t="shared" si="339"/>
        <v>-6202.3100000000122</v>
      </c>
      <c r="I641" s="2"/>
    </row>
    <row r="642" spans="1:9" x14ac:dyDescent="0.25">
      <c r="A642" s="3"/>
      <c r="B642" s="3"/>
      <c r="C642" s="3" t="s">
        <v>113</v>
      </c>
      <c r="D642" s="5">
        <f>D647</f>
        <v>-17200</v>
      </c>
      <c r="E642" s="5">
        <f t="shared" ref="E642:F642" si="341">E647</f>
        <v>-17200</v>
      </c>
      <c r="F642" s="5">
        <f t="shared" si="341"/>
        <v>-17200</v>
      </c>
      <c r="G642" s="5">
        <f t="shared" si="339"/>
        <v>0</v>
      </c>
      <c r="I642" s="2"/>
    </row>
    <row r="643" spans="1:9" x14ac:dyDescent="0.25">
      <c r="A643" s="3"/>
      <c r="B643" s="3"/>
      <c r="C643" s="3" t="s">
        <v>114</v>
      </c>
      <c r="D643" s="5">
        <f>D655</f>
        <v>-358619</v>
      </c>
      <c r="E643" s="5">
        <f t="shared" ref="E643" si="342">E655</f>
        <v>-358619</v>
      </c>
      <c r="F643" s="5">
        <f>F655+F648+F650</f>
        <v>-124621.78000000001</v>
      </c>
      <c r="G643" s="5">
        <f t="shared" si="339"/>
        <v>233997.21999999997</v>
      </c>
      <c r="I643" s="2"/>
    </row>
    <row r="644" spans="1:9" x14ac:dyDescent="0.25">
      <c r="A644" s="41"/>
      <c r="B644" s="41"/>
      <c r="C644" s="41" t="s">
        <v>117</v>
      </c>
      <c r="D644" s="42">
        <f>SUM(D645:D647)</f>
        <v>-561692</v>
      </c>
      <c r="E644" s="42">
        <f t="shared" ref="E644" si="343">SUM(E645:E647)</f>
        <v>-521698.23</v>
      </c>
      <c r="F644" s="42">
        <f>SUM(F645:F648)</f>
        <v>-509384.12</v>
      </c>
      <c r="G644" s="42">
        <f>F644-E644</f>
        <v>12314.109999999986</v>
      </c>
      <c r="I644" s="2"/>
    </row>
    <row r="645" spans="1:9" x14ac:dyDescent="0.25">
      <c r="A645" s="3"/>
      <c r="B645" s="3"/>
      <c r="C645" s="3" t="s">
        <v>52</v>
      </c>
      <c r="D645" s="5">
        <v>-423779</v>
      </c>
      <c r="E645" s="5">
        <v>-418764.72</v>
      </c>
      <c r="F645" s="5">
        <v>-408905.97</v>
      </c>
      <c r="G645" s="5">
        <f t="shared" ref="G645:G648" si="344">F645-E645</f>
        <v>9858.75</v>
      </c>
      <c r="I645" s="2"/>
    </row>
    <row r="646" spans="1:9" x14ac:dyDescent="0.25">
      <c r="A646" s="3"/>
      <c r="B646" s="3"/>
      <c r="C646" s="3" t="s">
        <v>53</v>
      </c>
      <c r="D646" s="5">
        <v>-120713</v>
      </c>
      <c r="E646" s="5">
        <f>-83075.36-2658.15</f>
        <v>-85733.51</v>
      </c>
      <c r="F646" s="5">
        <v>-83199.27</v>
      </c>
      <c r="G646" s="5">
        <f t="shared" si="344"/>
        <v>2534.2399999999907</v>
      </c>
      <c r="I646" s="2"/>
    </row>
    <row r="647" spans="1:9" x14ac:dyDescent="0.25">
      <c r="A647" s="3"/>
      <c r="B647" s="3"/>
      <c r="C647" s="3" t="s">
        <v>113</v>
      </c>
      <c r="D647" s="5">
        <v>-17200</v>
      </c>
      <c r="E647" s="5">
        <v>-17200</v>
      </c>
      <c r="F647" s="5">
        <v>-17200</v>
      </c>
      <c r="G647" s="5">
        <f t="shared" si="344"/>
        <v>0</v>
      </c>
      <c r="I647" s="2"/>
    </row>
    <row r="648" spans="1:9" x14ac:dyDescent="0.25">
      <c r="A648" s="3"/>
      <c r="B648" s="3"/>
      <c r="C648" s="3" t="s">
        <v>54</v>
      </c>
      <c r="D648" s="5">
        <v>0</v>
      </c>
      <c r="E648" s="5">
        <v>0</v>
      </c>
      <c r="F648" s="5">
        <v>-78.88</v>
      </c>
      <c r="G648" s="5">
        <f t="shared" si="344"/>
        <v>-78.88</v>
      </c>
      <c r="I648" s="2"/>
    </row>
    <row r="649" spans="1:9" x14ac:dyDescent="0.25">
      <c r="A649" s="3"/>
      <c r="B649" s="3"/>
      <c r="C649" s="41" t="s">
        <v>118</v>
      </c>
      <c r="D649" s="42">
        <v>0</v>
      </c>
      <c r="E649" s="42">
        <v>0</v>
      </c>
      <c r="F649" s="42">
        <f>F650</f>
        <v>-58.08</v>
      </c>
      <c r="G649" s="42">
        <f>F649-E649</f>
        <v>-58.08</v>
      </c>
      <c r="I649" s="2"/>
    </row>
    <row r="650" spans="1:9" x14ac:dyDescent="0.25">
      <c r="A650" s="3"/>
      <c r="B650" s="3"/>
      <c r="C650" s="3" t="s">
        <v>114</v>
      </c>
      <c r="D650" s="5">
        <v>0</v>
      </c>
      <c r="E650" s="5">
        <v>0</v>
      </c>
      <c r="F650" s="5">
        <v>-58.08</v>
      </c>
      <c r="G650" s="5">
        <f t="shared" ref="G650" si="345">F650-E650</f>
        <v>-58.08</v>
      </c>
      <c r="I650" s="2"/>
    </row>
    <row r="651" spans="1:9" x14ac:dyDescent="0.25">
      <c r="A651" s="41"/>
      <c r="B651" s="41"/>
      <c r="C651" s="41" t="s">
        <v>119</v>
      </c>
      <c r="D651" s="42">
        <f>SUM(D653:D654)</f>
        <v>-362182</v>
      </c>
      <c r="E651" s="42">
        <f>E652</f>
        <v>-287824.93</v>
      </c>
      <c r="F651" s="42">
        <f>SUM(F653:F654)</f>
        <v>-199129.69</v>
      </c>
      <c r="G651" s="42">
        <f>F651-E651</f>
        <v>88695.239999999991</v>
      </c>
      <c r="I651" s="2"/>
    </row>
    <row r="652" spans="1:9" x14ac:dyDescent="0.25">
      <c r="A652" s="41"/>
      <c r="B652" s="41"/>
      <c r="C652" s="3" t="s">
        <v>193</v>
      </c>
      <c r="D652" s="5">
        <v>0</v>
      </c>
      <c r="E652" s="5">
        <v>-287824.93</v>
      </c>
      <c r="F652" s="5">
        <v>0</v>
      </c>
      <c r="G652" s="5">
        <f t="shared" ref="G652" si="346">F652-E652</f>
        <v>287824.93</v>
      </c>
      <c r="I652" s="2"/>
    </row>
    <row r="653" spans="1:9" x14ac:dyDescent="0.25">
      <c r="A653" s="3"/>
      <c r="B653" s="3"/>
      <c r="C653" s="3" t="s">
        <v>52</v>
      </c>
      <c r="D653" s="5">
        <v>-240157</v>
      </c>
      <c r="E653" s="5">
        <v>0</v>
      </c>
      <c r="F653" s="5">
        <v>-190393.14</v>
      </c>
      <c r="G653" s="5">
        <f t="shared" ref="G653:G654" si="347">F653-E653</f>
        <v>-190393.14</v>
      </c>
      <c r="I653" s="2"/>
    </row>
    <row r="654" spans="1:9" x14ac:dyDescent="0.25">
      <c r="A654" s="41"/>
      <c r="B654" s="41"/>
      <c r="C654" s="3" t="s">
        <v>53</v>
      </c>
      <c r="D654" s="5">
        <v>-122025</v>
      </c>
      <c r="E654" s="5">
        <v>0</v>
      </c>
      <c r="F654" s="5">
        <v>-8736.5499999999993</v>
      </c>
      <c r="G654" s="5">
        <f t="shared" si="347"/>
        <v>-8736.5499999999993</v>
      </c>
      <c r="I654" s="2"/>
    </row>
    <row r="655" spans="1:9" s="39" customFormat="1" x14ac:dyDescent="0.25">
      <c r="A655" s="41"/>
      <c r="B655" s="41"/>
      <c r="C655" s="41" t="s">
        <v>121</v>
      </c>
      <c r="D655" s="42">
        <v>-358619</v>
      </c>
      <c r="E655" s="42">
        <f>D655</f>
        <v>-358619</v>
      </c>
      <c r="F655" s="5">
        <v>-124484.82</v>
      </c>
      <c r="G655" s="42">
        <f>F655-E655</f>
        <v>234134.18</v>
      </c>
      <c r="H655" s="25"/>
      <c r="I655" s="2"/>
    </row>
    <row r="656" spans="1:9" x14ac:dyDescent="0.25">
      <c r="A656" s="41"/>
      <c r="B656" s="41" t="s">
        <v>129</v>
      </c>
      <c r="C656" s="41"/>
      <c r="D656" s="42">
        <f>SUM(D658:D662)</f>
        <v>-8547890</v>
      </c>
      <c r="E656" s="42">
        <f>SUM(E657:E662)</f>
        <v>-6214459.4100000001</v>
      </c>
      <c r="F656" s="42">
        <f>SUM(F658:F663)</f>
        <v>-6146147.9800000004</v>
      </c>
      <c r="G656" s="42">
        <f>F656-E656</f>
        <v>68311.429999999702</v>
      </c>
      <c r="I656" s="2"/>
    </row>
    <row r="657" spans="1:9" x14ac:dyDescent="0.25">
      <c r="A657" s="41"/>
      <c r="B657" s="41"/>
      <c r="C657" s="3" t="s">
        <v>193</v>
      </c>
      <c r="D657" s="5">
        <v>0</v>
      </c>
      <c r="E657" s="5">
        <f>E672+E679</f>
        <v>-5747450.4000000004</v>
      </c>
      <c r="F657" s="5">
        <v>0</v>
      </c>
      <c r="G657" s="5">
        <f t="shared" ref="G657" si="348">F657-E657</f>
        <v>5747450.4000000004</v>
      </c>
      <c r="I657" s="2"/>
    </row>
    <row r="658" spans="1:9" x14ac:dyDescent="0.25">
      <c r="A658" s="3"/>
      <c r="B658" s="3"/>
      <c r="C658" s="3" t="s">
        <v>52</v>
      </c>
      <c r="D658" s="5">
        <f>D665+D674</f>
        <v>-471982</v>
      </c>
      <c r="E658" s="5">
        <f t="shared" ref="E658" si="349">E665+E674</f>
        <v>-264688.84999999998</v>
      </c>
      <c r="F658" s="5">
        <f>F665+F674+F680</f>
        <v>-457977.76999999996</v>
      </c>
      <c r="G658" s="5">
        <f t="shared" ref="G658:G663" si="350">F658-E658</f>
        <v>-193288.91999999998</v>
      </c>
      <c r="I658" s="2"/>
    </row>
    <row r="659" spans="1:9" x14ac:dyDescent="0.25">
      <c r="A659" s="3"/>
      <c r="B659" s="3"/>
      <c r="C659" s="3" t="s">
        <v>53</v>
      </c>
      <c r="D659" s="5">
        <f>D666+D675</f>
        <v>-63293</v>
      </c>
      <c r="E659" s="5">
        <f t="shared" ref="E659" si="351">E666+E675</f>
        <v>-60245.43</v>
      </c>
      <c r="F659" s="5">
        <f>F666+F675+F681</f>
        <v>-52266.16</v>
      </c>
      <c r="G659" s="5">
        <f t="shared" si="350"/>
        <v>7979.2699999999968</v>
      </c>
      <c r="I659" s="2"/>
    </row>
    <row r="660" spans="1:9" x14ac:dyDescent="0.25">
      <c r="A660" s="3"/>
      <c r="B660" s="3"/>
      <c r="C660" s="3" t="s">
        <v>122</v>
      </c>
      <c r="D660" s="5">
        <f>D676</f>
        <v>-6231588</v>
      </c>
      <c r="E660" s="5">
        <f t="shared" ref="E660:F660" si="352">E676</f>
        <v>0</v>
      </c>
      <c r="F660" s="5">
        <f t="shared" si="352"/>
        <v>-2822861.53</v>
      </c>
      <c r="G660" s="5">
        <f t="shared" ref="G660" si="353">F660-E660</f>
        <v>-2822861.53</v>
      </c>
      <c r="H660" s="25" t="s">
        <v>166</v>
      </c>
      <c r="I660" s="2"/>
    </row>
    <row r="661" spans="1:9" x14ac:dyDescent="0.25">
      <c r="A661" s="3"/>
      <c r="B661" s="3"/>
      <c r="C661" s="3" t="s">
        <v>113</v>
      </c>
      <c r="D661" s="5">
        <f>D667+D677</f>
        <v>-1674656</v>
      </c>
      <c r="E661" s="5">
        <f>E667+E677</f>
        <v>-35703.730000000003</v>
      </c>
      <c r="F661" s="5">
        <f>F667+F677</f>
        <v>-2736575.1</v>
      </c>
      <c r="G661" s="5">
        <f t="shared" si="350"/>
        <v>-2700871.37</v>
      </c>
      <c r="I661" s="2"/>
    </row>
    <row r="662" spans="1:9" x14ac:dyDescent="0.25">
      <c r="A662" s="3"/>
      <c r="B662" s="3"/>
      <c r="C662" s="3" t="s">
        <v>114</v>
      </c>
      <c r="D662" s="5">
        <f>D682</f>
        <v>-106371</v>
      </c>
      <c r="E662" s="5">
        <f t="shared" ref="E662" si="354">E682</f>
        <v>-106371</v>
      </c>
      <c r="F662" s="5">
        <f>F682+F668+F670</f>
        <v>-68710.850000000006</v>
      </c>
      <c r="G662" s="5">
        <f t="shared" si="350"/>
        <v>37660.149999999994</v>
      </c>
      <c r="I662" s="2"/>
    </row>
    <row r="663" spans="1:9" x14ac:dyDescent="0.25">
      <c r="A663" s="3"/>
      <c r="B663" s="3"/>
      <c r="C663" s="3" t="s">
        <v>30</v>
      </c>
      <c r="D663" s="5">
        <v>0</v>
      </c>
      <c r="E663" s="5">
        <v>0</v>
      </c>
      <c r="F663" s="5">
        <f>F671</f>
        <v>-7756.57</v>
      </c>
      <c r="G663" s="5">
        <f t="shared" si="350"/>
        <v>-7756.57</v>
      </c>
      <c r="I663" s="2"/>
    </row>
    <row r="664" spans="1:9" x14ac:dyDescent="0.25">
      <c r="A664" s="41"/>
      <c r="B664" s="41"/>
      <c r="C664" s="41" t="s">
        <v>117</v>
      </c>
      <c r="D664" s="42">
        <f>SUM(D665:D667)</f>
        <v>-342369</v>
      </c>
      <c r="E664" s="42">
        <f t="shared" ref="E664" si="355">SUM(E665:E667)</f>
        <v>-360638.00999999995</v>
      </c>
      <c r="F664" s="42">
        <f>SUM(F665:F668)</f>
        <v>-326431.33999999997</v>
      </c>
      <c r="G664" s="42">
        <f>F664-E664</f>
        <v>34206.669999999984</v>
      </c>
      <c r="I664" s="2"/>
    </row>
    <row r="665" spans="1:9" x14ac:dyDescent="0.25">
      <c r="A665" s="3"/>
      <c r="B665" s="3"/>
      <c r="C665" s="3" t="s">
        <v>52</v>
      </c>
      <c r="D665" s="5">
        <v>-280753</v>
      </c>
      <c r="E665" s="5">
        <v>-264688.84999999998</v>
      </c>
      <c r="F665" s="5">
        <v>-263651.55</v>
      </c>
      <c r="G665" s="5">
        <f t="shared" ref="G665:G668" si="356">F665-E665</f>
        <v>1037.2999999999884</v>
      </c>
      <c r="I665" s="2"/>
    </row>
    <row r="666" spans="1:9" x14ac:dyDescent="0.25">
      <c r="A666" s="3"/>
      <c r="B666" s="3"/>
      <c r="C666" s="3" t="s">
        <v>53</v>
      </c>
      <c r="D666" s="5">
        <v>-61538</v>
      </c>
      <c r="E666" s="5">
        <f>-60230.89-14.54</f>
        <v>-60245.43</v>
      </c>
      <c r="F666" s="5">
        <v>-50102.73</v>
      </c>
      <c r="G666" s="5">
        <f t="shared" si="356"/>
        <v>10142.699999999997</v>
      </c>
      <c r="I666" s="2"/>
    </row>
    <row r="667" spans="1:9" x14ac:dyDescent="0.25">
      <c r="A667" s="3"/>
      <c r="B667" s="3"/>
      <c r="C667" s="3" t="s">
        <v>113</v>
      </c>
      <c r="D667" s="5">
        <v>-78</v>
      </c>
      <c r="E667" s="5">
        <v>-35703.730000000003</v>
      </c>
      <c r="F667" s="5">
        <v>-12326.45</v>
      </c>
      <c r="G667" s="5">
        <f t="shared" si="356"/>
        <v>23377.280000000002</v>
      </c>
      <c r="I667" s="2"/>
    </row>
    <row r="668" spans="1:9" x14ac:dyDescent="0.25">
      <c r="A668" s="3"/>
      <c r="B668" s="3"/>
      <c r="C668" s="3" t="s">
        <v>54</v>
      </c>
      <c r="D668" s="5">
        <v>0</v>
      </c>
      <c r="E668" s="5">
        <v>0</v>
      </c>
      <c r="F668" s="5">
        <v>-350.61</v>
      </c>
      <c r="G668" s="5">
        <f t="shared" si="356"/>
        <v>-350.61</v>
      </c>
      <c r="I668" s="2"/>
    </row>
    <row r="669" spans="1:9" x14ac:dyDescent="0.25">
      <c r="A669" s="3"/>
      <c r="B669" s="3"/>
      <c r="C669" s="41" t="s">
        <v>118</v>
      </c>
      <c r="D669" s="42">
        <f>SUM(D670:D671)</f>
        <v>0</v>
      </c>
      <c r="E669" s="42">
        <f t="shared" ref="E669:F669" si="357">SUM(E670:E671)</f>
        <v>0</v>
      </c>
      <c r="F669" s="42">
        <f t="shared" si="357"/>
        <v>-7750.49</v>
      </c>
      <c r="G669" s="42">
        <f>F669-E669</f>
        <v>-7750.49</v>
      </c>
      <c r="I669" s="2"/>
    </row>
    <row r="670" spans="1:9" x14ac:dyDescent="0.25">
      <c r="A670" s="3"/>
      <c r="B670" s="3"/>
      <c r="C670" s="3" t="s">
        <v>114</v>
      </c>
      <c r="D670" s="5">
        <v>0</v>
      </c>
      <c r="E670" s="5">
        <v>0</v>
      </c>
      <c r="F670" s="5">
        <v>6.08</v>
      </c>
      <c r="G670" s="5">
        <f t="shared" ref="G670:G671" si="358">F670-E670</f>
        <v>6.08</v>
      </c>
      <c r="I670" s="2"/>
    </row>
    <row r="671" spans="1:9" x14ac:dyDescent="0.25">
      <c r="A671" s="3"/>
      <c r="B671" s="3"/>
      <c r="C671" s="3" t="s">
        <v>30</v>
      </c>
      <c r="D671" s="5">
        <v>0</v>
      </c>
      <c r="E671" s="5">
        <v>0</v>
      </c>
      <c r="F671" s="5">
        <v>-7756.57</v>
      </c>
      <c r="G671" s="5">
        <f t="shared" si="358"/>
        <v>-7756.57</v>
      </c>
      <c r="I671" s="2"/>
    </row>
    <row r="672" spans="1:9" x14ac:dyDescent="0.25">
      <c r="A672" s="41"/>
      <c r="B672" s="41"/>
      <c r="C672" s="41" t="s">
        <v>119</v>
      </c>
      <c r="D672" s="42">
        <f>SUM(D674:D677)</f>
        <v>-8099150</v>
      </c>
      <c r="E672" s="42">
        <f>E673</f>
        <v>-5747218.8200000003</v>
      </c>
      <c r="F672" s="42">
        <f>SUM(F674:F677)</f>
        <v>-5743368.25</v>
      </c>
      <c r="G672" s="42">
        <f>F672-E672</f>
        <v>3850.570000000298</v>
      </c>
      <c r="I672" s="2"/>
    </row>
    <row r="673" spans="1:9" x14ac:dyDescent="0.25">
      <c r="A673" s="41"/>
      <c r="B673" s="41"/>
      <c r="C673" s="3" t="s">
        <v>193</v>
      </c>
      <c r="D673" s="5">
        <v>0</v>
      </c>
      <c r="E673" s="5">
        <v>-5747218.8200000003</v>
      </c>
      <c r="F673" s="5">
        <v>0</v>
      </c>
      <c r="G673" s="5">
        <f t="shared" ref="G673" si="359">F673-E673</f>
        <v>5747218.8200000003</v>
      </c>
      <c r="I673" s="2"/>
    </row>
    <row r="674" spans="1:9" x14ac:dyDescent="0.25">
      <c r="A674" s="3"/>
      <c r="B674" s="3"/>
      <c r="C674" s="3" t="s">
        <v>52</v>
      </c>
      <c r="D674" s="5">
        <v>-191229</v>
      </c>
      <c r="E674" s="5">
        <v>0</v>
      </c>
      <c r="F674" s="5">
        <v>-194207.8</v>
      </c>
      <c r="G674" s="5">
        <f t="shared" ref="G674:G677" si="360">F674-E674</f>
        <v>-194207.8</v>
      </c>
      <c r="I674" s="2"/>
    </row>
    <row r="675" spans="1:9" x14ac:dyDescent="0.25">
      <c r="A675" s="41"/>
      <c r="B675" s="41"/>
      <c r="C675" s="3" t="s">
        <v>53</v>
      </c>
      <c r="D675" s="5">
        <v>-1755</v>
      </c>
      <c r="E675" s="5">
        <v>0</v>
      </c>
      <c r="F675" s="5">
        <v>-2050.27</v>
      </c>
      <c r="G675" s="5">
        <f t="shared" si="360"/>
        <v>-2050.27</v>
      </c>
      <c r="I675" s="2"/>
    </row>
    <row r="676" spans="1:9" x14ac:dyDescent="0.25">
      <c r="A676" s="41"/>
      <c r="B676" s="41"/>
      <c r="C676" s="3" t="s">
        <v>122</v>
      </c>
      <c r="D676" s="5">
        <v>-6231588</v>
      </c>
      <c r="E676" s="5">
        <v>0</v>
      </c>
      <c r="F676" s="5">
        <v>-2822861.53</v>
      </c>
      <c r="G676" s="5">
        <f t="shared" ref="G676" si="361">F676-E676</f>
        <v>-2822861.53</v>
      </c>
      <c r="I676" s="2"/>
    </row>
    <row r="677" spans="1:9" x14ac:dyDescent="0.25">
      <c r="A677" s="41"/>
      <c r="B677" s="41"/>
      <c r="C677" s="3" t="s">
        <v>113</v>
      </c>
      <c r="D677" s="5">
        <f>-5534317-2371849+6231588</f>
        <v>-1674578</v>
      </c>
      <c r="E677" s="5">
        <v>0</v>
      </c>
      <c r="F677" s="5">
        <v>-2724248.65</v>
      </c>
      <c r="G677" s="5">
        <f t="shared" si="360"/>
        <v>-2724248.65</v>
      </c>
      <c r="I677" s="2"/>
    </row>
    <row r="678" spans="1:9" x14ac:dyDescent="0.25">
      <c r="A678" s="41"/>
      <c r="B678" s="41"/>
      <c r="C678" s="41" t="s">
        <v>120</v>
      </c>
      <c r="D678" s="42">
        <f>SUM(D679:D680)</f>
        <v>0</v>
      </c>
      <c r="E678" s="42">
        <f>SUM(E679:E681)</f>
        <v>-231.58</v>
      </c>
      <c r="F678" s="42">
        <f>SUM(F679:F681)</f>
        <v>-231.57999999999998</v>
      </c>
      <c r="G678" s="42">
        <f>F678-E678</f>
        <v>0</v>
      </c>
      <c r="I678" s="2"/>
    </row>
    <row r="679" spans="1:9" x14ac:dyDescent="0.25">
      <c r="A679" s="41"/>
      <c r="B679" s="41"/>
      <c r="C679" s="3" t="s">
        <v>193</v>
      </c>
      <c r="D679" s="5">
        <v>0</v>
      </c>
      <c r="E679" s="5">
        <v>-231.58</v>
      </c>
      <c r="F679" s="5">
        <v>0</v>
      </c>
      <c r="G679" s="5">
        <f t="shared" ref="G679:G681" si="362">F679-E679</f>
        <v>231.58</v>
      </c>
      <c r="I679" s="2"/>
    </row>
    <row r="680" spans="1:9" x14ac:dyDescent="0.25">
      <c r="A680" s="41"/>
      <c r="B680" s="41"/>
      <c r="C680" s="3" t="s">
        <v>52</v>
      </c>
      <c r="D680" s="5">
        <v>0</v>
      </c>
      <c r="E680" s="5">
        <v>0</v>
      </c>
      <c r="F680" s="5">
        <v>-118.42</v>
      </c>
      <c r="G680" s="5">
        <f t="shared" si="362"/>
        <v>-118.42</v>
      </c>
      <c r="I680" s="2"/>
    </row>
    <row r="681" spans="1:9" x14ac:dyDescent="0.25">
      <c r="A681" s="41"/>
      <c r="B681" s="41"/>
      <c r="C681" s="3" t="s">
        <v>53</v>
      </c>
      <c r="D681" s="5">
        <v>0</v>
      </c>
      <c r="E681" s="5">
        <v>0</v>
      </c>
      <c r="F681" s="5">
        <v>-113.16</v>
      </c>
      <c r="G681" s="5">
        <f t="shared" si="362"/>
        <v>-113.16</v>
      </c>
      <c r="I681" s="2"/>
    </row>
    <row r="682" spans="1:9" s="39" customFormat="1" x14ac:dyDescent="0.25">
      <c r="A682" s="41"/>
      <c r="B682" s="41"/>
      <c r="C682" s="41" t="s">
        <v>121</v>
      </c>
      <c r="D682" s="42">
        <v>-106371</v>
      </c>
      <c r="E682" s="42">
        <f>D682</f>
        <v>-106371</v>
      </c>
      <c r="F682" s="5">
        <v>-68366.320000000007</v>
      </c>
      <c r="G682" s="42">
        <f>F682-E682</f>
        <v>38004.679999999993</v>
      </c>
      <c r="H682" s="25"/>
      <c r="I682" s="2"/>
    </row>
    <row r="683" spans="1:9" x14ac:dyDescent="0.25">
      <c r="A683" s="41"/>
      <c r="B683" s="41" t="s">
        <v>143</v>
      </c>
      <c r="C683" s="41"/>
      <c r="D683" s="42">
        <f>SUM(D685:D686)</f>
        <v>-534035</v>
      </c>
      <c r="E683" s="42">
        <f>SUM(E684:E686)</f>
        <v>-536844.94999999995</v>
      </c>
      <c r="F683" s="42">
        <f>SUM(F685:F687)</f>
        <v>-515588.76</v>
      </c>
      <c r="G683" s="42">
        <f>F683-E683</f>
        <v>21256.189999999944</v>
      </c>
      <c r="I683" s="2"/>
    </row>
    <row r="684" spans="1:9" x14ac:dyDescent="0.25">
      <c r="A684" s="41"/>
      <c r="B684" s="41"/>
      <c r="C684" s="3" t="s">
        <v>193</v>
      </c>
      <c r="D684" s="5"/>
      <c r="E684" s="5">
        <f>E693+E697</f>
        <v>-23577.17</v>
      </c>
      <c r="F684" s="5"/>
      <c r="G684" s="5">
        <f t="shared" ref="G684" si="363">F684-E684</f>
        <v>23577.17</v>
      </c>
      <c r="I684" s="2"/>
    </row>
    <row r="685" spans="1:9" x14ac:dyDescent="0.25">
      <c r="A685" s="3"/>
      <c r="B685" s="3"/>
      <c r="C685" s="3" t="s">
        <v>52</v>
      </c>
      <c r="D685" s="5">
        <f>D689+D699</f>
        <v>-434404</v>
      </c>
      <c r="E685" s="5">
        <f t="shared" ref="E685" si="364">E689+E699</f>
        <v>-428860.87</v>
      </c>
      <c r="F685" s="5">
        <f>F689+F699+F695</f>
        <v>-457567.29</v>
      </c>
      <c r="G685" s="5">
        <f t="shared" ref="G685:G687" si="365">F685-E685</f>
        <v>-28706.419999999984</v>
      </c>
      <c r="I685" s="2"/>
    </row>
    <row r="686" spans="1:9" x14ac:dyDescent="0.25">
      <c r="A686" s="3"/>
      <c r="B686" s="3"/>
      <c r="C686" s="3" t="s">
        <v>53</v>
      </c>
      <c r="D686" s="5">
        <f>D690+D700</f>
        <v>-99631</v>
      </c>
      <c r="E686" s="5">
        <f>E690+E700</f>
        <v>-84406.91</v>
      </c>
      <c r="F686" s="5">
        <f>F690+F700+F696</f>
        <v>-58095.640000000007</v>
      </c>
      <c r="G686" s="5">
        <f t="shared" si="365"/>
        <v>26311.269999999997</v>
      </c>
      <c r="I686" s="2"/>
    </row>
    <row r="687" spans="1:9" x14ac:dyDescent="0.25">
      <c r="A687" s="3"/>
      <c r="B687" s="3"/>
      <c r="C687" s="3" t="s">
        <v>114</v>
      </c>
      <c r="D687" s="5">
        <v>0</v>
      </c>
      <c r="E687" s="5"/>
      <c r="F687" s="5">
        <f>F692+F701</f>
        <v>74.169999999999959</v>
      </c>
      <c r="G687" s="5">
        <f t="shared" si="365"/>
        <v>74.169999999999959</v>
      </c>
      <c r="I687" s="2"/>
    </row>
    <row r="688" spans="1:9" x14ac:dyDescent="0.25">
      <c r="A688" s="41"/>
      <c r="B688" s="41"/>
      <c r="C688" s="41" t="s">
        <v>117</v>
      </c>
      <c r="D688" s="42">
        <f>SUM(D689:D690)</f>
        <v>-519053</v>
      </c>
      <c r="E688" s="42">
        <f>SUM(E689:E690)</f>
        <v>-513267.78</v>
      </c>
      <c r="F688" s="42">
        <f>SUM(F689:F690)</f>
        <v>-504734.35</v>
      </c>
      <c r="G688" s="42">
        <f>F688-E688</f>
        <v>8533.4300000000512</v>
      </c>
      <c r="I688" s="2"/>
    </row>
    <row r="689" spans="1:9" x14ac:dyDescent="0.25">
      <c r="A689" s="3"/>
      <c r="B689" s="3"/>
      <c r="C689" s="3" t="s">
        <v>52</v>
      </c>
      <c r="D689" s="5">
        <v>-432600</v>
      </c>
      <c r="E689" s="5">
        <v>-428860.87</v>
      </c>
      <c r="F689" s="5">
        <v>-454524.05</v>
      </c>
      <c r="G689" s="5">
        <f t="shared" ref="G689:G690" si="366">F689-E689</f>
        <v>-25663.179999999993</v>
      </c>
      <c r="I689" s="2"/>
    </row>
    <row r="690" spans="1:9" x14ac:dyDescent="0.25">
      <c r="A690" s="3"/>
      <c r="B690" s="3"/>
      <c r="C690" s="3" t="s">
        <v>53</v>
      </c>
      <c r="D690" s="5">
        <v>-86453</v>
      </c>
      <c r="E690" s="5">
        <f>-83768.21-638.7</f>
        <v>-84406.91</v>
      </c>
      <c r="F690" s="5">
        <v>-50210.3</v>
      </c>
      <c r="G690" s="5">
        <f t="shared" si="366"/>
        <v>34196.61</v>
      </c>
      <c r="I690" s="2"/>
    </row>
    <row r="691" spans="1:9" x14ac:dyDescent="0.25">
      <c r="A691" s="3"/>
      <c r="B691" s="3"/>
      <c r="C691" s="41" t="s">
        <v>118</v>
      </c>
      <c r="D691" s="42">
        <v>0</v>
      </c>
      <c r="E691" s="42">
        <v>0</v>
      </c>
      <c r="F691" s="42">
        <f>F692</f>
        <v>721.75</v>
      </c>
      <c r="G691" s="42">
        <f>F691-E691</f>
        <v>721.75</v>
      </c>
      <c r="H691" s="88"/>
      <c r="I691" s="2"/>
    </row>
    <row r="692" spans="1:9" x14ac:dyDescent="0.25">
      <c r="A692" s="3"/>
      <c r="B692" s="3"/>
      <c r="C692" s="3" t="s">
        <v>114</v>
      </c>
      <c r="D692" s="5">
        <v>0</v>
      </c>
      <c r="E692" s="5">
        <v>0</v>
      </c>
      <c r="F692" s="5">
        <v>721.75</v>
      </c>
      <c r="G692" s="5">
        <f t="shared" ref="G692" si="367">F692-E692</f>
        <v>721.75</v>
      </c>
      <c r="I692" s="2"/>
    </row>
    <row r="693" spans="1:9" x14ac:dyDescent="0.25">
      <c r="A693" s="3"/>
      <c r="B693" s="3"/>
      <c r="C693" s="41" t="s">
        <v>119</v>
      </c>
      <c r="D693" s="42">
        <v>0</v>
      </c>
      <c r="E693" s="42">
        <f>E694</f>
        <v>-2906.89</v>
      </c>
      <c r="F693" s="42">
        <f>SUM(F694:F696)</f>
        <v>-2411.8199999999997</v>
      </c>
      <c r="G693" s="42">
        <f>F693-E693</f>
        <v>495.07000000000016</v>
      </c>
      <c r="I693" s="2"/>
    </row>
    <row r="694" spans="1:9" x14ac:dyDescent="0.25">
      <c r="A694" s="3"/>
      <c r="B694" s="3"/>
      <c r="C694" s="3" t="s">
        <v>193</v>
      </c>
      <c r="D694" s="5">
        <v>0</v>
      </c>
      <c r="E694" s="5">
        <v>-2906.89</v>
      </c>
      <c r="F694" s="5">
        <v>0</v>
      </c>
      <c r="G694" s="5">
        <f t="shared" ref="G694:G696" si="368">F694-E694</f>
        <v>2906.89</v>
      </c>
      <c r="I694" s="2"/>
    </row>
    <row r="695" spans="1:9" x14ac:dyDescent="0.25">
      <c r="A695" s="3"/>
      <c r="B695" s="3"/>
      <c r="C695" s="3" t="s">
        <v>52</v>
      </c>
      <c r="D695" s="5">
        <v>0</v>
      </c>
      <c r="E695" s="5">
        <v>0</v>
      </c>
      <c r="F695" s="5">
        <v>-1102.06</v>
      </c>
      <c r="G695" s="5">
        <f t="shared" si="368"/>
        <v>-1102.06</v>
      </c>
      <c r="I695" s="2"/>
    </row>
    <row r="696" spans="1:9" x14ac:dyDescent="0.25">
      <c r="A696" s="3"/>
      <c r="B696" s="3"/>
      <c r="C696" s="3" t="s">
        <v>53</v>
      </c>
      <c r="D696" s="5">
        <v>0</v>
      </c>
      <c r="E696" s="5">
        <v>0</v>
      </c>
      <c r="F696" s="5">
        <v>-1309.76</v>
      </c>
      <c r="G696" s="5">
        <f t="shared" si="368"/>
        <v>-1309.76</v>
      </c>
      <c r="I696" s="2"/>
    </row>
    <row r="697" spans="1:9" x14ac:dyDescent="0.25">
      <c r="A697" s="41"/>
      <c r="B697" s="41"/>
      <c r="C697" s="41" t="s">
        <v>120</v>
      </c>
      <c r="D697" s="42">
        <f>SUM(D699:D700)</f>
        <v>-14982</v>
      </c>
      <c r="E697" s="42">
        <f>E698</f>
        <v>-20670.28</v>
      </c>
      <c r="F697" s="42">
        <f>SUM(F699:F701)</f>
        <v>-9164.34</v>
      </c>
      <c r="G697" s="42">
        <f>F697-E697</f>
        <v>11505.939999999999</v>
      </c>
      <c r="I697" s="2"/>
    </row>
    <row r="698" spans="1:9" x14ac:dyDescent="0.25">
      <c r="A698" s="41"/>
      <c r="B698" s="41"/>
      <c r="C698" s="3" t="s">
        <v>193</v>
      </c>
      <c r="D698" s="5">
        <v>0</v>
      </c>
      <c r="E698" s="5">
        <v>-20670.28</v>
      </c>
      <c r="F698" s="5">
        <v>0</v>
      </c>
      <c r="G698" s="5">
        <f t="shared" ref="G698" si="369">F698-E698</f>
        <v>20670.28</v>
      </c>
      <c r="I698" s="2"/>
    </row>
    <row r="699" spans="1:9" x14ac:dyDescent="0.25">
      <c r="A699" s="3"/>
      <c r="B699" s="3"/>
      <c r="C699" s="3" t="s">
        <v>52</v>
      </c>
      <c r="D699" s="5">
        <v>-1804</v>
      </c>
      <c r="E699" s="5">
        <v>0</v>
      </c>
      <c r="F699" s="5">
        <v>-1941.18</v>
      </c>
      <c r="G699" s="5">
        <f t="shared" ref="G699:G722" si="370">F699-E699</f>
        <v>-1941.18</v>
      </c>
      <c r="I699" s="2"/>
    </row>
    <row r="700" spans="1:9" x14ac:dyDescent="0.25">
      <c r="A700" s="41"/>
      <c r="B700" s="41"/>
      <c r="C700" s="3" t="s">
        <v>53</v>
      </c>
      <c r="D700" s="5">
        <v>-13178</v>
      </c>
      <c r="E700" s="5">
        <v>0</v>
      </c>
      <c r="F700" s="5">
        <v>-6575.58</v>
      </c>
      <c r="G700" s="5">
        <f t="shared" si="370"/>
        <v>-6575.58</v>
      </c>
      <c r="I700" s="2"/>
    </row>
    <row r="701" spans="1:9" x14ac:dyDescent="0.25">
      <c r="A701" s="41"/>
      <c r="B701" s="41"/>
      <c r="C701" s="3" t="s">
        <v>54</v>
      </c>
      <c r="D701" s="5">
        <v>0</v>
      </c>
      <c r="E701" s="5">
        <v>0</v>
      </c>
      <c r="F701" s="5">
        <v>-647.58000000000004</v>
      </c>
      <c r="G701" s="5">
        <f t="shared" si="370"/>
        <v>-647.58000000000004</v>
      </c>
      <c r="I701" s="2"/>
    </row>
    <row r="702" spans="1:9" x14ac:dyDescent="0.25">
      <c r="A702" s="41"/>
      <c r="B702" s="39" t="s">
        <v>195</v>
      </c>
      <c r="C702" s="41"/>
      <c r="D702" s="42">
        <f>SUM(D703:D706)</f>
        <v>0</v>
      </c>
      <c r="E702" s="42">
        <f t="shared" ref="E702:F702" si="371">SUM(E703:E706)</f>
        <v>-61199.97</v>
      </c>
      <c r="F702" s="42">
        <f t="shared" si="371"/>
        <v>-85607.16</v>
      </c>
      <c r="G702" s="42">
        <f>F702-E702</f>
        <v>-24407.190000000002</v>
      </c>
      <c r="I702" s="2"/>
    </row>
    <row r="703" spans="1:9" x14ac:dyDescent="0.25">
      <c r="A703" s="41"/>
      <c r="B703" s="41"/>
      <c r="C703" s="3" t="s">
        <v>193</v>
      </c>
      <c r="D703" s="42">
        <v>0</v>
      </c>
      <c r="E703" s="5">
        <f>E713</f>
        <v>-2515.1999999999998</v>
      </c>
      <c r="F703" s="5">
        <v>0</v>
      </c>
      <c r="G703" s="5">
        <f t="shared" ref="G703:G706" si="372">F703-E703</f>
        <v>2515.1999999999998</v>
      </c>
      <c r="I703" s="2"/>
    </row>
    <row r="704" spans="1:9" x14ac:dyDescent="0.25">
      <c r="A704" s="41"/>
      <c r="B704" s="3"/>
      <c r="C704" s="3" t="s">
        <v>52</v>
      </c>
      <c r="D704" s="5">
        <f>D708+D714</f>
        <v>0</v>
      </c>
      <c r="E704" s="5">
        <f t="shared" ref="E704:F704" si="373">E708+E714</f>
        <v>-48555.08</v>
      </c>
      <c r="F704" s="5">
        <f t="shared" si="373"/>
        <v>-46703.1</v>
      </c>
      <c r="G704" s="5">
        <f t="shared" si="372"/>
        <v>1851.9800000000032</v>
      </c>
      <c r="I704" s="2"/>
    </row>
    <row r="705" spans="1:9" x14ac:dyDescent="0.25">
      <c r="A705" s="41"/>
      <c r="B705" s="3"/>
      <c r="C705" s="3" t="s">
        <v>53</v>
      </c>
      <c r="D705" s="5">
        <f>D709+D715</f>
        <v>0</v>
      </c>
      <c r="E705" s="5">
        <f t="shared" ref="E705:F705" si="374">E709+E715</f>
        <v>-10129.69</v>
      </c>
      <c r="F705" s="5">
        <f t="shared" si="374"/>
        <v>-5839.84</v>
      </c>
      <c r="G705" s="5">
        <f t="shared" si="372"/>
        <v>4289.8500000000004</v>
      </c>
      <c r="I705" s="2"/>
    </row>
    <row r="706" spans="1:9" x14ac:dyDescent="0.25">
      <c r="A706" s="41"/>
      <c r="B706" s="3"/>
      <c r="C706" s="3" t="s">
        <v>114</v>
      </c>
      <c r="D706" s="5">
        <f>D716+D711</f>
        <v>0</v>
      </c>
      <c r="E706" s="5">
        <f t="shared" ref="E706:F706" si="375">E716+E711</f>
        <v>0</v>
      </c>
      <c r="F706" s="5">
        <f t="shared" si="375"/>
        <v>-33064.22</v>
      </c>
      <c r="G706" s="5">
        <f t="shared" si="372"/>
        <v>-33064.22</v>
      </c>
      <c r="I706" s="2"/>
    </row>
    <row r="707" spans="1:9" x14ac:dyDescent="0.25">
      <c r="A707" s="41"/>
      <c r="B707" s="41"/>
      <c r="C707" s="41" t="s">
        <v>117</v>
      </c>
      <c r="D707" s="42">
        <f>SUM(D708:D709)</f>
        <v>0</v>
      </c>
      <c r="E707" s="42">
        <f>SUM(E708:E709)</f>
        <v>-58684.770000000004</v>
      </c>
      <c r="F707" s="42">
        <f>SUM(F708:F709)</f>
        <v>-50858.89</v>
      </c>
      <c r="G707" s="42">
        <f>F707-E707</f>
        <v>7825.8800000000047</v>
      </c>
      <c r="I707" s="2"/>
    </row>
    <row r="708" spans="1:9" x14ac:dyDescent="0.25">
      <c r="A708" s="41"/>
      <c r="B708" s="3"/>
      <c r="C708" s="3" t="s">
        <v>52</v>
      </c>
      <c r="D708" s="5">
        <v>0</v>
      </c>
      <c r="E708" s="5">
        <v>-48555.08</v>
      </c>
      <c r="F708" s="5">
        <v>-45112.63</v>
      </c>
      <c r="G708" s="5">
        <f t="shared" ref="G708:G711" si="376">F708-E708</f>
        <v>3442.4500000000044</v>
      </c>
      <c r="I708" s="2"/>
    </row>
    <row r="709" spans="1:9" x14ac:dyDescent="0.25">
      <c r="A709" s="41"/>
      <c r="B709" s="3"/>
      <c r="C709" s="3" t="s">
        <v>53</v>
      </c>
      <c r="D709" s="5">
        <v>0</v>
      </c>
      <c r="E709" s="5">
        <v>-10129.69</v>
      </c>
      <c r="F709" s="5">
        <v>-5746.26</v>
      </c>
      <c r="G709" s="5">
        <f t="shared" si="376"/>
        <v>4383.43</v>
      </c>
      <c r="I709" s="2"/>
    </row>
    <row r="710" spans="1:9" x14ac:dyDescent="0.25">
      <c r="A710" s="41"/>
      <c r="B710" s="41"/>
      <c r="C710" s="41" t="s">
        <v>118</v>
      </c>
      <c r="D710" s="42">
        <f>D711</f>
        <v>0</v>
      </c>
      <c r="E710" s="42">
        <f t="shared" ref="E710:F710" si="377">E711</f>
        <v>0</v>
      </c>
      <c r="F710" s="42">
        <f t="shared" si="377"/>
        <v>0.03</v>
      </c>
      <c r="G710" s="42">
        <f t="shared" si="376"/>
        <v>0.03</v>
      </c>
      <c r="I710" s="2"/>
    </row>
    <row r="711" spans="1:9" x14ac:dyDescent="0.25">
      <c r="A711" s="41"/>
      <c r="B711" s="3"/>
      <c r="C711" s="3" t="s">
        <v>54</v>
      </c>
      <c r="D711" s="5">
        <v>0</v>
      </c>
      <c r="E711" s="5">
        <v>0</v>
      </c>
      <c r="F711" s="5">
        <v>0.03</v>
      </c>
      <c r="G711" s="5">
        <f t="shared" si="376"/>
        <v>0.03</v>
      </c>
      <c r="I711" s="2"/>
    </row>
    <row r="712" spans="1:9" x14ac:dyDescent="0.25">
      <c r="A712" s="41"/>
      <c r="B712" s="41"/>
      <c r="C712" s="41" t="s">
        <v>119</v>
      </c>
      <c r="D712" s="42">
        <f>SUM(D713:D715)</f>
        <v>0</v>
      </c>
      <c r="E712" s="42">
        <f t="shared" ref="E712:F712" si="378">SUM(E713:E715)</f>
        <v>-2515.1999999999998</v>
      </c>
      <c r="F712" s="42">
        <f t="shared" si="378"/>
        <v>-1684.05</v>
      </c>
      <c r="G712" s="42">
        <f>F712-E712</f>
        <v>831.14999999999986</v>
      </c>
      <c r="I712" s="2"/>
    </row>
    <row r="713" spans="1:9" x14ac:dyDescent="0.25">
      <c r="A713" s="41"/>
      <c r="B713" s="41"/>
      <c r="C713" s="3" t="s">
        <v>193</v>
      </c>
      <c r="D713" s="42">
        <v>0</v>
      </c>
      <c r="E713" s="5">
        <v>-2515.1999999999998</v>
      </c>
      <c r="F713" s="5">
        <v>0</v>
      </c>
      <c r="G713" s="5">
        <f t="shared" ref="G713:G715" si="379">F713-E713</f>
        <v>2515.1999999999998</v>
      </c>
      <c r="I713" s="2"/>
    </row>
    <row r="714" spans="1:9" x14ac:dyDescent="0.25">
      <c r="A714" s="41"/>
      <c r="B714" s="3"/>
      <c r="C714" s="3" t="s">
        <v>52</v>
      </c>
      <c r="D714" s="5">
        <v>0</v>
      </c>
      <c r="E714" s="5">
        <v>0</v>
      </c>
      <c r="F714" s="5">
        <v>-1590.47</v>
      </c>
      <c r="G714" s="5">
        <f t="shared" si="379"/>
        <v>-1590.47</v>
      </c>
      <c r="I714" s="2"/>
    </row>
    <row r="715" spans="1:9" x14ac:dyDescent="0.25">
      <c r="A715" s="41"/>
      <c r="B715" s="41"/>
      <c r="C715" s="3" t="s">
        <v>53</v>
      </c>
      <c r="D715" s="5">
        <v>0</v>
      </c>
      <c r="E715" s="5">
        <v>0</v>
      </c>
      <c r="F715" s="5">
        <v>-93.58</v>
      </c>
      <c r="G715" s="5">
        <f t="shared" si="379"/>
        <v>-93.58</v>
      </c>
      <c r="I715" s="2"/>
    </row>
    <row r="716" spans="1:9" x14ac:dyDescent="0.25">
      <c r="A716" s="41"/>
      <c r="B716" s="41"/>
      <c r="C716" s="41" t="s">
        <v>121</v>
      </c>
      <c r="D716" s="42">
        <v>0</v>
      </c>
      <c r="E716" s="42">
        <f>D716</f>
        <v>0</v>
      </c>
      <c r="F716" s="5">
        <v>-33064.25</v>
      </c>
      <c r="G716" s="42">
        <f>F716-E716</f>
        <v>-33064.25</v>
      </c>
      <c r="I716" s="2"/>
    </row>
    <row r="717" spans="1:9" s="39" customFormat="1" ht="15.75" x14ac:dyDescent="0.25">
      <c r="A717" s="71" t="s">
        <v>155</v>
      </c>
      <c r="B717" s="41"/>
      <c r="C717" s="41"/>
      <c r="D717" s="42">
        <f>SUM(D718:D722)</f>
        <v>-6934834</v>
      </c>
      <c r="E717" s="42">
        <f>SUM(E718:E722)</f>
        <v>-5306139.6900000004</v>
      </c>
      <c r="F717" s="42">
        <f>SUM(F718:F722)</f>
        <v>-5133354.629999999</v>
      </c>
      <c r="G717" s="42">
        <f t="shared" si="370"/>
        <v>172785.06000000145</v>
      </c>
      <c r="H717" s="25"/>
      <c r="I717" s="2"/>
    </row>
    <row r="718" spans="1:9" x14ac:dyDescent="0.25">
      <c r="A718" s="3"/>
      <c r="B718" s="3" t="s">
        <v>117</v>
      </c>
      <c r="C718" s="3"/>
      <c r="D718" s="5">
        <f>D729+D749</f>
        <v>-687941</v>
      </c>
      <c r="E718" s="5">
        <f>E729+E749+E773</f>
        <v>-689649.03</v>
      </c>
      <c r="F718" s="5">
        <f>F729+F749+F773</f>
        <v>-621354.97000000009</v>
      </c>
      <c r="G718" s="5">
        <f t="shared" si="370"/>
        <v>68294.059999999939</v>
      </c>
      <c r="I718" s="2"/>
    </row>
    <row r="719" spans="1:9" x14ac:dyDescent="0.25">
      <c r="A719" s="3"/>
      <c r="B719" s="3" t="s">
        <v>118</v>
      </c>
      <c r="C719" s="3"/>
      <c r="D719" s="5">
        <v>0</v>
      </c>
      <c r="E719" s="5">
        <v>0</v>
      </c>
      <c r="F719" s="5">
        <f>F734+F754+F776</f>
        <v>-6162.29</v>
      </c>
      <c r="G719" s="5">
        <f t="shared" si="370"/>
        <v>-6162.29</v>
      </c>
      <c r="I719" s="2"/>
    </row>
    <row r="720" spans="1:9" x14ac:dyDescent="0.25">
      <c r="A720" s="3"/>
      <c r="B720" s="3" t="s">
        <v>119</v>
      </c>
      <c r="C720" s="3"/>
      <c r="D720" s="5">
        <f>D736+D757</f>
        <v>-6115317</v>
      </c>
      <c r="E720" s="5">
        <f>E736+E757+E778</f>
        <v>-4484731.53</v>
      </c>
      <c r="F720" s="5">
        <f>F736+F757+F778</f>
        <v>-4386347.9499999993</v>
      </c>
      <c r="G720" s="5">
        <f t="shared" si="370"/>
        <v>98383.580000001006</v>
      </c>
      <c r="I720" s="2"/>
    </row>
    <row r="721" spans="1:9" x14ac:dyDescent="0.25">
      <c r="A721" s="3"/>
      <c r="B721" s="3" t="s">
        <v>120</v>
      </c>
      <c r="C721" s="3"/>
      <c r="D721" s="5">
        <f>D782</f>
        <v>0</v>
      </c>
      <c r="E721" s="5">
        <f>E782+E763</f>
        <v>-183.13</v>
      </c>
      <c r="F721" s="5">
        <f>F763</f>
        <v>-183.13</v>
      </c>
      <c r="G721" s="5">
        <f t="shared" si="370"/>
        <v>0</v>
      </c>
      <c r="I721" s="2"/>
    </row>
    <row r="722" spans="1:9" x14ac:dyDescent="0.25">
      <c r="A722" s="3"/>
      <c r="B722" s="3" t="s">
        <v>121</v>
      </c>
      <c r="C722" s="3"/>
      <c r="D722" s="5">
        <f>D740+D767</f>
        <v>-131576</v>
      </c>
      <c r="E722" s="5">
        <f>E740+E767</f>
        <v>-131576</v>
      </c>
      <c r="F722" s="5">
        <f>F740+F767+F782</f>
        <v>-119306.29000000001</v>
      </c>
      <c r="G722" s="5">
        <f t="shared" si="370"/>
        <v>12269.709999999992</v>
      </c>
      <c r="I722" s="2"/>
    </row>
    <row r="723" spans="1:9" x14ac:dyDescent="0.25">
      <c r="A723" s="41"/>
      <c r="B723" s="41" t="s">
        <v>87</v>
      </c>
      <c r="C723" s="41"/>
      <c r="D723" s="42">
        <f>SUM(D725:D728)</f>
        <v>-664330</v>
      </c>
      <c r="E723" s="42">
        <f>SUM(E724:E728)</f>
        <v>-704045.08000000007</v>
      </c>
      <c r="F723" s="42">
        <f t="shared" ref="F723" si="380">SUM(F725:F728)</f>
        <v>-563879.80999999994</v>
      </c>
      <c r="G723" s="42">
        <f>F723-E723</f>
        <v>140165.27000000014</v>
      </c>
      <c r="I723" s="2"/>
    </row>
    <row r="724" spans="1:9" x14ac:dyDescent="0.25">
      <c r="A724" s="41"/>
      <c r="B724" s="41"/>
      <c r="C724" s="3" t="s">
        <v>193</v>
      </c>
      <c r="D724" s="5">
        <v>0</v>
      </c>
      <c r="E724" s="5">
        <f>E737</f>
        <v>-310350.11</v>
      </c>
      <c r="F724" s="5">
        <v>0</v>
      </c>
      <c r="G724" s="5">
        <f t="shared" ref="G724" si="381">F724-E724</f>
        <v>310350.11</v>
      </c>
      <c r="I724" s="2"/>
    </row>
    <row r="725" spans="1:9" x14ac:dyDescent="0.25">
      <c r="A725" s="3"/>
      <c r="B725" s="3"/>
      <c r="C725" s="3" t="s">
        <v>52</v>
      </c>
      <c r="D725" s="5">
        <f>D730+D738</f>
        <v>-437324</v>
      </c>
      <c r="E725" s="5">
        <f t="shared" ref="E725:F725" si="382">E730+E738</f>
        <v>-280169.65999999997</v>
      </c>
      <c r="F725" s="5">
        <f t="shared" si="382"/>
        <v>-442963.97</v>
      </c>
      <c r="G725" s="5">
        <f t="shared" ref="G725:G728" si="383">F725-E725</f>
        <v>-162794.31</v>
      </c>
      <c r="I725" s="2"/>
    </row>
    <row r="726" spans="1:9" x14ac:dyDescent="0.25">
      <c r="A726" s="3"/>
      <c r="B726" s="3"/>
      <c r="C726" s="3" t="s">
        <v>53</v>
      </c>
      <c r="D726" s="5">
        <f>D731+D739</f>
        <v>-167202</v>
      </c>
      <c r="E726" s="5">
        <f t="shared" ref="E726:F726" si="384">E731+E739</f>
        <v>-53721.31</v>
      </c>
      <c r="F726" s="5">
        <f t="shared" si="384"/>
        <v>-53402.15</v>
      </c>
      <c r="G726" s="5">
        <f t="shared" si="383"/>
        <v>319.15999999999622</v>
      </c>
      <c r="I726" s="2"/>
    </row>
    <row r="727" spans="1:9" x14ac:dyDescent="0.25">
      <c r="A727" s="3"/>
      <c r="B727" s="3"/>
      <c r="C727" s="3" t="s">
        <v>113</v>
      </c>
      <c r="D727" s="5">
        <f>D732</f>
        <v>-54100</v>
      </c>
      <c r="E727" s="5">
        <f t="shared" ref="E727:F727" si="385">E732</f>
        <v>-54100</v>
      </c>
      <c r="F727" s="5">
        <f t="shared" si="385"/>
        <v>-54100</v>
      </c>
      <c r="G727" s="5">
        <f t="shared" si="383"/>
        <v>0</v>
      </c>
      <c r="I727" s="2"/>
    </row>
    <row r="728" spans="1:9" x14ac:dyDescent="0.25">
      <c r="A728" s="3"/>
      <c r="B728" s="3"/>
      <c r="C728" s="3" t="s">
        <v>114</v>
      </c>
      <c r="D728" s="5">
        <f>D740</f>
        <v>-5704</v>
      </c>
      <c r="E728" s="5">
        <f t="shared" ref="E728" si="386">E740</f>
        <v>-5704</v>
      </c>
      <c r="F728" s="5">
        <f>F740+F735+F733</f>
        <v>-13413.69</v>
      </c>
      <c r="G728" s="5">
        <f t="shared" si="383"/>
        <v>-7709.6900000000005</v>
      </c>
      <c r="I728" s="2"/>
    </row>
    <row r="729" spans="1:9" x14ac:dyDescent="0.25">
      <c r="A729" s="41"/>
      <c r="B729" s="41"/>
      <c r="C729" s="41" t="s">
        <v>117</v>
      </c>
      <c r="D729" s="42">
        <f>SUM(D730:D732)</f>
        <v>-417171</v>
      </c>
      <c r="E729" s="42">
        <f t="shared" ref="E729" si="387">SUM(E730:E732)</f>
        <v>-387990.97</v>
      </c>
      <c r="F729" s="42">
        <f>SUM(F730:F733)</f>
        <v>-334870.82000000007</v>
      </c>
      <c r="G729" s="42">
        <f>F729-E729</f>
        <v>53120.149999999907</v>
      </c>
      <c r="I729" s="2"/>
    </row>
    <row r="730" spans="1:9" x14ac:dyDescent="0.25">
      <c r="A730" s="3"/>
      <c r="B730" s="3"/>
      <c r="C730" s="3" t="s">
        <v>52</v>
      </c>
      <c r="D730" s="5">
        <v>-277219</v>
      </c>
      <c r="E730" s="5">
        <v>-280169.65999999997</v>
      </c>
      <c r="F730" s="5">
        <v>-234564.89</v>
      </c>
      <c r="G730" s="5">
        <f t="shared" ref="G730:G733" si="388">F730-E730</f>
        <v>45604.76999999996</v>
      </c>
      <c r="I730" s="2"/>
    </row>
    <row r="731" spans="1:9" x14ac:dyDescent="0.25">
      <c r="A731" s="3"/>
      <c r="B731" s="3"/>
      <c r="C731" s="3" t="s">
        <v>53</v>
      </c>
      <c r="D731" s="5">
        <v>-85852</v>
      </c>
      <c r="E731" s="5">
        <f>-51370.82-2350.49</f>
        <v>-53721.31</v>
      </c>
      <c r="F731" s="5">
        <v>-46160.65</v>
      </c>
      <c r="G731" s="5">
        <f t="shared" si="388"/>
        <v>7560.6599999999962</v>
      </c>
      <c r="I731" s="2"/>
    </row>
    <row r="732" spans="1:9" x14ac:dyDescent="0.25">
      <c r="A732" s="3"/>
      <c r="B732" s="3"/>
      <c r="C732" s="3" t="s">
        <v>113</v>
      </c>
      <c r="D732" s="5">
        <v>-54100</v>
      </c>
      <c r="E732" s="5">
        <v>-54100</v>
      </c>
      <c r="F732" s="5">
        <v>-54100</v>
      </c>
      <c r="G732" s="5">
        <f t="shared" si="388"/>
        <v>0</v>
      </c>
      <c r="I732" s="2"/>
    </row>
    <row r="733" spans="1:9" x14ac:dyDescent="0.25">
      <c r="A733" s="3"/>
      <c r="B733" s="3"/>
      <c r="C733" s="3" t="s">
        <v>54</v>
      </c>
      <c r="D733" s="5">
        <v>0</v>
      </c>
      <c r="E733" s="5">
        <v>0</v>
      </c>
      <c r="F733" s="5">
        <v>-45.28</v>
      </c>
      <c r="G733" s="5">
        <f t="shared" si="388"/>
        <v>-45.28</v>
      </c>
      <c r="I733" s="2"/>
    </row>
    <row r="734" spans="1:9" x14ac:dyDescent="0.25">
      <c r="A734" s="3"/>
      <c r="B734" s="3"/>
      <c r="C734" s="41" t="s">
        <v>118</v>
      </c>
      <c r="D734" s="42">
        <v>0</v>
      </c>
      <c r="E734" s="42">
        <v>0</v>
      </c>
      <c r="F734" s="42">
        <f>F735</f>
        <v>-33.340000000000003</v>
      </c>
      <c r="G734" s="42">
        <f>F734-E734</f>
        <v>-33.340000000000003</v>
      </c>
      <c r="I734" s="2"/>
    </row>
    <row r="735" spans="1:9" x14ac:dyDescent="0.25">
      <c r="A735" s="3"/>
      <c r="B735" s="3"/>
      <c r="C735" s="3" t="s">
        <v>114</v>
      </c>
      <c r="D735" s="5">
        <v>0</v>
      </c>
      <c r="E735" s="5">
        <v>0</v>
      </c>
      <c r="F735" s="5">
        <v>-33.340000000000003</v>
      </c>
      <c r="G735" s="5">
        <f t="shared" ref="G735" si="389">F735-E735</f>
        <v>-33.340000000000003</v>
      </c>
      <c r="I735" s="2"/>
    </row>
    <row r="736" spans="1:9" x14ac:dyDescent="0.25">
      <c r="A736" s="41"/>
      <c r="B736" s="41"/>
      <c r="C736" s="41" t="s">
        <v>119</v>
      </c>
      <c r="D736" s="42">
        <f>SUM(D738:D739)</f>
        <v>-241455</v>
      </c>
      <c r="E736" s="42">
        <f>E737</f>
        <v>-310350.11</v>
      </c>
      <c r="F736" s="42">
        <f>SUM(F738:F739)</f>
        <v>-215640.58</v>
      </c>
      <c r="G736" s="42">
        <f>F736-E736</f>
        <v>94709.53</v>
      </c>
      <c r="I736" s="2"/>
    </row>
    <row r="737" spans="1:9" x14ac:dyDescent="0.25">
      <c r="A737" s="41"/>
      <c r="B737" s="41"/>
      <c r="C737" s="3" t="s">
        <v>193</v>
      </c>
      <c r="D737" s="5">
        <v>0</v>
      </c>
      <c r="E737" s="5">
        <v>-310350.11</v>
      </c>
      <c r="F737" s="5">
        <v>0</v>
      </c>
      <c r="G737" s="5">
        <f t="shared" ref="G737" si="390">F737-E737</f>
        <v>310350.11</v>
      </c>
      <c r="I737" s="2"/>
    </row>
    <row r="738" spans="1:9" x14ac:dyDescent="0.25">
      <c r="A738" s="3"/>
      <c r="B738" s="3"/>
      <c r="C738" s="3" t="s">
        <v>52</v>
      </c>
      <c r="D738" s="5">
        <v>-160105</v>
      </c>
      <c r="E738" s="5">
        <v>0</v>
      </c>
      <c r="F738" s="5">
        <v>-208399.08</v>
      </c>
      <c r="G738" s="5">
        <f t="shared" ref="G738:G739" si="391">F738-E738</f>
        <v>-208399.08</v>
      </c>
      <c r="I738" s="2"/>
    </row>
    <row r="739" spans="1:9" x14ac:dyDescent="0.25">
      <c r="A739" s="41"/>
      <c r="B739" s="41"/>
      <c r="C739" s="3" t="s">
        <v>53</v>
      </c>
      <c r="D739" s="5">
        <v>-81350</v>
      </c>
      <c r="E739" s="5">
        <v>0</v>
      </c>
      <c r="F739" s="5">
        <v>-7241.5</v>
      </c>
      <c r="G739" s="5">
        <f t="shared" si="391"/>
        <v>-7241.5</v>
      </c>
      <c r="I739" s="2"/>
    </row>
    <row r="740" spans="1:9" s="39" customFormat="1" x14ac:dyDescent="0.25">
      <c r="A740" s="41"/>
      <c r="B740" s="41"/>
      <c r="C740" s="41" t="s">
        <v>121</v>
      </c>
      <c r="D740" s="42">
        <v>-5704</v>
      </c>
      <c r="E740" s="42">
        <f>D740</f>
        <v>-5704</v>
      </c>
      <c r="F740" s="5">
        <v>-13335.07</v>
      </c>
      <c r="G740" s="42">
        <f>F740-E740</f>
        <v>-7631.07</v>
      </c>
      <c r="H740" s="25"/>
      <c r="I740" s="2"/>
    </row>
    <row r="741" spans="1:9" x14ac:dyDescent="0.25">
      <c r="A741" s="41"/>
      <c r="B741" s="41" t="s">
        <v>129</v>
      </c>
      <c r="C741" s="41"/>
      <c r="D741" s="42">
        <f>SUM(D743:D747)</f>
        <v>-6270504</v>
      </c>
      <c r="E741" s="42">
        <f>SUM(E742:E747)</f>
        <v>-4555610.22</v>
      </c>
      <c r="F741" s="42">
        <f>SUM(F743:F748)</f>
        <v>-4504561.43</v>
      </c>
      <c r="G741" s="42">
        <f>F741-E741</f>
        <v>51048.790000000037</v>
      </c>
      <c r="I741" s="2"/>
    </row>
    <row r="742" spans="1:9" x14ac:dyDescent="0.25">
      <c r="A742" s="41"/>
      <c r="B742" s="41"/>
      <c r="C742" s="3" t="s">
        <v>193</v>
      </c>
      <c r="D742" s="5">
        <v>0</v>
      </c>
      <c r="E742" s="5">
        <f>E758+E764</f>
        <v>-4172657.35</v>
      </c>
      <c r="F742" s="5">
        <v>0</v>
      </c>
      <c r="G742" s="5">
        <f t="shared" ref="G742" si="392">F742-E742</f>
        <v>4172657.35</v>
      </c>
      <c r="I742" s="2"/>
    </row>
    <row r="743" spans="1:9" x14ac:dyDescent="0.25">
      <c r="A743" s="3"/>
      <c r="B743" s="3"/>
      <c r="C743" s="3" t="s">
        <v>52</v>
      </c>
      <c r="D743" s="5">
        <f>D750+D759</f>
        <v>-373530</v>
      </c>
      <c r="E743" s="5">
        <f t="shared" ref="E743" si="393">E750+E759</f>
        <v>-209308.65</v>
      </c>
      <c r="F743" s="5">
        <f>F750+F759+F765</f>
        <v>-361862.92000000004</v>
      </c>
      <c r="G743" s="5">
        <f t="shared" ref="G743:G748" si="394">F743-E743</f>
        <v>-152554.27000000005</v>
      </c>
      <c r="I743" s="2"/>
    </row>
    <row r="744" spans="1:9" x14ac:dyDescent="0.25">
      <c r="A744" s="3"/>
      <c r="B744" s="3"/>
      <c r="C744" s="3" t="s">
        <v>53</v>
      </c>
      <c r="D744" s="5">
        <f>D751+D760</f>
        <v>-50051</v>
      </c>
      <c r="E744" s="5">
        <f t="shared" ref="E744" si="395">E751+E760</f>
        <v>-47640</v>
      </c>
      <c r="F744" s="5">
        <f>F751+F760+F766</f>
        <v>-41331.360000000001</v>
      </c>
      <c r="G744" s="5">
        <f t="shared" si="394"/>
        <v>6308.6399999999994</v>
      </c>
      <c r="I744" s="2"/>
    </row>
    <row r="745" spans="1:9" x14ac:dyDescent="0.25">
      <c r="A745" s="3"/>
      <c r="B745" s="3"/>
      <c r="C745" s="3" t="s">
        <v>122</v>
      </c>
      <c r="D745" s="5">
        <f>D761</f>
        <v>-3825796</v>
      </c>
      <c r="E745" s="5">
        <f t="shared" ref="E745:F745" si="396">E761</f>
        <v>0</v>
      </c>
      <c r="F745" s="5">
        <f t="shared" si="396"/>
        <v>-2042643.06</v>
      </c>
      <c r="G745" s="5">
        <f t="shared" si="394"/>
        <v>-2042643.06</v>
      </c>
      <c r="I745" s="2"/>
    </row>
    <row r="746" spans="1:9" x14ac:dyDescent="0.25">
      <c r="A746" s="3"/>
      <c r="B746" s="3"/>
      <c r="C746" s="3" t="s">
        <v>113</v>
      </c>
      <c r="D746" s="5">
        <f>D752+D762</f>
        <v>-1895255</v>
      </c>
      <c r="E746" s="5">
        <f>E752+E762</f>
        <v>-132.22</v>
      </c>
      <c r="F746" s="5">
        <f>F752+F762</f>
        <v>-1971418.28</v>
      </c>
      <c r="G746" s="5">
        <f t="shared" si="394"/>
        <v>-1971286.06</v>
      </c>
      <c r="I746" s="2"/>
    </row>
    <row r="747" spans="1:9" x14ac:dyDescent="0.25">
      <c r="A747" s="3"/>
      <c r="B747" s="3"/>
      <c r="C747" s="3" t="s">
        <v>114</v>
      </c>
      <c r="D747" s="5">
        <f>D767</f>
        <v>-125872</v>
      </c>
      <c r="E747" s="5">
        <f t="shared" ref="E747" si="397">E767</f>
        <v>-125872</v>
      </c>
      <c r="F747" s="5">
        <f>F767+F753+F755</f>
        <v>-81172.02</v>
      </c>
      <c r="G747" s="5">
        <f t="shared" si="394"/>
        <v>44699.979999999996</v>
      </c>
      <c r="I747" s="2"/>
    </row>
    <row r="748" spans="1:9" x14ac:dyDescent="0.25">
      <c r="A748" s="3"/>
      <c r="B748" s="3"/>
      <c r="C748" s="3" t="s">
        <v>30</v>
      </c>
      <c r="D748" s="5">
        <v>0</v>
      </c>
      <c r="E748" s="5">
        <v>0</v>
      </c>
      <c r="F748" s="5">
        <f>F756</f>
        <v>-6133.79</v>
      </c>
      <c r="G748" s="5">
        <f t="shared" si="394"/>
        <v>-6133.79</v>
      </c>
      <c r="I748" s="2"/>
    </row>
    <row r="749" spans="1:9" x14ac:dyDescent="0.25">
      <c r="A749" s="41"/>
      <c r="B749" s="41"/>
      <c r="C749" s="41" t="s">
        <v>117</v>
      </c>
      <c r="D749" s="42">
        <f>SUM(D750:D752)</f>
        <v>-270770</v>
      </c>
      <c r="E749" s="42">
        <f t="shared" ref="E749" si="398">SUM(E750:E752)</f>
        <v>-257080.87</v>
      </c>
      <c r="F749" s="42">
        <f>SUM(F750:F753)</f>
        <v>-247919.35</v>
      </c>
      <c r="G749" s="42">
        <f>F749-E749</f>
        <v>9161.5199999999895</v>
      </c>
      <c r="I749" s="2"/>
    </row>
    <row r="750" spans="1:9" x14ac:dyDescent="0.25">
      <c r="A750" s="3"/>
      <c r="B750" s="3"/>
      <c r="C750" s="3" t="s">
        <v>52</v>
      </c>
      <c r="D750" s="5">
        <v>-222015</v>
      </c>
      <c r="E750" s="5">
        <v>-209308.65</v>
      </c>
      <c r="F750" s="5">
        <v>-207889.32</v>
      </c>
      <c r="G750" s="5">
        <f t="shared" ref="G750:G753" si="399">F750-E750</f>
        <v>1419.3299999999872</v>
      </c>
      <c r="I750" s="2"/>
    </row>
    <row r="751" spans="1:9" x14ac:dyDescent="0.25">
      <c r="A751" s="3"/>
      <c r="B751" s="3"/>
      <c r="C751" s="3" t="s">
        <v>53</v>
      </c>
      <c r="D751" s="5">
        <v>-48663</v>
      </c>
      <c r="E751" s="5">
        <f>-47628.5-11.5</f>
        <v>-47640</v>
      </c>
      <c r="F751" s="5">
        <v>-39620.550000000003</v>
      </c>
      <c r="G751" s="5">
        <f t="shared" si="399"/>
        <v>8019.4499999999971</v>
      </c>
      <c r="I751" s="2"/>
    </row>
    <row r="752" spans="1:9" x14ac:dyDescent="0.25">
      <c r="A752" s="3"/>
      <c r="B752" s="3"/>
      <c r="C752" s="3" t="s">
        <v>113</v>
      </c>
      <c r="D752" s="5">
        <v>-92</v>
      </c>
      <c r="E752" s="5">
        <v>-132.22</v>
      </c>
      <c r="F752" s="5">
        <v>-132.22</v>
      </c>
      <c r="G752" s="5">
        <f t="shared" si="399"/>
        <v>0</v>
      </c>
      <c r="I752" s="2"/>
    </row>
    <row r="753" spans="1:9" x14ac:dyDescent="0.25">
      <c r="A753" s="3"/>
      <c r="B753" s="3"/>
      <c r="C753" s="3" t="s">
        <v>54</v>
      </c>
      <c r="D753" s="5">
        <v>0</v>
      </c>
      <c r="E753" s="5">
        <v>0</v>
      </c>
      <c r="F753" s="5">
        <v>-277.26</v>
      </c>
      <c r="G753" s="5">
        <f t="shared" si="399"/>
        <v>-277.26</v>
      </c>
      <c r="I753" s="2"/>
    </row>
    <row r="754" spans="1:9" x14ac:dyDescent="0.25">
      <c r="A754" s="3"/>
      <c r="B754" s="3"/>
      <c r="C754" s="41" t="s">
        <v>118</v>
      </c>
      <c r="D754" s="42">
        <f>SUM(D755:D756)</f>
        <v>0</v>
      </c>
      <c r="E754" s="42">
        <f t="shared" ref="E754:F754" si="400">SUM(E755:E756)</f>
        <v>0</v>
      </c>
      <c r="F754" s="42">
        <f t="shared" si="400"/>
        <v>-6128.98</v>
      </c>
      <c r="G754" s="42">
        <f>F754-E754</f>
        <v>-6128.98</v>
      </c>
      <c r="I754" s="2"/>
    </row>
    <row r="755" spans="1:9" x14ac:dyDescent="0.25">
      <c r="A755" s="3"/>
      <c r="B755" s="3"/>
      <c r="C755" s="3" t="s">
        <v>114</v>
      </c>
      <c r="D755" s="5">
        <v>0</v>
      </c>
      <c r="E755" s="5">
        <v>0</v>
      </c>
      <c r="F755" s="5">
        <v>4.8099999999999996</v>
      </c>
      <c r="G755" s="5">
        <f t="shared" ref="G755:G756" si="401">F755-E755</f>
        <v>4.8099999999999996</v>
      </c>
      <c r="I755" s="2"/>
    </row>
    <row r="756" spans="1:9" x14ac:dyDescent="0.25">
      <c r="A756" s="3"/>
      <c r="B756" s="3"/>
      <c r="C756" s="3" t="s">
        <v>30</v>
      </c>
      <c r="D756" s="5">
        <v>0</v>
      </c>
      <c r="E756" s="5">
        <v>0</v>
      </c>
      <c r="F756" s="5">
        <v>-6133.79</v>
      </c>
      <c r="G756" s="5">
        <f t="shared" si="401"/>
        <v>-6133.79</v>
      </c>
      <c r="I756" s="2"/>
    </row>
    <row r="757" spans="1:9" x14ac:dyDescent="0.25">
      <c r="A757" s="41"/>
      <c r="B757" s="41"/>
      <c r="C757" s="41" t="s">
        <v>119</v>
      </c>
      <c r="D757" s="42">
        <f>SUM(D759:D762)</f>
        <v>-5873862</v>
      </c>
      <c r="E757" s="42">
        <f>E758</f>
        <v>-4172474.22</v>
      </c>
      <c r="F757" s="42">
        <f>SUM(F759:F762)</f>
        <v>-4169430.4</v>
      </c>
      <c r="G757" s="42">
        <f>F757-E757</f>
        <v>3043.820000000298</v>
      </c>
      <c r="I757" s="2"/>
    </row>
    <row r="758" spans="1:9" x14ac:dyDescent="0.25">
      <c r="A758" s="41"/>
      <c r="B758" s="41"/>
      <c r="C758" s="3" t="s">
        <v>193</v>
      </c>
      <c r="D758" s="5"/>
      <c r="E758" s="5">
        <v>-4172474.22</v>
      </c>
      <c r="F758" s="5">
        <v>0</v>
      </c>
      <c r="G758" s="5">
        <f t="shared" ref="G758" si="402">F758-E758</f>
        <v>4172474.22</v>
      </c>
      <c r="I758" s="2"/>
    </row>
    <row r="759" spans="1:9" x14ac:dyDescent="0.25">
      <c r="A759" s="3"/>
      <c r="B759" s="3"/>
      <c r="C759" s="3" t="s">
        <v>52</v>
      </c>
      <c r="D759" s="5">
        <v>-151515</v>
      </c>
      <c r="E759" s="5">
        <v>0</v>
      </c>
      <c r="F759" s="5">
        <v>-153879.96</v>
      </c>
      <c r="G759" s="5">
        <f t="shared" ref="G759:G762" si="403">F759-E759</f>
        <v>-153879.96</v>
      </c>
      <c r="I759" s="2"/>
    </row>
    <row r="760" spans="1:9" x14ac:dyDescent="0.25">
      <c r="A760" s="41"/>
      <c r="B760" s="41"/>
      <c r="C760" s="3" t="s">
        <v>53</v>
      </c>
      <c r="D760" s="5">
        <v>-1388</v>
      </c>
      <c r="E760" s="5">
        <v>0</v>
      </c>
      <c r="F760" s="5">
        <v>-1621.32</v>
      </c>
      <c r="G760" s="5">
        <f t="shared" si="403"/>
        <v>-1621.32</v>
      </c>
      <c r="I760" s="2"/>
    </row>
    <row r="761" spans="1:9" x14ac:dyDescent="0.25">
      <c r="A761" s="41"/>
      <c r="B761" s="41"/>
      <c r="C761" s="3" t="s">
        <v>122</v>
      </c>
      <c r="D761" s="5">
        <v>-3825796</v>
      </c>
      <c r="E761" s="5">
        <v>0</v>
      </c>
      <c r="F761" s="5">
        <v>-2042643.06</v>
      </c>
      <c r="G761" s="5">
        <f t="shared" si="403"/>
        <v>-2042643.06</v>
      </c>
      <c r="H761" s="25" t="s">
        <v>166</v>
      </c>
      <c r="I761" s="2"/>
    </row>
    <row r="762" spans="1:9" x14ac:dyDescent="0.25">
      <c r="A762" s="41"/>
      <c r="B762" s="41"/>
      <c r="C762" s="3" t="s">
        <v>113</v>
      </c>
      <c r="D762" s="5">
        <f>-1716288-4004671+3825796</f>
        <v>-1895163</v>
      </c>
      <c r="E762" s="5">
        <v>0</v>
      </c>
      <c r="F762" s="5">
        <v>-1971286.06</v>
      </c>
      <c r="G762" s="5">
        <f t="shared" si="403"/>
        <v>-1971286.06</v>
      </c>
      <c r="I762" s="2"/>
    </row>
    <row r="763" spans="1:9" x14ac:dyDescent="0.25">
      <c r="A763" s="41"/>
      <c r="B763" s="41"/>
      <c r="C763" s="41" t="s">
        <v>120</v>
      </c>
      <c r="D763" s="42">
        <f>SUM(D764:D765)</f>
        <v>0</v>
      </c>
      <c r="E763" s="42">
        <f>SUM(E764:E766)</f>
        <v>-183.13</v>
      </c>
      <c r="F763" s="42">
        <f>SUM(F764:F766)</f>
        <v>-183.13</v>
      </c>
      <c r="G763" s="42">
        <f>F763-E763</f>
        <v>0</v>
      </c>
      <c r="I763" s="2"/>
    </row>
    <row r="764" spans="1:9" x14ac:dyDescent="0.25">
      <c r="A764" s="41"/>
      <c r="B764" s="41"/>
      <c r="C764" s="3" t="s">
        <v>193</v>
      </c>
      <c r="D764" s="5">
        <v>0</v>
      </c>
      <c r="E764" s="5">
        <v>-183.13</v>
      </c>
      <c r="F764" s="5">
        <v>0</v>
      </c>
      <c r="G764" s="5">
        <f t="shared" ref="G764:G766" si="404">F764-E764</f>
        <v>183.13</v>
      </c>
      <c r="I764" s="2"/>
    </row>
    <row r="765" spans="1:9" x14ac:dyDescent="0.25">
      <c r="A765" s="41"/>
      <c r="B765" s="41"/>
      <c r="C765" s="3" t="s">
        <v>52</v>
      </c>
      <c r="D765" s="5">
        <v>0</v>
      </c>
      <c r="E765" s="5">
        <v>0</v>
      </c>
      <c r="F765" s="5">
        <v>-93.64</v>
      </c>
      <c r="G765" s="5">
        <f t="shared" si="404"/>
        <v>-93.64</v>
      </c>
      <c r="I765" s="2"/>
    </row>
    <row r="766" spans="1:9" x14ac:dyDescent="0.25">
      <c r="A766" s="41"/>
      <c r="B766" s="41"/>
      <c r="C766" s="3" t="s">
        <v>53</v>
      </c>
      <c r="D766" s="5">
        <v>0</v>
      </c>
      <c r="E766" s="5">
        <v>0</v>
      </c>
      <c r="F766" s="5">
        <v>-89.49</v>
      </c>
      <c r="G766" s="5">
        <f t="shared" si="404"/>
        <v>-89.49</v>
      </c>
      <c r="I766" s="2"/>
    </row>
    <row r="767" spans="1:9" s="39" customFormat="1" x14ac:dyDescent="0.25">
      <c r="A767" s="41"/>
      <c r="B767" s="41"/>
      <c r="C767" s="41" t="s">
        <v>121</v>
      </c>
      <c r="D767" s="42">
        <v>-125872</v>
      </c>
      <c r="E767" s="42">
        <f>D767</f>
        <v>-125872</v>
      </c>
      <c r="F767" s="5">
        <v>-80899.570000000007</v>
      </c>
      <c r="G767" s="42">
        <f>F767-E767</f>
        <v>44972.429999999993</v>
      </c>
      <c r="H767" s="25"/>
      <c r="I767" s="2"/>
    </row>
    <row r="768" spans="1:9" s="39" customFormat="1" x14ac:dyDescent="0.25">
      <c r="A768" s="41"/>
      <c r="B768" s="39" t="s">
        <v>195</v>
      </c>
      <c r="C768" s="41"/>
      <c r="D768" s="42">
        <f>SUM(D769:D772)</f>
        <v>0</v>
      </c>
      <c r="E768" s="42">
        <f t="shared" ref="E768:F768" si="405">SUM(E769:E772)</f>
        <v>-46484.39</v>
      </c>
      <c r="F768" s="42">
        <f t="shared" si="405"/>
        <v>-64913.390000000007</v>
      </c>
      <c r="G768" s="42">
        <f>F768-E768</f>
        <v>-18429.000000000007</v>
      </c>
      <c r="H768" s="25"/>
      <c r="I768" s="2"/>
    </row>
    <row r="769" spans="1:9" s="39" customFormat="1" x14ac:dyDescent="0.25">
      <c r="A769" s="41"/>
      <c r="B769" s="41"/>
      <c r="C769" s="3" t="s">
        <v>193</v>
      </c>
      <c r="D769" s="42">
        <v>0</v>
      </c>
      <c r="E769" s="5">
        <f>E779</f>
        <v>-1907.2</v>
      </c>
      <c r="F769" s="5">
        <v>0</v>
      </c>
      <c r="G769" s="5">
        <f t="shared" ref="G769:G772" si="406">F769-E769</f>
        <v>1907.2</v>
      </c>
      <c r="H769" s="25"/>
      <c r="I769" s="2"/>
    </row>
    <row r="770" spans="1:9" s="39" customFormat="1" x14ac:dyDescent="0.25">
      <c r="A770" s="41"/>
      <c r="B770" s="3"/>
      <c r="C770" s="3" t="s">
        <v>52</v>
      </c>
      <c r="D770" s="5">
        <f>D774+D780</f>
        <v>0</v>
      </c>
      <c r="E770" s="5">
        <f t="shared" ref="E770:F770" si="407">E774+E780</f>
        <v>-36853.300000000003</v>
      </c>
      <c r="F770" s="5">
        <f t="shared" si="407"/>
        <v>-35413.590000000004</v>
      </c>
      <c r="G770" s="5">
        <f t="shared" si="406"/>
        <v>1439.7099999999991</v>
      </c>
      <c r="H770" s="25"/>
      <c r="I770" s="2"/>
    </row>
    <row r="771" spans="1:9" s="39" customFormat="1" x14ac:dyDescent="0.25">
      <c r="A771" s="41"/>
      <c r="B771" s="3"/>
      <c r="C771" s="3" t="s">
        <v>53</v>
      </c>
      <c r="D771" s="5">
        <f>D775+D781</f>
        <v>0</v>
      </c>
      <c r="E771" s="5">
        <f t="shared" ref="E771:F771" si="408">E775+E781</f>
        <v>-7723.89</v>
      </c>
      <c r="F771" s="5">
        <f t="shared" si="408"/>
        <v>-4428.18</v>
      </c>
      <c r="G771" s="5">
        <f t="shared" si="406"/>
        <v>3295.71</v>
      </c>
      <c r="H771" s="25"/>
      <c r="I771" s="2"/>
    </row>
    <row r="772" spans="1:9" s="39" customFormat="1" x14ac:dyDescent="0.25">
      <c r="A772" s="41"/>
      <c r="B772" s="3"/>
      <c r="C772" s="3" t="s">
        <v>114</v>
      </c>
      <c r="D772" s="5">
        <f>D782+D777</f>
        <v>0</v>
      </c>
      <c r="E772" s="5">
        <f t="shared" ref="E772:F772" si="409">E782+E777</f>
        <v>0</v>
      </c>
      <c r="F772" s="5">
        <f t="shared" si="409"/>
        <v>-25071.620000000003</v>
      </c>
      <c r="G772" s="5">
        <f t="shared" si="406"/>
        <v>-25071.620000000003</v>
      </c>
      <c r="H772" s="25"/>
      <c r="I772" s="2"/>
    </row>
    <row r="773" spans="1:9" s="39" customFormat="1" x14ac:dyDescent="0.25">
      <c r="A773" s="41"/>
      <c r="B773" s="41"/>
      <c r="C773" s="41" t="s">
        <v>117</v>
      </c>
      <c r="D773" s="42">
        <f>SUM(D774:D775)</f>
        <v>0</v>
      </c>
      <c r="E773" s="42">
        <f>SUM(E774:E775)</f>
        <v>-44577.19</v>
      </c>
      <c r="F773" s="42">
        <f>SUM(F774:F775)</f>
        <v>-38564.800000000003</v>
      </c>
      <c r="G773" s="42">
        <f>F773-E773</f>
        <v>6012.3899999999994</v>
      </c>
      <c r="H773" s="25"/>
      <c r="I773" s="2"/>
    </row>
    <row r="774" spans="1:9" s="39" customFormat="1" x14ac:dyDescent="0.25">
      <c r="A774" s="41"/>
      <c r="B774" s="3"/>
      <c r="C774" s="3" t="s">
        <v>52</v>
      </c>
      <c r="D774" s="5">
        <v>0</v>
      </c>
      <c r="E774" s="5">
        <v>-36853.300000000003</v>
      </c>
      <c r="F774" s="5">
        <v>-34207.58</v>
      </c>
      <c r="G774" s="5">
        <f t="shared" ref="G774:G777" si="410">F774-E774</f>
        <v>2645.7200000000012</v>
      </c>
      <c r="H774" s="25"/>
      <c r="I774" s="2"/>
    </row>
    <row r="775" spans="1:9" s="39" customFormat="1" x14ac:dyDescent="0.25">
      <c r="A775" s="41"/>
      <c r="B775" s="3"/>
      <c r="C775" s="3" t="s">
        <v>53</v>
      </c>
      <c r="D775" s="5">
        <v>0</v>
      </c>
      <c r="E775" s="5">
        <v>-7723.89</v>
      </c>
      <c r="F775" s="5">
        <v>-4357.22</v>
      </c>
      <c r="G775" s="5">
        <f t="shared" si="410"/>
        <v>3366.67</v>
      </c>
      <c r="H775" s="25"/>
      <c r="I775" s="2"/>
    </row>
    <row r="776" spans="1:9" s="39" customFormat="1" x14ac:dyDescent="0.25">
      <c r="A776" s="41"/>
      <c r="B776" s="41"/>
      <c r="C776" s="41" t="s">
        <v>118</v>
      </c>
      <c r="D776" s="42">
        <f>D777</f>
        <v>0</v>
      </c>
      <c r="E776" s="42">
        <f t="shared" ref="E776:F776" si="411">E777</f>
        <v>0</v>
      </c>
      <c r="F776" s="42">
        <f t="shared" si="411"/>
        <v>0.03</v>
      </c>
      <c r="G776" s="42">
        <f t="shared" si="410"/>
        <v>0.03</v>
      </c>
      <c r="H776" s="25"/>
      <c r="I776" s="2"/>
    </row>
    <row r="777" spans="1:9" s="39" customFormat="1" x14ac:dyDescent="0.25">
      <c r="A777" s="41"/>
      <c r="B777" s="3"/>
      <c r="C777" s="3" t="s">
        <v>54</v>
      </c>
      <c r="D777" s="5">
        <v>0</v>
      </c>
      <c r="E777" s="5">
        <v>0</v>
      </c>
      <c r="F777" s="5">
        <v>0.03</v>
      </c>
      <c r="G777" s="5">
        <f t="shared" si="410"/>
        <v>0.03</v>
      </c>
      <c r="H777" s="25"/>
      <c r="I777" s="2"/>
    </row>
    <row r="778" spans="1:9" s="39" customFormat="1" x14ac:dyDescent="0.25">
      <c r="A778" s="41"/>
      <c r="B778" s="41"/>
      <c r="C778" s="41" t="s">
        <v>119</v>
      </c>
      <c r="D778" s="42">
        <f>SUM(D779:D781)</f>
        <v>0</v>
      </c>
      <c r="E778" s="42">
        <f t="shared" ref="E778:F778" si="412">SUM(E779:E781)</f>
        <v>-1907.2</v>
      </c>
      <c r="F778" s="42">
        <f t="shared" si="412"/>
        <v>-1276.97</v>
      </c>
      <c r="G778" s="42">
        <f>F778-E778</f>
        <v>630.23</v>
      </c>
      <c r="H778" s="25"/>
      <c r="I778" s="2"/>
    </row>
    <row r="779" spans="1:9" s="39" customFormat="1" x14ac:dyDescent="0.25">
      <c r="A779" s="41"/>
      <c r="B779" s="41"/>
      <c r="C779" s="3" t="s">
        <v>193</v>
      </c>
      <c r="D779" s="42">
        <v>0</v>
      </c>
      <c r="E779" s="5">
        <v>-1907.2</v>
      </c>
      <c r="F779" s="5">
        <v>0</v>
      </c>
      <c r="G779" s="5">
        <f t="shared" ref="G779:G781" si="413">F779-E779</f>
        <v>1907.2</v>
      </c>
      <c r="H779" s="25"/>
      <c r="I779" s="2"/>
    </row>
    <row r="780" spans="1:9" s="39" customFormat="1" x14ac:dyDescent="0.25">
      <c r="A780" s="41"/>
      <c r="B780" s="3"/>
      <c r="C780" s="3" t="s">
        <v>52</v>
      </c>
      <c r="D780" s="5">
        <v>0</v>
      </c>
      <c r="E780" s="5">
        <v>0</v>
      </c>
      <c r="F780" s="5">
        <v>-1206.01</v>
      </c>
      <c r="G780" s="5">
        <f t="shared" si="413"/>
        <v>-1206.01</v>
      </c>
      <c r="H780" s="25"/>
      <c r="I780" s="2"/>
    </row>
    <row r="781" spans="1:9" s="39" customFormat="1" x14ac:dyDescent="0.25">
      <c r="A781" s="41"/>
      <c r="B781" s="41"/>
      <c r="C781" s="3" t="s">
        <v>53</v>
      </c>
      <c r="D781" s="5">
        <v>0</v>
      </c>
      <c r="E781" s="5">
        <v>0</v>
      </c>
      <c r="F781" s="5">
        <v>-70.959999999999994</v>
      </c>
      <c r="G781" s="5">
        <f t="shared" si="413"/>
        <v>-70.959999999999994</v>
      </c>
      <c r="H781" s="25"/>
      <c r="I781" s="2"/>
    </row>
    <row r="782" spans="1:9" s="39" customFormat="1" x14ac:dyDescent="0.25">
      <c r="A782" s="41"/>
      <c r="B782" s="41"/>
      <c r="C782" s="41" t="s">
        <v>121</v>
      </c>
      <c r="D782" s="42">
        <v>0</v>
      </c>
      <c r="E782" s="42">
        <f>D782</f>
        <v>0</v>
      </c>
      <c r="F782" s="5">
        <v>-25071.65</v>
      </c>
      <c r="G782" s="42">
        <f>F782-E782</f>
        <v>-25071.65</v>
      </c>
      <c r="H782" s="25"/>
      <c r="I782" s="2"/>
    </row>
    <row r="783" spans="1:9" s="39" customFormat="1" ht="15.75" x14ac:dyDescent="0.25">
      <c r="A783" s="71" t="s">
        <v>157</v>
      </c>
      <c r="B783" s="41"/>
      <c r="C783" s="41"/>
      <c r="D783" s="42">
        <f>SUM(D784:D788)</f>
        <v>-2905373</v>
      </c>
      <c r="E783" s="42">
        <f>SUM(E784:E788)</f>
        <v>-2289351.8600000003</v>
      </c>
      <c r="F783" s="42">
        <f>SUM(F784:F788)</f>
        <v>-2163169.44</v>
      </c>
      <c r="G783" s="42">
        <f t="shared" ref="G783:G788" si="414">F783-E783</f>
        <v>126182.42000000039</v>
      </c>
      <c r="H783" s="25"/>
      <c r="I783" s="2"/>
    </row>
    <row r="784" spans="1:9" x14ac:dyDescent="0.25">
      <c r="A784" s="3"/>
      <c r="B784" s="3" t="s">
        <v>117</v>
      </c>
      <c r="C784" s="3"/>
      <c r="D784" s="5">
        <f>D795+D815</f>
        <v>-457734</v>
      </c>
      <c r="E784" s="5">
        <f>E795+E815+E839</f>
        <v>-458119.56</v>
      </c>
      <c r="F784" s="5">
        <f>F795+F815+F839</f>
        <v>-388949.88</v>
      </c>
      <c r="G784" s="5">
        <f t="shared" si="414"/>
        <v>69169.679999999993</v>
      </c>
      <c r="I784" s="2"/>
    </row>
    <row r="785" spans="1:9" x14ac:dyDescent="0.25">
      <c r="A785" s="3"/>
      <c r="B785" s="3" t="s">
        <v>118</v>
      </c>
      <c r="C785" s="3"/>
      <c r="D785" s="5">
        <v>0</v>
      </c>
      <c r="E785" s="5">
        <v>0</v>
      </c>
      <c r="F785" s="5">
        <f>F800+F820+F842</f>
        <v>-3250.52</v>
      </c>
      <c r="G785" s="5">
        <f t="shared" si="414"/>
        <v>-3250.52</v>
      </c>
      <c r="I785" s="2"/>
    </row>
    <row r="786" spans="1:9" x14ac:dyDescent="0.25">
      <c r="A786" s="3"/>
      <c r="B786" s="3" t="s">
        <v>119</v>
      </c>
      <c r="C786" s="3"/>
      <c r="D786" s="5">
        <f>D802+D823</f>
        <v>-2395460</v>
      </c>
      <c r="E786" s="5">
        <f>E802+E823+E844</f>
        <v>-1778956.8300000003</v>
      </c>
      <c r="F786" s="5">
        <f>F802+F823+F844</f>
        <v>-1711837.21</v>
      </c>
      <c r="G786" s="5">
        <f t="shared" si="414"/>
        <v>67119.620000000345</v>
      </c>
      <c r="I786" s="2"/>
    </row>
    <row r="787" spans="1:9" x14ac:dyDescent="0.25">
      <c r="A787" s="3"/>
      <c r="B787" s="3" t="s">
        <v>120</v>
      </c>
      <c r="C787" s="3"/>
      <c r="D787" s="5">
        <f>D848</f>
        <v>0</v>
      </c>
      <c r="E787" s="5">
        <f>E848+E829</f>
        <v>-96.47</v>
      </c>
      <c r="F787" s="5">
        <f>F829</f>
        <v>-96.47</v>
      </c>
      <c r="G787" s="5">
        <f t="shared" si="414"/>
        <v>0</v>
      </c>
      <c r="I787" s="2"/>
    </row>
    <row r="788" spans="1:9" x14ac:dyDescent="0.25">
      <c r="A788" s="3"/>
      <c r="B788" s="3" t="s">
        <v>121</v>
      </c>
      <c r="C788" s="3"/>
      <c r="D788" s="5">
        <f>D806+D833</f>
        <v>-52179</v>
      </c>
      <c r="E788" s="5">
        <f t="shared" ref="E788" si="415">E806+E833</f>
        <v>-52179</v>
      </c>
      <c r="F788" s="5">
        <f>F806+F833+F848</f>
        <v>-59035.360000000001</v>
      </c>
      <c r="G788" s="5">
        <f t="shared" si="414"/>
        <v>-6856.3600000000006</v>
      </c>
      <c r="I788" s="2"/>
    </row>
    <row r="789" spans="1:9" x14ac:dyDescent="0.25">
      <c r="A789" s="41"/>
      <c r="B789" s="41" t="s">
        <v>87</v>
      </c>
      <c r="C789" s="41"/>
      <c r="D789" s="42">
        <f>SUM(D791:D794)</f>
        <v>-521180</v>
      </c>
      <c r="E789" s="42">
        <f>SUM(E790:E794)</f>
        <v>-504487.3</v>
      </c>
      <c r="F789" s="42">
        <f t="shared" ref="F789" si="416">SUM(F791:F794)</f>
        <v>-382868</v>
      </c>
      <c r="G789" s="42">
        <f>F789-E789</f>
        <v>121619.29999999999</v>
      </c>
      <c r="I789" s="2"/>
    </row>
    <row r="790" spans="1:9" x14ac:dyDescent="0.25">
      <c r="A790" s="41"/>
      <c r="B790" s="41"/>
      <c r="C790" s="3" t="s">
        <v>193</v>
      </c>
      <c r="D790" s="5">
        <v>0</v>
      </c>
      <c r="E790" s="5">
        <f>E802</f>
        <v>-211619.87</v>
      </c>
      <c r="F790" s="5">
        <v>0</v>
      </c>
      <c r="G790" s="5">
        <f t="shared" ref="G790" si="417">F790-E790</f>
        <v>211619.87</v>
      </c>
      <c r="I790" s="2"/>
    </row>
    <row r="791" spans="1:9" x14ac:dyDescent="0.25">
      <c r="A791" s="3"/>
      <c r="B791" s="3"/>
      <c r="C791" s="3" t="s">
        <v>52</v>
      </c>
      <c r="D791" s="5">
        <f>D796+D804</f>
        <v>-371456</v>
      </c>
      <c r="E791" s="5">
        <f t="shared" ref="E791:F791" si="418">E796+E804</f>
        <v>-230334.89</v>
      </c>
      <c r="F791" s="5">
        <f t="shared" si="418"/>
        <v>-317349.23</v>
      </c>
      <c r="G791" s="5">
        <f t="shared" ref="G791:G794" si="419">F791-E791</f>
        <v>-87014.339999999967</v>
      </c>
      <c r="I791" s="2"/>
    </row>
    <row r="792" spans="1:9" x14ac:dyDescent="0.25">
      <c r="A792" s="3"/>
      <c r="B792" s="3"/>
      <c r="C792" s="3" t="s">
        <v>53</v>
      </c>
      <c r="D792" s="5">
        <f>D797+D805</f>
        <v>-127673</v>
      </c>
      <c r="E792" s="5">
        <f t="shared" ref="E792:F792" si="420">E797+E805</f>
        <v>-40481.539999999994</v>
      </c>
      <c r="F792" s="5">
        <f t="shared" si="420"/>
        <v>-39455.31</v>
      </c>
      <c r="G792" s="5">
        <f t="shared" si="419"/>
        <v>1026.2299999999959</v>
      </c>
      <c r="I792" s="2"/>
    </row>
    <row r="793" spans="1:9" x14ac:dyDescent="0.25">
      <c r="A793" s="3"/>
      <c r="B793" s="3"/>
      <c r="C793" s="3" t="s">
        <v>113</v>
      </c>
      <c r="D793" s="5">
        <f>D798</f>
        <v>-17200</v>
      </c>
      <c r="E793" s="5">
        <f t="shared" ref="E793:F793" si="421">E798</f>
        <v>-17200</v>
      </c>
      <c r="F793" s="5">
        <f t="shared" si="421"/>
        <v>-17200</v>
      </c>
      <c r="G793" s="5">
        <f t="shared" si="419"/>
        <v>0</v>
      </c>
      <c r="I793" s="2"/>
    </row>
    <row r="794" spans="1:9" x14ac:dyDescent="0.25">
      <c r="A794" s="3"/>
      <c r="B794" s="3"/>
      <c r="C794" s="3" t="s">
        <v>114</v>
      </c>
      <c r="D794" s="5">
        <f>D806</f>
        <v>-4851</v>
      </c>
      <c r="E794" s="5">
        <f t="shared" ref="E794" si="422">E806</f>
        <v>-4851</v>
      </c>
      <c r="F794" s="5">
        <f>F806+F799+F801</f>
        <v>-8863.4600000000009</v>
      </c>
      <c r="G794" s="5">
        <f t="shared" si="419"/>
        <v>-4012.4600000000009</v>
      </c>
      <c r="I794" s="2"/>
    </row>
    <row r="795" spans="1:9" x14ac:dyDescent="0.25">
      <c r="A795" s="41"/>
      <c r="B795" s="41"/>
      <c r="C795" s="41" t="s">
        <v>117</v>
      </c>
      <c r="D795" s="42">
        <f>SUM(D796:D798)</f>
        <v>-315116</v>
      </c>
      <c r="E795" s="42">
        <f t="shared" ref="E795" si="423">SUM(E796:E798)</f>
        <v>-288016.43</v>
      </c>
      <c r="F795" s="42">
        <f>SUM(F796:F799)</f>
        <v>-227431.37000000002</v>
      </c>
      <c r="G795" s="42">
        <f>F795-E795</f>
        <v>60585.059999999969</v>
      </c>
      <c r="I795" s="2"/>
    </row>
    <row r="796" spans="1:9" x14ac:dyDescent="0.25">
      <c r="A796" s="3"/>
      <c r="B796" s="3"/>
      <c r="C796" s="3" t="s">
        <v>52</v>
      </c>
      <c r="D796" s="5">
        <v>-238035</v>
      </c>
      <c r="E796" s="5">
        <v>-230334.89</v>
      </c>
      <c r="F796" s="5">
        <v>-176809.38</v>
      </c>
      <c r="G796" s="5">
        <f t="shared" ref="G796:G799" si="424">F796-E796</f>
        <v>53525.510000000009</v>
      </c>
      <c r="I796" s="2"/>
    </row>
    <row r="797" spans="1:9" x14ac:dyDescent="0.25">
      <c r="A797" s="3"/>
      <c r="B797" s="3"/>
      <c r="C797" s="3" t="s">
        <v>53</v>
      </c>
      <c r="D797" s="5">
        <v>-59881</v>
      </c>
      <c r="E797" s="5">
        <f>-39270.59-1210.95</f>
        <v>-40481.539999999994</v>
      </c>
      <c r="F797" s="5">
        <v>-33392.07</v>
      </c>
      <c r="G797" s="5">
        <f t="shared" si="424"/>
        <v>7089.4699999999939</v>
      </c>
      <c r="I797" s="2"/>
    </row>
    <row r="798" spans="1:9" x14ac:dyDescent="0.25">
      <c r="A798" s="3"/>
      <c r="B798" s="3"/>
      <c r="C798" s="3" t="s">
        <v>113</v>
      </c>
      <c r="D798" s="5">
        <v>-17200</v>
      </c>
      <c r="E798" s="5">
        <v>-17200</v>
      </c>
      <c r="F798" s="5">
        <v>-17200</v>
      </c>
      <c r="G798" s="5">
        <f t="shared" si="424"/>
        <v>0</v>
      </c>
      <c r="I798" s="2"/>
    </row>
    <row r="799" spans="1:9" x14ac:dyDescent="0.25">
      <c r="A799" s="3"/>
      <c r="B799" s="3"/>
      <c r="C799" s="3" t="s">
        <v>54</v>
      </c>
      <c r="D799" s="5">
        <v>0</v>
      </c>
      <c r="E799" s="5">
        <v>0</v>
      </c>
      <c r="F799" s="5">
        <v>-29.92</v>
      </c>
      <c r="G799" s="5">
        <f t="shared" si="424"/>
        <v>-29.92</v>
      </c>
      <c r="I799" s="2"/>
    </row>
    <row r="800" spans="1:9" x14ac:dyDescent="0.25">
      <c r="A800" s="3"/>
      <c r="B800" s="3"/>
      <c r="C800" s="41" t="s">
        <v>118</v>
      </c>
      <c r="D800" s="42">
        <v>0</v>
      </c>
      <c r="E800" s="42">
        <v>0</v>
      </c>
      <c r="F800" s="42">
        <f>F801</f>
        <v>-22.03</v>
      </c>
      <c r="G800" s="42">
        <f>F800-E800</f>
        <v>-22.03</v>
      </c>
      <c r="I800" s="2"/>
    </row>
    <row r="801" spans="1:9" x14ac:dyDescent="0.25">
      <c r="A801" s="3"/>
      <c r="B801" s="3"/>
      <c r="C801" s="3" t="s">
        <v>114</v>
      </c>
      <c r="D801" s="5">
        <v>0</v>
      </c>
      <c r="E801" s="5">
        <v>0</v>
      </c>
      <c r="F801" s="5">
        <v>-22.03</v>
      </c>
      <c r="G801" s="5">
        <f t="shared" ref="G801" si="425">F801-E801</f>
        <v>-22.03</v>
      </c>
      <c r="I801" s="2"/>
    </row>
    <row r="802" spans="1:9" x14ac:dyDescent="0.25">
      <c r="A802" s="41"/>
      <c r="B802" s="41"/>
      <c r="C802" s="41" t="s">
        <v>119</v>
      </c>
      <c r="D802" s="42">
        <f>SUM(D804:D805)</f>
        <v>-201213</v>
      </c>
      <c r="E802" s="42">
        <f>E803</f>
        <v>-211619.87</v>
      </c>
      <c r="F802" s="42">
        <f>SUM(F804:F805)</f>
        <v>-146603.09</v>
      </c>
      <c r="G802" s="42">
        <f>F802-E802</f>
        <v>65016.78</v>
      </c>
      <c r="I802" s="2"/>
    </row>
    <row r="803" spans="1:9" x14ac:dyDescent="0.25">
      <c r="A803" s="41"/>
      <c r="B803" s="41"/>
      <c r="C803" s="3" t="s">
        <v>193</v>
      </c>
      <c r="D803" s="5">
        <v>0</v>
      </c>
      <c r="E803" s="25">
        <v>-211619.87</v>
      </c>
      <c r="F803" s="5">
        <v>0</v>
      </c>
      <c r="G803" s="5">
        <f t="shared" ref="G803" si="426">F803-E803</f>
        <v>211619.87</v>
      </c>
      <c r="I803" s="2"/>
    </row>
    <row r="804" spans="1:9" x14ac:dyDescent="0.25">
      <c r="A804" s="3"/>
      <c r="B804" s="3"/>
      <c r="C804" s="3" t="s">
        <v>52</v>
      </c>
      <c r="D804" s="5">
        <v>-133421</v>
      </c>
      <c r="E804" s="5">
        <v>0</v>
      </c>
      <c r="F804" s="5">
        <v>-140539.85</v>
      </c>
      <c r="G804" s="5">
        <f t="shared" ref="G804:G805" si="427">F804-E804</f>
        <v>-140539.85</v>
      </c>
      <c r="I804" s="2"/>
    </row>
    <row r="805" spans="1:9" x14ac:dyDescent="0.25">
      <c r="A805" s="41"/>
      <c r="B805" s="41"/>
      <c r="C805" s="3" t="s">
        <v>53</v>
      </c>
      <c r="D805" s="5">
        <v>-67792</v>
      </c>
      <c r="E805" s="5">
        <v>0</v>
      </c>
      <c r="F805" s="5">
        <v>-6063.24</v>
      </c>
      <c r="G805" s="5">
        <f t="shared" si="427"/>
        <v>-6063.24</v>
      </c>
      <c r="I805" s="2"/>
    </row>
    <row r="806" spans="1:9" s="39" customFormat="1" x14ac:dyDescent="0.25">
      <c r="A806" s="41"/>
      <c r="B806" s="41"/>
      <c r="C806" s="41" t="s">
        <v>121</v>
      </c>
      <c r="D806" s="42">
        <v>-4851</v>
      </c>
      <c r="E806" s="42">
        <f>D806</f>
        <v>-4851</v>
      </c>
      <c r="F806" s="5">
        <v>-8811.51</v>
      </c>
      <c r="G806" s="42">
        <f>F806-E806</f>
        <v>-3960.51</v>
      </c>
      <c r="H806" s="25"/>
      <c r="I806" s="2"/>
    </row>
    <row r="807" spans="1:9" x14ac:dyDescent="0.25">
      <c r="A807" s="41"/>
      <c r="B807" s="41" t="s">
        <v>129</v>
      </c>
      <c r="C807" s="41"/>
      <c r="D807" s="42">
        <f>SUM(D809:D813)</f>
        <v>-2384193</v>
      </c>
      <c r="E807" s="42">
        <f>SUM(E808:E813)</f>
        <v>-1748645.24</v>
      </c>
      <c r="F807" s="42">
        <f>SUM(F809:F814)</f>
        <v>-1729023.32</v>
      </c>
      <c r="G807" s="42">
        <f>F807-E807</f>
        <v>19621.919999999925</v>
      </c>
      <c r="I807" s="2"/>
    </row>
    <row r="808" spans="1:9" x14ac:dyDescent="0.25">
      <c r="A808" s="41"/>
      <c r="B808" s="41"/>
      <c r="C808" s="3" t="s">
        <v>193</v>
      </c>
      <c r="D808" s="5"/>
      <c r="E808" s="5">
        <f>E824+E830</f>
        <v>-1565926.84</v>
      </c>
      <c r="F808" s="5"/>
      <c r="G808" s="5">
        <f t="shared" ref="G808" si="428">F808-E808</f>
        <v>1565926.84</v>
      </c>
      <c r="I808" s="2"/>
    </row>
    <row r="809" spans="1:9" x14ac:dyDescent="0.25">
      <c r="A809" s="3"/>
      <c r="B809" s="3"/>
      <c r="C809" s="3" t="s">
        <v>52</v>
      </c>
      <c r="D809" s="5">
        <f>D816+D825</f>
        <v>-194634</v>
      </c>
      <c r="E809" s="5">
        <f t="shared" ref="E809" si="429">E816+E825</f>
        <v>-110249.69</v>
      </c>
      <c r="F809" s="5">
        <f>F816+F825+F831</f>
        <v>-188904.9</v>
      </c>
      <c r="G809" s="5">
        <f t="shared" ref="G809:G814" si="430">F809-E809</f>
        <v>-78655.209999999992</v>
      </c>
      <c r="I809" s="2"/>
    </row>
    <row r="810" spans="1:9" x14ac:dyDescent="0.25">
      <c r="A810" s="3"/>
      <c r="B810" s="3"/>
      <c r="C810" s="3" t="s">
        <v>53</v>
      </c>
      <c r="D810" s="5">
        <f>D817+D826</f>
        <v>-26365</v>
      </c>
      <c r="E810" s="5">
        <f t="shared" ref="E810" si="431">E817+E826</f>
        <v>-25092.82</v>
      </c>
      <c r="F810" s="5">
        <f>F817+F826+F832</f>
        <v>-21771.78</v>
      </c>
      <c r="G810" s="5">
        <f t="shared" si="430"/>
        <v>3321.0400000000009</v>
      </c>
      <c r="I810" s="2"/>
    </row>
    <row r="811" spans="1:9" x14ac:dyDescent="0.25">
      <c r="A811" s="3"/>
      <c r="B811" s="3"/>
      <c r="C811" s="3" t="s">
        <v>122</v>
      </c>
      <c r="D811" s="5">
        <f>D827</f>
        <v>-1733332</v>
      </c>
      <c r="E811" s="5">
        <f t="shared" ref="E811:F811" si="432">E827</f>
        <v>0</v>
      </c>
      <c r="F811" s="5">
        <f t="shared" si="432"/>
        <v>-755448.08</v>
      </c>
      <c r="G811" s="5">
        <f t="shared" si="430"/>
        <v>-755448.08</v>
      </c>
      <c r="I811" s="2"/>
    </row>
    <row r="812" spans="1:9" x14ac:dyDescent="0.25">
      <c r="A812" s="3"/>
      <c r="B812" s="3"/>
      <c r="C812" s="3" t="s">
        <v>113</v>
      </c>
      <c r="D812" s="5">
        <f>D818+D828</f>
        <v>-382534</v>
      </c>
      <c r="E812" s="5">
        <f>E818+E828</f>
        <v>-47.89</v>
      </c>
      <c r="F812" s="5">
        <f>F818+F828</f>
        <v>-729105.41</v>
      </c>
      <c r="G812" s="5">
        <f t="shared" si="430"/>
        <v>-729057.52</v>
      </c>
      <c r="I812" s="2"/>
    </row>
    <row r="813" spans="1:9" x14ac:dyDescent="0.25">
      <c r="A813" s="3"/>
      <c r="B813" s="3"/>
      <c r="C813" s="3" t="s">
        <v>114</v>
      </c>
      <c r="D813" s="5">
        <f>D833</f>
        <v>-47328</v>
      </c>
      <c r="E813" s="5">
        <f t="shared" ref="E813" si="433">E833</f>
        <v>-47328</v>
      </c>
      <c r="F813" s="5">
        <f>F833+F819+F821</f>
        <v>-30562.100000000002</v>
      </c>
      <c r="G813" s="5">
        <f t="shared" si="430"/>
        <v>16765.899999999998</v>
      </c>
      <c r="I813" s="2"/>
    </row>
    <row r="814" spans="1:9" x14ac:dyDescent="0.25">
      <c r="A814" s="3"/>
      <c r="B814" s="3"/>
      <c r="C814" s="3" t="s">
        <v>30</v>
      </c>
      <c r="D814" s="5">
        <v>0</v>
      </c>
      <c r="E814" s="5">
        <v>0</v>
      </c>
      <c r="F814" s="5">
        <f>F822</f>
        <v>-3231.05</v>
      </c>
      <c r="G814" s="5">
        <f t="shared" si="430"/>
        <v>-3231.05</v>
      </c>
      <c r="I814" s="2"/>
    </row>
    <row r="815" spans="1:9" x14ac:dyDescent="0.25">
      <c r="A815" s="41"/>
      <c r="B815" s="41"/>
      <c r="C815" s="41" t="s">
        <v>117</v>
      </c>
      <c r="D815" s="42">
        <f>SUM(D816:D818)</f>
        <v>-142618</v>
      </c>
      <c r="E815" s="42">
        <f t="shared" ref="E815" si="434">SUM(E816:E818)</f>
        <v>-135390.40000000002</v>
      </c>
      <c r="F815" s="42">
        <f>SUM(F816:F819)</f>
        <v>-131054.37</v>
      </c>
      <c r="G815" s="42">
        <f>F815-E815</f>
        <v>4336.0300000000279</v>
      </c>
      <c r="I815" s="2"/>
    </row>
    <row r="816" spans="1:9" x14ac:dyDescent="0.25">
      <c r="A816" s="3"/>
      <c r="B816" s="3"/>
      <c r="C816" s="3" t="s">
        <v>52</v>
      </c>
      <c r="D816" s="5">
        <v>-116949</v>
      </c>
      <c r="E816" s="5">
        <v>-110249.69</v>
      </c>
      <c r="F816" s="5">
        <v>-109989.84</v>
      </c>
      <c r="G816" s="5">
        <f t="shared" ref="G816:G819" si="435">F816-E816</f>
        <v>259.85000000000582</v>
      </c>
      <c r="I816" s="2"/>
    </row>
    <row r="817" spans="1:9" x14ac:dyDescent="0.25">
      <c r="A817" s="3"/>
      <c r="B817" s="3"/>
      <c r="C817" s="3" t="s">
        <v>53</v>
      </c>
      <c r="D817" s="5">
        <v>-25634</v>
      </c>
      <c r="E817" s="5">
        <f>-25086.76-6.06</f>
        <v>-25092.82</v>
      </c>
      <c r="F817" s="5">
        <v>-20870.59</v>
      </c>
      <c r="G817" s="5">
        <f t="shared" si="435"/>
        <v>4222.2299999999996</v>
      </c>
      <c r="I817" s="2"/>
    </row>
    <row r="818" spans="1:9" x14ac:dyDescent="0.25">
      <c r="A818" s="3"/>
      <c r="B818" s="3"/>
      <c r="C818" s="3" t="s">
        <v>113</v>
      </c>
      <c r="D818" s="5">
        <v>-35</v>
      </c>
      <c r="E818" s="5">
        <v>-47.89</v>
      </c>
      <c r="F818" s="5">
        <v>-47.89</v>
      </c>
      <c r="G818" s="5">
        <f t="shared" si="435"/>
        <v>0</v>
      </c>
      <c r="I818" s="2"/>
    </row>
    <row r="819" spans="1:9" x14ac:dyDescent="0.25">
      <c r="A819" s="3"/>
      <c r="B819" s="3"/>
      <c r="C819" s="3" t="s">
        <v>54</v>
      </c>
      <c r="D819" s="5">
        <v>0</v>
      </c>
      <c r="E819" s="5">
        <v>0</v>
      </c>
      <c r="F819" s="5">
        <v>-146.05000000000001</v>
      </c>
      <c r="G819" s="5">
        <f t="shared" si="435"/>
        <v>-146.05000000000001</v>
      </c>
      <c r="I819" s="2"/>
    </row>
    <row r="820" spans="1:9" x14ac:dyDescent="0.25">
      <c r="A820" s="3"/>
      <c r="B820" s="3"/>
      <c r="C820" s="41" t="s">
        <v>118</v>
      </c>
      <c r="D820" s="42">
        <f>SUM(D821:D822)</f>
        <v>0</v>
      </c>
      <c r="E820" s="42">
        <f t="shared" ref="E820:F820" si="436">SUM(E821:E822)</f>
        <v>0</v>
      </c>
      <c r="F820" s="42">
        <f t="shared" si="436"/>
        <v>-3228.52</v>
      </c>
      <c r="G820" s="42">
        <f>F820-E820</f>
        <v>-3228.52</v>
      </c>
      <c r="I820" s="2"/>
    </row>
    <row r="821" spans="1:9" x14ac:dyDescent="0.25">
      <c r="A821" s="3"/>
      <c r="B821" s="3"/>
      <c r="C821" s="3" t="s">
        <v>114</v>
      </c>
      <c r="D821" s="5">
        <v>0</v>
      </c>
      <c r="E821" s="5">
        <v>0</v>
      </c>
      <c r="F821" s="5">
        <v>2.5299999999999998</v>
      </c>
      <c r="G821" s="5">
        <f t="shared" ref="G821:G822" si="437">F821-E821</f>
        <v>2.5299999999999998</v>
      </c>
      <c r="I821" s="2"/>
    </row>
    <row r="822" spans="1:9" x14ac:dyDescent="0.25">
      <c r="A822" s="3"/>
      <c r="B822" s="3"/>
      <c r="C822" s="3" t="s">
        <v>30</v>
      </c>
      <c r="D822" s="5">
        <v>0</v>
      </c>
      <c r="E822" s="5">
        <v>0</v>
      </c>
      <c r="F822" s="5">
        <v>-3231.05</v>
      </c>
      <c r="G822" s="5">
        <f t="shared" si="437"/>
        <v>-3231.05</v>
      </c>
      <c r="I822" s="2"/>
    </row>
    <row r="823" spans="1:9" x14ac:dyDescent="0.25">
      <c r="A823" s="41"/>
      <c r="B823" s="41"/>
      <c r="C823" s="41" t="s">
        <v>119</v>
      </c>
      <c r="D823" s="42">
        <f>SUM(D825:D828)</f>
        <v>-2194247</v>
      </c>
      <c r="E823" s="42">
        <f>E824</f>
        <v>-1565830.37</v>
      </c>
      <c r="F823" s="42">
        <f>SUM(F825:F828)</f>
        <v>-1564225.38</v>
      </c>
      <c r="G823" s="42">
        <f>F823-E823</f>
        <v>1604.9900000002235</v>
      </c>
      <c r="I823" s="2"/>
    </row>
    <row r="824" spans="1:9" x14ac:dyDescent="0.25">
      <c r="A824" s="41"/>
      <c r="B824" s="41"/>
      <c r="C824" s="3" t="s">
        <v>193</v>
      </c>
      <c r="D824" s="5">
        <v>0</v>
      </c>
      <c r="E824" s="5">
        <v>-1565830.37</v>
      </c>
      <c r="F824" s="5">
        <v>0</v>
      </c>
      <c r="G824" s="5">
        <f t="shared" ref="G824" si="438">F824-E824</f>
        <v>1565830.37</v>
      </c>
      <c r="I824" s="2"/>
    </row>
    <row r="825" spans="1:9" x14ac:dyDescent="0.25">
      <c r="A825" s="3"/>
      <c r="B825" s="3"/>
      <c r="C825" s="3" t="s">
        <v>52</v>
      </c>
      <c r="D825" s="5">
        <v>-77685</v>
      </c>
      <c r="E825" s="5">
        <v>0</v>
      </c>
      <c r="F825" s="5">
        <v>-78865.73</v>
      </c>
      <c r="G825" s="5">
        <f t="shared" ref="G825:G828" si="439">F825-E825</f>
        <v>-78865.73</v>
      </c>
      <c r="I825" s="2"/>
    </row>
    <row r="826" spans="1:9" x14ac:dyDescent="0.25">
      <c r="A826" s="41"/>
      <c r="B826" s="41"/>
      <c r="C826" s="3" t="s">
        <v>53</v>
      </c>
      <c r="D826" s="5">
        <v>-731</v>
      </c>
      <c r="E826" s="5">
        <v>0</v>
      </c>
      <c r="F826" s="5">
        <v>-854.05</v>
      </c>
      <c r="G826" s="5">
        <f t="shared" si="439"/>
        <v>-854.05</v>
      </c>
      <c r="I826" s="2"/>
    </row>
    <row r="827" spans="1:9" x14ac:dyDescent="0.25">
      <c r="A827" s="41"/>
      <c r="B827" s="41"/>
      <c r="C827" s="3" t="s">
        <v>122</v>
      </c>
      <c r="D827" s="5">
        <v>-1733332</v>
      </c>
      <c r="E827" s="5">
        <v>0</v>
      </c>
      <c r="F827" s="5">
        <v>-755448.08</v>
      </c>
      <c r="G827" s="5">
        <f t="shared" si="439"/>
        <v>-755448.08</v>
      </c>
      <c r="H827" s="25" t="s">
        <v>166</v>
      </c>
      <c r="I827" s="2"/>
    </row>
    <row r="828" spans="1:9" x14ac:dyDescent="0.25">
      <c r="A828" s="41"/>
      <c r="B828" s="41"/>
      <c r="C828" s="3" t="s">
        <v>113</v>
      </c>
      <c r="D828" s="5">
        <f>-1481081-634750+1733332</f>
        <v>-382499</v>
      </c>
      <c r="E828" s="5">
        <v>0</v>
      </c>
      <c r="F828" s="5">
        <v>-729057.52</v>
      </c>
      <c r="G828" s="5">
        <f t="shared" si="439"/>
        <v>-729057.52</v>
      </c>
      <c r="I828" s="2"/>
    </row>
    <row r="829" spans="1:9" x14ac:dyDescent="0.25">
      <c r="A829" s="41"/>
      <c r="B829" s="41"/>
      <c r="C829" s="41" t="s">
        <v>120</v>
      </c>
      <c r="D829" s="42">
        <f>SUM(D830:D831)</f>
        <v>0</v>
      </c>
      <c r="E829" s="42">
        <f>SUM(E830:E832)</f>
        <v>-96.47</v>
      </c>
      <c r="F829" s="42">
        <f>SUM(F830:F832)</f>
        <v>-96.47</v>
      </c>
      <c r="G829" s="42">
        <f>F829-E829</f>
        <v>0</v>
      </c>
      <c r="I829" s="2"/>
    </row>
    <row r="830" spans="1:9" x14ac:dyDescent="0.25">
      <c r="A830" s="41"/>
      <c r="B830" s="41"/>
      <c r="C830" s="3" t="s">
        <v>193</v>
      </c>
      <c r="D830" s="5">
        <v>0</v>
      </c>
      <c r="E830" s="5">
        <v>-96.47</v>
      </c>
      <c r="F830" s="5">
        <v>0</v>
      </c>
      <c r="G830" s="5">
        <f t="shared" ref="G830:G832" si="440">F830-E830</f>
        <v>96.47</v>
      </c>
      <c r="I830" s="2"/>
    </row>
    <row r="831" spans="1:9" x14ac:dyDescent="0.25">
      <c r="A831" s="41"/>
      <c r="B831" s="41"/>
      <c r="C831" s="3" t="s">
        <v>52</v>
      </c>
      <c r="D831" s="5">
        <v>0</v>
      </c>
      <c r="E831" s="5">
        <v>0</v>
      </c>
      <c r="F831" s="5">
        <v>-49.33</v>
      </c>
      <c r="G831" s="5">
        <f t="shared" si="440"/>
        <v>-49.33</v>
      </c>
      <c r="I831" s="2"/>
    </row>
    <row r="832" spans="1:9" x14ac:dyDescent="0.25">
      <c r="A832" s="41"/>
      <c r="B832" s="41"/>
      <c r="C832" s="3" t="s">
        <v>53</v>
      </c>
      <c r="D832" s="5">
        <v>0</v>
      </c>
      <c r="E832" s="5">
        <v>0</v>
      </c>
      <c r="F832" s="5">
        <v>-47.14</v>
      </c>
      <c r="G832" s="5">
        <f t="shared" si="440"/>
        <v>-47.14</v>
      </c>
      <c r="I832" s="2"/>
    </row>
    <row r="833" spans="1:9" s="39" customFormat="1" x14ac:dyDescent="0.25">
      <c r="A833" s="41"/>
      <c r="B833" s="41"/>
      <c r="C833" s="41" t="s">
        <v>121</v>
      </c>
      <c r="D833" s="42">
        <v>-47328</v>
      </c>
      <c r="E833" s="42">
        <f>D833</f>
        <v>-47328</v>
      </c>
      <c r="F833" s="5">
        <v>-30418.58</v>
      </c>
      <c r="G833" s="42">
        <f>F833-E833</f>
        <v>16909.419999999998</v>
      </c>
      <c r="H833" s="25"/>
      <c r="I833" s="2"/>
    </row>
    <row r="834" spans="1:9" s="39" customFormat="1" x14ac:dyDescent="0.25">
      <c r="A834" s="41"/>
      <c r="B834" s="39" t="s">
        <v>195</v>
      </c>
      <c r="C834" s="41"/>
      <c r="D834" s="42">
        <f>SUM(D835:D838)</f>
        <v>0</v>
      </c>
      <c r="E834" s="42">
        <f t="shared" ref="E834:F834" si="441">SUM(E835:E838)</f>
        <v>-36219.32</v>
      </c>
      <c r="F834" s="42">
        <f t="shared" si="441"/>
        <v>-51278.119999999995</v>
      </c>
      <c r="G834" s="42">
        <f>F834-E834</f>
        <v>-15058.799999999996</v>
      </c>
      <c r="H834" s="25"/>
      <c r="I834" s="2"/>
    </row>
    <row r="835" spans="1:9" s="39" customFormat="1" x14ac:dyDescent="0.25">
      <c r="A835" s="41"/>
      <c r="B835" s="41"/>
      <c r="C835" s="3" t="s">
        <v>193</v>
      </c>
      <c r="D835" s="42"/>
      <c r="E835" s="5">
        <f>E845</f>
        <v>-1506.59</v>
      </c>
      <c r="F835" s="5"/>
      <c r="G835" s="5">
        <f t="shared" ref="G835:G838" si="442">F835-E835</f>
        <v>1506.59</v>
      </c>
      <c r="H835" s="25"/>
      <c r="I835" s="2"/>
    </row>
    <row r="836" spans="1:9" s="39" customFormat="1" x14ac:dyDescent="0.25">
      <c r="A836" s="41"/>
      <c r="B836" s="3"/>
      <c r="C836" s="3" t="s">
        <v>52</v>
      </c>
      <c r="D836" s="5">
        <f>D840+D846</f>
        <v>0</v>
      </c>
      <c r="E836" s="5">
        <f t="shared" ref="E836:F836" si="443">E840+E846</f>
        <v>-28885.5</v>
      </c>
      <c r="F836" s="5">
        <f t="shared" si="443"/>
        <v>-27974.85</v>
      </c>
      <c r="G836" s="5">
        <f t="shared" si="442"/>
        <v>910.65000000000146</v>
      </c>
      <c r="H836" s="25"/>
      <c r="I836" s="2"/>
    </row>
    <row r="837" spans="1:9" s="39" customFormat="1" x14ac:dyDescent="0.25">
      <c r="A837" s="41"/>
      <c r="B837" s="3"/>
      <c r="C837" s="3" t="s">
        <v>53</v>
      </c>
      <c r="D837" s="5">
        <f>D841+D847</f>
        <v>0</v>
      </c>
      <c r="E837" s="5">
        <f t="shared" ref="E837:F837" si="444">E841+E847</f>
        <v>-5827.23</v>
      </c>
      <c r="F837" s="5">
        <f t="shared" si="444"/>
        <v>-3498.0299999999997</v>
      </c>
      <c r="G837" s="5">
        <f t="shared" si="442"/>
        <v>2329.1999999999998</v>
      </c>
      <c r="H837" s="25"/>
      <c r="I837" s="2"/>
    </row>
    <row r="838" spans="1:9" s="39" customFormat="1" x14ac:dyDescent="0.25">
      <c r="A838" s="41"/>
      <c r="B838" s="3"/>
      <c r="C838" s="3" t="s">
        <v>114</v>
      </c>
      <c r="D838" s="5">
        <f>D848+D843</f>
        <v>0</v>
      </c>
      <c r="E838" s="5">
        <f t="shared" ref="E838:F838" si="445">E848+E843</f>
        <v>0</v>
      </c>
      <c r="F838" s="5">
        <f t="shared" si="445"/>
        <v>-19805.240000000002</v>
      </c>
      <c r="G838" s="5">
        <f t="shared" si="442"/>
        <v>-19805.240000000002</v>
      </c>
      <c r="H838" s="25"/>
      <c r="I838" s="2"/>
    </row>
    <row r="839" spans="1:9" s="39" customFormat="1" x14ac:dyDescent="0.25">
      <c r="A839" s="41"/>
      <c r="B839" s="41"/>
      <c r="C839" s="41" t="s">
        <v>117</v>
      </c>
      <c r="D839" s="42">
        <f>SUM(D840:D841)</f>
        <v>0</v>
      </c>
      <c r="E839" s="42">
        <f>SUM(E840:E841)</f>
        <v>-34712.729999999996</v>
      </c>
      <c r="F839" s="42">
        <f>SUM(F840:F841)</f>
        <v>-30464.14</v>
      </c>
      <c r="G839" s="42">
        <f>F839-E839</f>
        <v>4248.5899999999965</v>
      </c>
      <c r="H839" s="25"/>
      <c r="I839" s="2"/>
    </row>
    <row r="840" spans="1:9" s="39" customFormat="1" x14ac:dyDescent="0.25">
      <c r="A840" s="41"/>
      <c r="B840" s="3"/>
      <c r="C840" s="3" t="s">
        <v>52</v>
      </c>
      <c r="D840" s="5">
        <v>0</v>
      </c>
      <c r="E840" s="5">
        <v>-28885.5</v>
      </c>
      <c r="F840" s="5">
        <v>-27022.17</v>
      </c>
      <c r="G840" s="5">
        <f t="shared" ref="G840:G843" si="446">F840-E840</f>
        <v>1863.3300000000017</v>
      </c>
      <c r="H840" s="25"/>
      <c r="I840" s="2"/>
    </row>
    <row r="841" spans="1:9" s="39" customFormat="1" x14ac:dyDescent="0.25">
      <c r="A841" s="41"/>
      <c r="B841" s="3"/>
      <c r="C841" s="3" t="s">
        <v>53</v>
      </c>
      <c r="D841" s="5">
        <v>0</v>
      </c>
      <c r="E841" s="5">
        <v>-5827.23</v>
      </c>
      <c r="F841" s="5">
        <v>-3441.97</v>
      </c>
      <c r="G841" s="5">
        <f t="shared" si="446"/>
        <v>2385.2599999999998</v>
      </c>
      <c r="H841" s="25"/>
      <c r="I841" s="2"/>
    </row>
    <row r="842" spans="1:9" s="39" customFormat="1" x14ac:dyDescent="0.25">
      <c r="A842" s="41"/>
      <c r="B842" s="41"/>
      <c r="C842" s="41" t="s">
        <v>118</v>
      </c>
      <c r="D842" s="42">
        <f>D843</f>
        <v>0</v>
      </c>
      <c r="E842" s="42">
        <f t="shared" ref="E842:F842" si="447">E843</f>
        <v>0</v>
      </c>
      <c r="F842" s="42">
        <f t="shared" si="447"/>
        <v>0.03</v>
      </c>
      <c r="G842" s="42">
        <f t="shared" si="446"/>
        <v>0.03</v>
      </c>
      <c r="H842" s="25"/>
      <c r="I842" s="2"/>
    </row>
    <row r="843" spans="1:9" s="39" customFormat="1" x14ac:dyDescent="0.25">
      <c r="A843" s="41"/>
      <c r="B843" s="3"/>
      <c r="C843" s="3" t="s">
        <v>54</v>
      </c>
      <c r="D843" s="5">
        <v>0</v>
      </c>
      <c r="E843" s="5">
        <v>0</v>
      </c>
      <c r="F843" s="5">
        <v>0.03</v>
      </c>
      <c r="G843" s="5">
        <f t="shared" si="446"/>
        <v>0.03</v>
      </c>
      <c r="H843" s="25"/>
      <c r="I843" s="2"/>
    </row>
    <row r="844" spans="1:9" s="39" customFormat="1" x14ac:dyDescent="0.25">
      <c r="A844" s="41"/>
      <c r="B844" s="41"/>
      <c r="C844" s="41" t="s">
        <v>119</v>
      </c>
      <c r="D844" s="42">
        <f>SUM(D845:D847)</f>
        <v>0</v>
      </c>
      <c r="E844" s="42">
        <f t="shared" ref="E844:F844" si="448">SUM(E845:E847)</f>
        <v>-1506.59</v>
      </c>
      <c r="F844" s="42">
        <f t="shared" si="448"/>
        <v>-1008.74</v>
      </c>
      <c r="G844" s="42">
        <f>F844-E844</f>
        <v>497.84999999999991</v>
      </c>
      <c r="H844" s="25"/>
      <c r="I844" s="2"/>
    </row>
    <row r="845" spans="1:9" s="39" customFormat="1" x14ac:dyDescent="0.25">
      <c r="A845" s="41"/>
      <c r="B845" s="41"/>
      <c r="C845" s="3" t="s">
        <v>193</v>
      </c>
      <c r="D845" s="42">
        <v>0</v>
      </c>
      <c r="E845" s="5">
        <v>-1506.59</v>
      </c>
      <c r="F845" s="5">
        <v>0</v>
      </c>
      <c r="G845" s="5">
        <f t="shared" ref="G845:G847" si="449">F845-E845</f>
        <v>1506.59</v>
      </c>
      <c r="H845" s="25"/>
      <c r="I845" s="2"/>
    </row>
    <row r="846" spans="1:9" s="39" customFormat="1" x14ac:dyDescent="0.25">
      <c r="A846" s="41"/>
      <c r="B846" s="3"/>
      <c r="C846" s="3" t="s">
        <v>52</v>
      </c>
      <c r="D846" s="5">
        <v>0</v>
      </c>
      <c r="E846" s="5">
        <v>0</v>
      </c>
      <c r="F846" s="5">
        <v>-952.68</v>
      </c>
      <c r="G846" s="5">
        <f t="shared" si="449"/>
        <v>-952.68</v>
      </c>
      <c r="H846" s="25"/>
      <c r="I846" s="2"/>
    </row>
    <row r="847" spans="1:9" s="39" customFormat="1" x14ac:dyDescent="0.25">
      <c r="A847" s="41"/>
      <c r="B847" s="41"/>
      <c r="C847" s="3" t="s">
        <v>53</v>
      </c>
      <c r="D847" s="5">
        <v>0</v>
      </c>
      <c r="E847" s="5">
        <v>0</v>
      </c>
      <c r="F847" s="5">
        <v>-56.06</v>
      </c>
      <c r="G847" s="5">
        <f t="shared" si="449"/>
        <v>-56.06</v>
      </c>
      <c r="H847" s="25"/>
      <c r="I847" s="2"/>
    </row>
    <row r="848" spans="1:9" s="39" customFormat="1" x14ac:dyDescent="0.25">
      <c r="A848" s="41"/>
      <c r="B848" s="41"/>
      <c r="C848" s="41" t="s">
        <v>121</v>
      </c>
      <c r="D848" s="42">
        <v>0</v>
      </c>
      <c r="E848" s="42">
        <f>D848</f>
        <v>0</v>
      </c>
      <c r="F848" s="5">
        <v>-19805.27</v>
      </c>
      <c r="G848" s="42">
        <f>F848-E848</f>
        <v>-19805.27</v>
      </c>
      <c r="H848" s="25"/>
      <c r="I848" s="2"/>
    </row>
    <row r="849" spans="1:9" s="39" customFormat="1" ht="15.75" x14ac:dyDescent="0.25">
      <c r="A849" s="71" t="s">
        <v>159</v>
      </c>
      <c r="B849" s="41"/>
      <c r="C849" s="41"/>
      <c r="D849" s="42">
        <f>SUM(D850:D854)</f>
        <v>-5490480</v>
      </c>
      <c r="E849" s="42">
        <f>SUM(E850:E854)</f>
        <v>-6007263.3399999999</v>
      </c>
      <c r="F849" s="42">
        <f>SUM(F850:F854)</f>
        <v>-5979823.79</v>
      </c>
      <c r="G849" s="42">
        <f t="shared" ref="G849:G854" si="450">F849-E849</f>
        <v>27439.549999999814</v>
      </c>
      <c r="H849" s="25"/>
      <c r="I849" s="2"/>
    </row>
    <row r="850" spans="1:9" x14ac:dyDescent="0.25">
      <c r="A850" s="3"/>
      <c r="B850" s="3" t="s">
        <v>117</v>
      </c>
      <c r="C850" s="3"/>
      <c r="D850" s="5">
        <f>D861+D882</f>
        <v>-858029</v>
      </c>
      <c r="E850" s="5">
        <f>E861+E882+E906</f>
        <v>-1092264.43</v>
      </c>
      <c r="F850" s="5">
        <f>F861+F882+F906</f>
        <v>-1050940.8599999999</v>
      </c>
      <c r="G850" s="5">
        <f t="shared" si="450"/>
        <v>41323.570000000065</v>
      </c>
      <c r="I850" s="2"/>
    </row>
    <row r="851" spans="1:9" x14ac:dyDescent="0.25">
      <c r="A851" s="3"/>
      <c r="B851" s="3" t="s">
        <v>118</v>
      </c>
      <c r="C851" s="3"/>
      <c r="D851" s="5">
        <v>0</v>
      </c>
      <c r="E851" s="5"/>
      <c r="F851" s="5">
        <f>F866+F887</f>
        <v>-4803.2</v>
      </c>
      <c r="G851" s="5">
        <f t="shared" si="450"/>
        <v>-4803.2</v>
      </c>
      <c r="I851" s="2"/>
    </row>
    <row r="852" spans="1:9" x14ac:dyDescent="0.25">
      <c r="A852" s="3"/>
      <c r="B852" s="3" t="s">
        <v>119</v>
      </c>
      <c r="C852" s="3"/>
      <c r="D852" s="5">
        <f>D890</f>
        <v>-4558494</v>
      </c>
      <c r="E852" s="5">
        <f>E868+E890+E911</f>
        <v>-4840900.79</v>
      </c>
      <c r="F852" s="5">
        <f>F868+F890+F911</f>
        <v>-4818455.99</v>
      </c>
      <c r="G852" s="5">
        <f t="shared" si="450"/>
        <v>22444.799999999814</v>
      </c>
      <c r="I852" s="2"/>
    </row>
    <row r="853" spans="1:9" x14ac:dyDescent="0.25">
      <c r="A853" s="3"/>
      <c r="B853" s="3" t="s">
        <v>120</v>
      </c>
      <c r="C853" s="3"/>
      <c r="D853" s="5">
        <f>D914</f>
        <v>0</v>
      </c>
      <c r="E853" s="5">
        <f>E896</f>
        <v>-141.12</v>
      </c>
      <c r="F853" s="5">
        <f>F896</f>
        <v>-141.12</v>
      </c>
      <c r="G853" s="5">
        <f t="shared" si="450"/>
        <v>0</v>
      </c>
      <c r="I853" s="2"/>
    </row>
    <row r="854" spans="1:9" x14ac:dyDescent="0.25">
      <c r="A854" s="3"/>
      <c r="B854" s="3" t="s">
        <v>121</v>
      </c>
      <c r="C854" s="3"/>
      <c r="D854" s="5">
        <f>D873+D900</f>
        <v>-73957</v>
      </c>
      <c r="E854" s="5">
        <f t="shared" ref="E854" si="451">E873+E900</f>
        <v>-73957</v>
      </c>
      <c r="F854" s="5">
        <f>F873+F900+F915</f>
        <v>-105482.62</v>
      </c>
      <c r="G854" s="5">
        <f t="shared" si="450"/>
        <v>-31525.619999999995</v>
      </c>
      <c r="I854" s="2"/>
    </row>
    <row r="855" spans="1:9" x14ac:dyDescent="0.25">
      <c r="A855" s="41"/>
      <c r="B855" s="41" t="s">
        <v>87</v>
      </c>
      <c r="C855" s="41"/>
      <c r="D855" s="42">
        <f>SUM(D857:D860)</f>
        <v>-658768</v>
      </c>
      <c r="E855" s="42">
        <f>SUM(E856:E860)</f>
        <v>-2449090.6</v>
      </c>
      <c r="F855" s="42">
        <f t="shared" ref="F855" si="452">SUM(F857:F860)</f>
        <v>-2425083.89</v>
      </c>
      <c r="G855" s="42">
        <f>F855-E855</f>
        <v>24006.709999999963</v>
      </c>
      <c r="I855" s="2"/>
    </row>
    <row r="856" spans="1:9" x14ac:dyDescent="0.25">
      <c r="A856" s="41"/>
      <c r="B856" s="41"/>
      <c r="C856" s="3" t="s">
        <v>193</v>
      </c>
      <c r="D856" s="5"/>
      <c r="E856" s="5">
        <f>E868</f>
        <v>-1601305.16</v>
      </c>
      <c r="F856" s="5"/>
      <c r="G856" s="5">
        <f t="shared" ref="G856" si="453">F856-E856</f>
        <v>1601305.16</v>
      </c>
      <c r="I856" s="2"/>
    </row>
    <row r="857" spans="1:9" x14ac:dyDescent="0.25">
      <c r="A857" s="3"/>
      <c r="B857" s="3"/>
      <c r="C857" s="3" t="s">
        <v>52</v>
      </c>
      <c r="D857" s="5">
        <f>D862</f>
        <v>-425709</v>
      </c>
      <c r="E857" s="5">
        <f t="shared" ref="E857" si="454">E862</f>
        <v>-547457</v>
      </c>
      <c r="F857" s="5">
        <f>F862+F870</f>
        <v>-654490.38</v>
      </c>
      <c r="G857" s="5">
        <f t="shared" ref="G857:G860" si="455">F857-E857</f>
        <v>-107033.38</v>
      </c>
      <c r="I857" s="2"/>
    </row>
    <row r="858" spans="1:9" x14ac:dyDescent="0.25">
      <c r="A858" s="3"/>
      <c r="B858" s="3"/>
      <c r="C858" s="3" t="s">
        <v>53</v>
      </c>
      <c r="D858" s="5">
        <f>D863</f>
        <v>-188113</v>
      </c>
      <c r="E858" s="5">
        <f t="shared" ref="E858" si="456">E863</f>
        <v>-255179.38</v>
      </c>
      <c r="F858" s="5">
        <f>F863+F871</f>
        <v>-1701283.6600000001</v>
      </c>
      <c r="G858" s="5">
        <f t="shared" si="455"/>
        <v>-1446104.2800000003</v>
      </c>
      <c r="I858" s="2"/>
    </row>
    <row r="859" spans="1:9" x14ac:dyDescent="0.25">
      <c r="A859" s="3"/>
      <c r="B859" s="3"/>
      <c r="C859" s="3" t="s">
        <v>113</v>
      </c>
      <c r="D859" s="5">
        <f>D864</f>
        <v>-35571</v>
      </c>
      <c r="E859" s="5">
        <f t="shared" ref="E859" si="457">E864</f>
        <v>-35774.06</v>
      </c>
      <c r="F859" s="5">
        <f>F864+F872</f>
        <v>-37079.06</v>
      </c>
      <c r="G859" s="5">
        <f t="shared" si="455"/>
        <v>-1305</v>
      </c>
      <c r="I859" s="2"/>
    </row>
    <row r="860" spans="1:9" x14ac:dyDescent="0.25">
      <c r="A860" s="3"/>
      <c r="B860" s="3"/>
      <c r="C860" s="3" t="s">
        <v>114</v>
      </c>
      <c r="D860" s="5">
        <f>D873</f>
        <v>-9375</v>
      </c>
      <c r="E860" s="5">
        <f t="shared" ref="E860" si="458">E873</f>
        <v>-9375</v>
      </c>
      <c r="F860" s="5">
        <f>F873+F865+F867</f>
        <v>-32230.789999999997</v>
      </c>
      <c r="G860" s="5">
        <f t="shared" si="455"/>
        <v>-22855.789999999997</v>
      </c>
      <c r="I860" s="2"/>
    </row>
    <row r="861" spans="1:9" x14ac:dyDescent="0.25">
      <c r="A861" s="41"/>
      <c r="B861" s="41"/>
      <c r="C861" s="41" t="s">
        <v>117</v>
      </c>
      <c r="D861" s="42">
        <f>SUM(D862:D864)</f>
        <v>-649393</v>
      </c>
      <c r="E861" s="42">
        <f t="shared" ref="E861" si="459">SUM(E862:E864)</f>
        <v>-838410.44</v>
      </c>
      <c r="F861" s="42">
        <f>SUM(F862:F865)</f>
        <v>-810955.94</v>
      </c>
      <c r="G861" s="42">
        <f>F861-E861</f>
        <v>27454.5</v>
      </c>
      <c r="I861" s="2"/>
    </row>
    <row r="862" spans="1:9" x14ac:dyDescent="0.25">
      <c r="A862" s="3"/>
      <c r="B862" s="3"/>
      <c r="C862" s="3" t="s">
        <v>52</v>
      </c>
      <c r="D862" s="5">
        <v>-425709</v>
      </c>
      <c r="E862" s="5">
        <v>-547457</v>
      </c>
      <c r="F862" s="5">
        <v>-520480.48</v>
      </c>
      <c r="G862" s="5">
        <f t="shared" ref="G862:G865" si="460">F862-E862</f>
        <v>26976.520000000019</v>
      </c>
      <c r="I862" s="2"/>
    </row>
    <row r="863" spans="1:9" x14ac:dyDescent="0.25">
      <c r="A863" s="3"/>
      <c r="B863" s="3"/>
      <c r="C863" s="3" t="s">
        <v>53</v>
      </c>
      <c r="D863" s="5">
        <v>-188113</v>
      </c>
      <c r="E863" s="5">
        <f>-246871.7-8307.68</f>
        <v>-255179.38</v>
      </c>
      <c r="F863" s="5">
        <v>-254592.6</v>
      </c>
      <c r="G863" s="5">
        <f t="shared" si="460"/>
        <v>586.77999999999884</v>
      </c>
      <c r="I863" s="2"/>
    </row>
    <row r="864" spans="1:9" x14ac:dyDescent="0.25">
      <c r="A864" s="3"/>
      <c r="B864" s="3"/>
      <c r="C864" s="3" t="s">
        <v>113</v>
      </c>
      <c r="D864" s="5">
        <v>-35571</v>
      </c>
      <c r="E864" s="5">
        <v>-35774.06</v>
      </c>
      <c r="F864" s="5">
        <v>-35774.06</v>
      </c>
      <c r="G864" s="5">
        <f t="shared" si="460"/>
        <v>0</v>
      </c>
      <c r="I864" s="2"/>
    </row>
    <row r="865" spans="1:9" x14ac:dyDescent="0.25">
      <c r="A865" s="3"/>
      <c r="B865" s="3"/>
      <c r="C865" s="3" t="s">
        <v>54</v>
      </c>
      <c r="D865" s="5">
        <v>0</v>
      </c>
      <c r="E865" s="5">
        <v>0</v>
      </c>
      <c r="F865" s="5">
        <v>-108.8</v>
      </c>
      <c r="G865" s="5">
        <f t="shared" si="460"/>
        <v>-108.8</v>
      </c>
      <c r="I865" s="2"/>
    </row>
    <row r="866" spans="1:9" x14ac:dyDescent="0.25">
      <c r="A866" s="3"/>
      <c r="B866" s="3"/>
      <c r="C866" s="41" t="s">
        <v>118</v>
      </c>
      <c r="D866" s="42">
        <v>0</v>
      </c>
      <c r="E866" s="42">
        <v>0</v>
      </c>
      <c r="F866" s="42">
        <f>F867</f>
        <v>-80.12</v>
      </c>
      <c r="G866" s="42">
        <f>F866-E866</f>
        <v>-80.12</v>
      </c>
      <c r="I866" s="2"/>
    </row>
    <row r="867" spans="1:9" x14ac:dyDescent="0.25">
      <c r="A867" s="3"/>
      <c r="B867" s="3"/>
      <c r="C867" s="3" t="s">
        <v>114</v>
      </c>
      <c r="D867" s="5">
        <v>0</v>
      </c>
      <c r="E867" s="5">
        <v>0</v>
      </c>
      <c r="F867" s="5">
        <v>-80.12</v>
      </c>
      <c r="G867" s="5">
        <f t="shared" ref="G867" si="461">F867-E867</f>
        <v>-80.12</v>
      </c>
      <c r="I867" s="2"/>
    </row>
    <row r="868" spans="1:9" x14ac:dyDescent="0.25">
      <c r="A868" s="3"/>
      <c r="B868" s="3"/>
      <c r="C868" s="41" t="s">
        <v>119</v>
      </c>
      <c r="D868" s="42">
        <f>SUM(D869:D871)</f>
        <v>0</v>
      </c>
      <c r="E868" s="42">
        <f t="shared" ref="E868" si="462">SUM(E869:E871)</f>
        <v>-1601305.16</v>
      </c>
      <c r="F868" s="42">
        <f>SUM(F869:F872)</f>
        <v>-1582005.96</v>
      </c>
      <c r="G868" s="42">
        <f>F868-E868</f>
        <v>19299.199999999953</v>
      </c>
      <c r="I868" s="2"/>
    </row>
    <row r="869" spans="1:9" x14ac:dyDescent="0.25">
      <c r="A869" s="3"/>
      <c r="B869" s="3"/>
      <c r="C869" s="3" t="s">
        <v>193</v>
      </c>
      <c r="D869" s="42">
        <v>0</v>
      </c>
      <c r="E869" s="5">
        <v>-1601305.16</v>
      </c>
      <c r="F869" s="5"/>
      <c r="G869" s="5">
        <f t="shared" ref="G869:G872" si="463">F869-E869</f>
        <v>1601305.16</v>
      </c>
      <c r="I869" s="2"/>
    </row>
    <row r="870" spans="1:9" x14ac:dyDescent="0.25">
      <c r="A870" s="3"/>
      <c r="B870" s="3"/>
      <c r="C870" s="3" t="s">
        <v>52</v>
      </c>
      <c r="D870" s="5">
        <v>0</v>
      </c>
      <c r="E870" s="5">
        <v>0</v>
      </c>
      <c r="F870" s="5">
        <v>-134009.9</v>
      </c>
      <c r="G870" s="5">
        <f t="shared" si="463"/>
        <v>-134009.9</v>
      </c>
      <c r="I870" s="2"/>
    </row>
    <row r="871" spans="1:9" x14ac:dyDescent="0.25">
      <c r="A871" s="3"/>
      <c r="B871" s="3"/>
      <c r="C871" s="3" t="s">
        <v>53</v>
      </c>
      <c r="D871" s="5">
        <v>0</v>
      </c>
      <c r="E871" s="5">
        <v>0</v>
      </c>
      <c r="F871" s="5">
        <v>-1446691.06</v>
      </c>
      <c r="G871" s="5">
        <f t="shared" si="463"/>
        <v>-1446691.06</v>
      </c>
      <c r="I871" s="2"/>
    </row>
    <row r="872" spans="1:9" x14ac:dyDescent="0.25">
      <c r="A872" s="3"/>
      <c r="B872" s="3"/>
      <c r="C872" s="3" t="s">
        <v>113</v>
      </c>
      <c r="D872" s="5">
        <v>0</v>
      </c>
      <c r="E872" s="5">
        <v>0</v>
      </c>
      <c r="F872" s="5">
        <v>-1305</v>
      </c>
      <c r="G872" s="5">
        <f t="shared" si="463"/>
        <v>-1305</v>
      </c>
      <c r="I872" s="2"/>
    </row>
    <row r="873" spans="1:9" s="39" customFormat="1" x14ac:dyDescent="0.25">
      <c r="A873" s="41"/>
      <c r="B873" s="41"/>
      <c r="C873" s="41" t="s">
        <v>121</v>
      </c>
      <c r="D873" s="42">
        <v>-9375</v>
      </c>
      <c r="E873" s="42">
        <f>D873</f>
        <v>-9375</v>
      </c>
      <c r="F873" s="5">
        <v>-32041.87</v>
      </c>
      <c r="G873" s="42">
        <f>F873-E873</f>
        <v>-22666.87</v>
      </c>
      <c r="H873" s="25"/>
      <c r="I873" s="2"/>
    </row>
    <row r="874" spans="1:9" x14ac:dyDescent="0.25">
      <c r="A874" s="41"/>
      <c r="B874" s="41" t="s">
        <v>129</v>
      </c>
      <c r="C874" s="41"/>
      <c r="D874" s="42">
        <f>SUM(D876:D880)</f>
        <v>-4831712</v>
      </c>
      <c r="E874" s="42">
        <f>SUM(E875:E880)</f>
        <v>-3499924.8300000005</v>
      </c>
      <c r="F874" s="42">
        <f>SUM(F876:F881)</f>
        <v>-3472062.35</v>
      </c>
      <c r="G874" s="42">
        <f>F874-E874</f>
        <v>27862.480000000447</v>
      </c>
      <c r="I874" s="2"/>
    </row>
    <row r="875" spans="1:9" x14ac:dyDescent="0.25">
      <c r="A875" s="41"/>
      <c r="B875" s="41"/>
      <c r="C875" s="3" t="s">
        <v>193</v>
      </c>
      <c r="D875" s="5">
        <v>0</v>
      </c>
      <c r="E875" s="5">
        <f>E890+E896</f>
        <v>-3237307.62</v>
      </c>
      <c r="F875" s="5">
        <v>0</v>
      </c>
      <c r="G875" s="5">
        <f t="shared" ref="G875" si="464">F875-E875</f>
        <v>3237307.62</v>
      </c>
      <c r="I875" s="2"/>
    </row>
    <row r="876" spans="1:9" x14ac:dyDescent="0.25">
      <c r="A876" s="3"/>
      <c r="B876" s="3"/>
      <c r="C876" s="3" t="s">
        <v>52</v>
      </c>
      <c r="D876" s="5">
        <f>D883+D892</f>
        <v>-285846</v>
      </c>
      <c r="E876" s="5">
        <f t="shared" ref="E876" si="465">E883+E892</f>
        <v>-161281.14000000001</v>
      </c>
      <c r="F876" s="5">
        <f>F883+F892+F898</f>
        <v>-276664.39999999997</v>
      </c>
      <c r="G876" s="5">
        <f t="shared" ref="G876:G881" si="466">F876-E876</f>
        <v>-115383.25999999995</v>
      </c>
      <c r="I876" s="2"/>
    </row>
    <row r="877" spans="1:9" x14ac:dyDescent="0.25">
      <c r="A877" s="3"/>
      <c r="B877" s="3"/>
      <c r="C877" s="3" t="s">
        <v>53</v>
      </c>
      <c r="D877" s="5">
        <f>D884+D893</f>
        <v>-38571</v>
      </c>
      <c r="E877" s="5">
        <f t="shared" ref="E877" si="467">E884+E893</f>
        <v>-36706.85</v>
      </c>
      <c r="F877" s="5">
        <f>F884+F893+F899</f>
        <v>-31850.52</v>
      </c>
      <c r="G877" s="5">
        <f t="shared" si="466"/>
        <v>4856.3299999999981</v>
      </c>
      <c r="I877" s="2"/>
    </row>
    <row r="878" spans="1:9" x14ac:dyDescent="0.25">
      <c r="A878" s="3"/>
      <c r="B878" s="3"/>
      <c r="C878" s="3" t="s">
        <v>122</v>
      </c>
      <c r="D878" s="5">
        <f>D894</f>
        <v>-637500</v>
      </c>
      <c r="E878" s="5">
        <f t="shared" ref="E878:F878" si="468">E894</f>
        <v>0</v>
      </c>
      <c r="F878" s="5">
        <f t="shared" si="468"/>
        <v>-1586234.21</v>
      </c>
      <c r="G878" s="5">
        <f t="shared" si="466"/>
        <v>-1586234.21</v>
      </c>
      <c r="I878" s="2"/>
    </row>
    <row r="879" spans="1:9" x14ac:dyDescent="0.25">
      <c r="A879" s="3"/>
      <c r="B879" s="3"/>
      <c r="C879" s="3" t="s">
        <v>113</v>
      </c>
      <c r="D879" s="5">
        <f>D885+D895</f>
        <v>-3805213</v>
      </c>
      <c r="E879" s="5">
        <f>E885+E895</f>
        <v>-47.22</v>
      </c>
      <c r="F879" s="5">
        <f>F885+F895</f>
        <v>-1530868.46</v>
      </c>
      <c r="G879" s="5">
        <f t="shared" si="466"/>
        <v>-1530821.24</v>
      </c>
      <c r="I879" s="2"/>
    </row>
    <row r="880" spans="1:9" x14ac:dyDescent="0.25">
      <c r="A880" s="3"/>
      <c r="B880" s="3"/>
      <c r="C880" s="3" t="s">
        <v>114</v>
      </c>
      <c r="D880" s="5">
        <f>D900</f>
        <v>-64582</v>
      </c>
      <c r="E880" s="5">
        <f t="shared" ref="E880" si="469">E900</f>
        <v>-64582</v>
      </c>
      <c r="F880" s="5">
        <f>F900+F886+F888</f>
        <v>-41717.97</v>
      </c>
      <c r="G880" s="5">
        <f t="shared" si="466"/>
        <v>22864.03</v>
      </c>
      <c r="I880" s="2"/>
    </row>
    <row r="881" spans="1:9" x14ac:dyDescent="0.25">
      <c r="A881" s="3"/>
      <c r="B881" s="3"/>
      <c r="C881" s="3" t="s">
        <v>30</v>
      </c>
      <c r="D881" s="5">
        <v>0</v>
      </c>
      <c r="E881" s="5">
        <v>0</v>
      </c>
      <c r="F881" s="5">
        <f>F889</f>
        <v>-4726.79</v>
      </c>
      <c r="G881" s="5">
        <f t="shared" si="466"/>
        <v>-4726.79</v>
      </c>
      <c r="I881" s="2"/>
    </row>
    <row r="882" spans="1:9" x14ac:dyDescent="0.25">
      <c r="A882" s="41"/>
      <c r="B882" s="41"/>
      <c r="C882" s="41" t="s">
        <v>117</v>
      </c>
      <c r="D882" s="42">
        <f>SUM(D883:D885)</f>
        <v>-208636</v>
      </c>
      <c r="E882" s="42">
        <f t="shared" ref="E882" si="470">SUM(E883:E885)</f>
        <v>-198035.21000000002</v>
      </c>
      <c r="F882" s="42">
        <f>SUM(F883:F886)</f>
        <v>-190866.52</v>
      </c>
      <c r="G882" s="42">
        <f>F882-E882</f>
        <v>7168.6900000000314</v>
      </c>
      <c r="I882" s="2"/>
    </row>
    <row r="883" spans="1:9" x14ac:dyDescent="0.25">
      <c r="A883" s="3"/>
      <c r="B883" s="3"/>
      <c r="C883" s="3" t="s">
        <v>52</v>
      </c>
      <c r="D883" s="5">
        <v>-171088</v>
      </c>
      <c r="E883" s="5">
        <v>-161281.14000000001</v>
      </c>
      <c r="F883" s="5">
        <v>-160073.49</v>
      </c>
      <c r="G883" s="5">
        <f t="shared" ref="G883:G886" si="471">F883-E883</f>
        <v>1207.6500000000233</v>
      </c>
      <c r="I883" s="2"/>
    </row>
    <row r="884" spans="1:9" x14ac:dyDescent="0.25">
      <c r="A884" s="3"/>
      <c r="B884" s="3"/>
      <c r="C884" s="3" t="s">
        <v>53</v>
      </c>
      <c r="D884" s="5">
        <v>-37501</v>
      </c>
      <c r="E884" s="5">
        <f>-36697.99-8.86</f>
        <v>-36706.85</v>
      </c>
      <c r="F884" s="5">
        <v>-30532.15</v>
      </c>
      <c r="G884" s="5">
        <f t="shared" si="471"/>
        <v>6174.6999999999971</v>
      </c>
      <c r="I884" s="2"/>
    </row>
    <row r="885" spans="1:9" x14ac:dyDescent="0.25">
      <c r="A885" s="3"/>
      <c r="B885" s="3"/>
      <c r="C885" s="3" t="s">
        <v>113</v>
      </c>
      <c r="D885" s="5">
        <v>-47</v>
      </c>
      <c r="E885" s="5">
        <v>-47.22</v>
      </c>
      <c r="F885" s="5">
        <v>-47.22</v>
      </c>
      <c r="G885" s="5">
        <f t="shared" si="471"/>
        <v>0</v>
      </c>
      <c r="I885" s="2"/>
    </row>
    <row r="886" spans="1:9" x14ac:dyDescent="0.25">
      <c r="A886" s="3"/>
      <c r="B886" s="3"/>
      <c r="C886" s="3" t="s">
        <v>54</v>
      </c>
      <c r="D886" s="5">
        <v>0</v>
      </c>
      <c r="E886" s="5">
        <v>0</v>
      </c>
      <c r="F886" s="5">
        <v>-213.66</v>
      </c>
      <c r="G886" s="5">
        <f t="shared" si="471"/>
        <v>-213.66</v>
      </c>
      <c r="I886" s="2"/>
    </row>
    <row r="887" spans="1:9" x14ac:dyDescent="0.25">
      <c r="A887" s="3"/>
      <c r="B887" s="3"/>
      <c r="C887" s="41" t="s">
        <v>118</v>
      </c>
      <c r="D887" s="42">
        <f>SUM(D888:D889)</f>
        <v>0</v>
      </c>
      <c r="E887" s="42">
        <f t="shared" ref="E887:F887" si="472">SUM(E888:E889)</f>
        <v>0</v>
      </c>
      <c r="F887" s="42">
        <f t="shared" si="472"/>
        <v>-4723.08</v>
      </c>
      <c r="G887" s="42">
        <f>F887-E887</f>
        <v>-4723.08</v>
      </c>
      <c r="I887" s="2"/>
    </row>
    <row r="888" spans="1:9" x14ac:dyDescent="0.25">
      <c r="A888" s="3"/>
      <c r="B888" s="3"/>
      <c r="C888" s="3" t="s">
        <v>114</v>
      </c>
      <c r="D888" s="5">
        <v>0</v>
      </c>
      <c r="E888" s="5">
        <v>0</v>
      </c>
      <c r="F888" s="5">
        <v>3.71</v>
      </c>
      <c r="G888" s="5">
        <f t="shared" ref="G888:G889" si="473">F888-E888</f>
        <v>3.71</v>
      </c>
      <c r="I888" s="2"/>
    </row>
    <row r="889" spans="1:9" x14ac:dyDescent="0.25">
      <c r="A889" s="3"/>
      <c r="B889" s="3"/>
      <c r="C889" s="3" t="s">
        <v>30</v>
      </c>
      <c r="D889" s="5">
        <v>0</v>
      </c>
      <c r="E889" s="5">
        <v>0</v>
      </c>
      <c r="F889" s="5">
        <v>-4726.79</v>
      </c>
      <c r="G889" s="5">
        <f t="shared" si="473"/>
        <v>-4726.79</v>
      </c>
      <c r="I889" s="2"/>
    </row>
    <row r="890" spans="1:9" x14ac:dyDescent="0.25">
      <c r="A890" s="41"/>
      <c r="B890" s="41"/>
      <c r="C890" s="41" t="s">
        <v>119</v>
      </c>
      <c r="D890" s="42">
        <f>SUM(D892:D895)</f>
        <v>-4558494</v>
      </c>
      <c r="E890" s="42">
        <f>E891</f>
        <v>-3237166.5</v>
      </c>
      <c r="F890" s="42">
        <f>SUM(F892:F895)</f>
        <v>-3234823.61</v>
      </c>
      <c r="G890" s="42">
        <f>F890-E890</f>
        <v>2342.8900000001304</v>
      </c>
      <c r="I890" s="2"/>
    </row>
    <row r="891" spans="1:9" x14ac:dyDescent="0.25">
      <c r="A891" s="41"/>
      <c r="B891" s="41"/>
      <c r="C891" s="3" t="s">
        <v>193</v>
      </c>
      <c r="D891" s="42">
        <v>0</v>
      </c>
      <c r="E891" s="5">
        <v>-3237166.5</v>
      </c>
      <c r="F891" s="5"/>
      <c r="G891" s="5">
        <f t="shared" ref="G891" si="474">F891-E891</f>
        <v>3237166.5</v>
      </c>
      <c r="I891" s="2"/>
    </row>
    <row r="892" spans="1:9" x14ac:dyDescent="0.25">
      <c r="A892" s="3"/>
      <c r="B892" s="3"/>
      <c r="C892" s="3" t="s">
        <v>52</v>
      </c>
      <c r="D892" s="5">
        <v>-114758</v>
      </c>
      <c r="E892" s="5">
        <v>0</v>
      </c>
      <c r="F892" s="5">
        <v>-116518.75</v>
      </c>
      <c r="G892" s="5">
        <f t="shared" ref="G892:G895" si="475">F892-E892</f>
        <v>-116518.75</v>
      </c>
      <c r="I892" s="2"/>
    </row>
    <row r="893" spans="1:9" x14ac:dyDescent="0.25">
      <c r="A893" s="41"/>
      <c r="B893" s="41"/>
      <c r="C893" s="3" t="s">
        <v>53</v>
      </c>
      <c r="D893" s="5">
        <v>-1070</v>
      </c>
      <c r="E893" s="5">
        <v>0</v>
      </c>
      <c r="F893" s="5">
        <v>-1249.4100000000001</v>
      </c>
      <c r="G893" s="5">
        <f t="shared" si="475"/>
        <v>-1249.4100000000001</v>
      </c>
      <c r="I893" s="2"/>
    </row>
    <row r="894" spans="1:9" x14ac:dyDescent="0.25">
      <c r="A894" s="41"/>
      <c r="B894" s="41"/>
      <c r="C894" s="3" t="s">
        <v>122</v>
      </c>
      <c r="D894" s="5">
        <v>-637500</v>
      </c>
      <c r="E894" s="5">
        <v>0</v>
      </c>
      <c r="F894" s="5">
        <v>-1586234.21</v>
      </c>
      <c r="G894" s="5">
        <f t="shared" si="475"/>
        <v>-1586234.21</v>
      </c>
      <c r="H894" s="25" t="s">
        <v>166</v>
      </c>
      <c r="I894" s="2"/>
    </row>
    <row r="895" spans="1:9" x14ac:dyDescent="0.25">
      <c r="A895" s="41"/>
      <c r="B895" s="41"/>
      <c r="C895" s="3" t="s">
        <v>113</v>
      </c>
      <c r="D895" s="5">
        <f>-3109866-1332800+637500</f>
        <v>-3805166</v>
      </c>
      <c r="E895" s="5">
        <v>0</v>
      </c>
      <c r="F895" s="5">
        <v>-1530821.24</v>
      </c>
      <c r="G895" s="5">
        <f t="shared" si="475"/>
        <v>-1530821.24</v>
      </c>
      <c r="I895" s="2"/>
    </row>
    <row r="896" spans="1:9" x14ac:dyDescent="0.25">
      <c r="A896" s="41"/>
      <c r="B896" s="41"/>
      <c r="C896" s="41" t="s">
        <v>120</v>
      </c>
      <c r="D896" s="42">
        <f>SUM(D897:D898)</f>
        <v>0</v>
      </c>
      <c r="E896" s="42">
        <f>SUM(E897:E899)</f>
        <v>-141.12</v>
      </c>
      <c r="F896" s="42">
        <f>SUM(F897:F899)</f>
        <v>-141.12</v>
      </c>
      <c r="G896" s="42">
        <f>F896-E896</f>
        <v>0</v>
      </c>
      <c r="I896" s="2"/>
    </row>
    <row r="897" spans="1:9" x14ac:dyDescent="0.25">
      <c r="A897" s="41"/>
      <c r="B897" s="41"/>
      <c r="C897" s="3" t="s">
        <v>193</v>
      </c>
      <c r="D897" s="5">
        <v>0</v>
      </c>
      <c r="E897" s="5">
        <v>-141.12</v>
      </c>
      <c r="F897" s="5"/>
      <c r="G897" s="5">
        <f t="shared" ref="G897:G899" si="476">F897-E897</f>
        <v>141.12</v>
      </c>
      <c r="I897" s="2"/>
    </row>
    <row r="898" spans="1:9" x14ac:dyDescent="0.25">
      <c r="A898" s="41"/>
      <c r="B898" s="41"/>
      <c r="C898" s="3" t="s">
        <v>52</v>
      </c>
      <c r="D898" s="5">
        <v>0</v>
      </c>
      <c r="E898" s="5">
        <v>0</v>
      </c>
      <c r="F898" s="5">
        <v>-72.16</v>
      </c>
      <c r="G898" s="5">
        <f t="shared" si="476"/>
        <v>-72.16</v>
      </c>
      <c r="I898" s="2"/>
    </row>
    <row r="899" spans="1:9" x14ac:dyDescent="0.25">
      <c r="A899" s="41"/>
      <c r="B899" s="41"/>
      <c r="C899" s="3" t="s">
        <v>53</v>
      </c>
      <c r="D899" s="5">
        <v>0</v>
      </c>
      <c r="E899" s="5">
        <v>0</v>
      </c>
      <c r="F899" s="5">
        <v>-68.959999999999994</v>
      </c>
      <c r="G899" s="5">
        <f t="shared" si="476"/>
        <v>-68.959999999999994</v>
      </c>
      <c r="I899" s="2"/>
    </row>
    <row r="900" spans="1:9" s="39" customFormat="1" x14ac:dyDescent="0.25">
      <c r="A900" s="41"/>
      <c r="B900" s="41"/>
      <c r="C900" s="41" t="s">
        <v>121</v>
      </c>
      <c r="D900" s="42">
        <v>-64582</v>
      </c>
      <c r="E900" s="42">
        <f>D900</f>
        <v>-64582</v>
      </c>
      <c r="F900" s="5">
        <v>-41508.019999999997</v>
      </c>
      <c r="G900" s="42">
        <f>F900-E900</f>
        <v>23073.980000000003</v>
      </c>
      <c r="H900" s="25"/>
      <c r="I900" s="2"/>
    </row>
    <row r="901" spans="1:9" s="39" customFormat="1" x14ac:dyDescent="0.25">
      <c r="A901" s="41"/>
      <c r="B901" s="39" t="s">
        <v>195</v>
      </c>
      <c r="C901" s="41"/>
      <c r="D901" s="42">
        <f>SUM(D902:D905)</f>
        <v>0</v>
      </c>
      <c r="E901" s="42">
        <f t="shared" ref="E901:F901" si="477">SUM(E902:E905)</f>
        <v>-58247.909999999996</v>
      </c>
      <c r="F901" s="42">
        <f t="shared" si="477"/>
        <v>-82677.52</v>
      </c>
      <c r="G901" s="42">
        <f>F901-E901</f>
        <v>-24429.610000000008</v>
      </c>
      <c r="H901" s="25"/>
      <c r="I901" s="2"/>
    </row>
    <row r="902" spans="1:9" s="39" customFormat="1" x14ac:dyDescent="0.25">
      <c r="A902" s="41"/>
      <c r="B902" s="41"/>
      <c r="C902" s="3" t="s">
        <v>193</v>
      </c>
      <c r="D902" s="42">
        <v>0</v>
      </c>
      <c r="E902" s="5">
        <f>E912</f>
        <v>-2429.13</v>
      </c>
      <c r="F902" s="5">
        <v>0</v>
      </c>
      <c r="G902" s="5">
        <f t="shared" ref="G902:G905" si="478">F902-E902</f>
        <v>2429.13</v>
      </c>
      <c r="H902" s="25"/>
      <c r="I902" s="2"/>
    </row>
    <row r="903" spans="1:9" s="39" customFormat="1" x14ac:dyDescent="0.25">
      <c r="A903" s="41"/>
      <c r="B903" s="3"/>
      <c r="C903" s="3" t="s">
        <v>52</v>
      </c>
      <c r="D903" s="5">
        <f>D907+D913</f>
        <v>0</v>
      </c>
      <c r="E903" s="5">
        <f t="shared" ref="E903:F903" si="479">E907+E913</f>
        <v>-46505.34</v>
      </c>
      <c r="F903" s="5">
        <f t="shared" si="479"/>
        <v>-45104.83</v>
      </c>
      <c r="G903" s="5">
        <f t="shared" si="478"/>
        <v>1400.5099999999948</v>
      </c>
      <c r="H903" s="25"/>
      <c r="I903" s="2"/>
    </row>
    <row r="904" spans="1:9" s="39" customFormat="1" x14ac:dyDescent="0.25">
      <c r="A904" s="41"/>
      <c r="B904" s="3"/>
      <c r="C904" s="3" t="s">
        <v>53</v>
      </c>
      <c r="D904" s="5">
        <f>D908+D914</f>
        <v>0</v>
      </c>
      <c r="E904" s="5">
        <f t="shared" ref="E904:F904" si="480">E908+E914</f>
        <v>-9313.44</v>
      </c>
      <c r="F904" s="5">
        <f t="shared" si="480"/>
        <v>-5639.99</v>
      </c>
      <c r="G904" s="5">
        <f t="shared" si="478"/>
        <v>3673.4500000000007</v>
      </c>
      <c r="H904" s="25"/>
      <c r="I904" s="2"/>
    </row>
    <row r="905" spans="1:9" s="39" customFormat="1" x14ac:dyDescent="0.25">
      <c r="A905" s="41"/>
      <c r="B905" s="3"/>
      <c r="C905" s="3" t="s">
        <v>114</v>
      </c>
      <c r="D905" s="5">
        <f>D915+D910</f>
        <v>0</v>
      </c>
      <c r="E905" s="5">
        <f t="shared" ref="E905:F905" si="481">E915+E910</f>
        <v>0</v>
      </c>
      <c r="F905" s="5">
        <f t="shared" si="481"/>
        <v>-31932.7</v>
      </c>
      <c r="G905" s="5">
        <f t="shared" si="478"/>
        <v>-31932.7</v>
      </c>
      <c r="H905" s="25"/>
      <c r="I905" s="2"/>
    </row>
    <row r="906" spans="1:9" s="39" customFormat="1" x14ac:dyDescent="0.25">
      <c r="A906" s="41"/>
      <c r="B906" s="41"/>
      <c r="C906" s="41" t="s">
        <v>117</v>
      </c>
      <c r="D906" s="42">
        <f>SUM(D907:D908)</f>
        <v>0</v>
      </c>
      <c r="E906" s="42">
        <f>SUM(E907:E908)</f>
        <v>-55818.78</v>
      </c>
      <c r="F906" s="42">
        <f>SUM(F907:F908)</f>
        <v>-49118.400000000001</v>
      </c>
      <c r="G906" s="42">
        <f>F906-E906</f>
        <v>6700.3799999999974</v>
      </c>
      <c r="H906" s="25"/>
      <c r="I906" s="2"/>
    </row>
    <row r="907" spans="1:9" s="39" customFormat="1" x14ac:dyDescent="0.25">
      <c r="A907" s="41"/>
      <c r="B907" s="3"/>
      <c r="C907" s="3" t="s">
        <v>52</v>
      </c>
      <c r="D907" s="5">
        <v>0</v>
      </c>
      <c r="E907" s="5">
        <v>-46505.34</v>
      </c>
      <c r="F907" s="5">
        <v>-43568.79</v>
      </c>
      <c r="G907" s="5">
        <f t="shared" ref="G907:G910" si="482">F907-E907</f>
        <v>2936.5499999999956</v>
      </c>
      <c r="H907" s="25"/>
      <c r="I907" s="2"/>
    </row>
    <row r="908" spans="1:9" s="39" customFormat="1" x14ac:dyDescent="0.25">
      <c r="A908" s="41"/>
      <c r="B908" s="3"/>
      <c r="C908" s="3" t="s">
        <v>53</v>
      </c>
      <c r="D908" s="5">
        <v>0</v>
      </c>
      <c r="E908" s="5">
        <v>-9313.44</v>
      </c>
      <c r="F908" s="5">
        <v>-5549.61</v>
      </c>
      <c r="G908" s="5">
        <f t="shared" si="482"/>
        <v>3763.8300000000008</v>
      </c>
      <c r="H908" s="25"/>
      <c r="I908" s="2"/>
    </row>
    <row r="909" spans="1:9" s="39" customFormat="1" x14ac:dyDescent="0.25">
      <c r="A909" s="41"/>
      <c r="B909" s="41"/>
      <c r="C909" s="41" t="s">
        <v>118</v>
      </c>
      <c r="D909" s="42">
        <f>D910</f>
        <v>0</v>
      </c>
      <c r="E909" s="42">
        <f t="shared" ref="E909:F909" si="483">E910</f>
        <v>0</v>
      </c>
      <c r="F909" s="42">
        <f t="shared" si="483"/>
        <v>0.03</v>
      </c>
      <c r="G909" s="42">
        <f t="shared" si="482"/>
        <v>0.03</v>
      </c>
      <c r="H909" s="25"/>
      <c r="I909" s="2"/>
    </row>
    <row r="910" spans="1:9" s="39" customFormat="1" x14ac:dyDescent="0.25">
      <c r="A910" s="41"/>
      <c r="B910" s="3"/>
      <c r="C910" s="3" t="s">
        <v>54</v>
      </c>
      <c r="D910" s="5">
        <v>0</v>
      </c>
      <c r="E910" s="5">
        <v>0</v>
      </c>
      <c r="F910" s="5">
        <v>0.03</v>
      </c>
      <c r="G910" s="5">
        <f t="shared" si="482"/>
        <v>0.03</v>
      </c>
      <c r="H910" s="25"/>
      <c r="I910" s="2"/>
    </row>
    <row r="911" spans="1:9" s="39" customFormat="1" x14ac:dyDescent="0.25">
      <c r="A911" s="41"/>
      <c r="B911" s="41"/>
      <c r="C911" s="41" t="s">
        <v>119</v>
      </c>
      <c r="D911" s="42">
        <f>SUM(D912:D914)</f>
        <v>0</v>
      </c>
      <c r="E911" s="42">
        <f t="shared" ref="E911:F911" si="484">SUM(E912:E914)</f>
        <v>-2429.13</v>
      </c>
      <c r="F911" s="42">
        <f t="shared" si="484"/>
        <v>-1626.42</v>
      </c>
      <c r="G911" s="42">
        <f>F911-E911</f>
        <v>802.71</v>
      </c>
      <c r="H911" s="25"/>
      <c r="I911" s="2"/>
    </row>
    <row r="912" spans="1:9" s="39" customFormat="1" x14ac:dyDescent="0.25">
      <c r="A912" s="41"/>
      <c r="B912" s="41"/>
      <c r="C912" s="3" t="s">
        <v>193</v>
      </c>
      <c r="D912" s="42">
        <v>0</v>
      </c>
      <c r="E912" s="5">
        <v>-2429.13</v>
      </c>
      <c r="F912" s="5">
        <v>0</v>
      </c>
      <c r="G912" s="5">
        <f t="shared" ref="G912:G914" si="485">F912-E912</f>
        <v>2429.13</v>
      </c>
      <c r="H912" s="25"/>
      <c r="I912" s="2"/>
    </row>
    <row r="913" spans="1:9" s="39" customFormat="1" x14ac:dyDescent="0.25">
      <c r="A913" s="41"/>
      <c r="B913" s="3"/>
      <c r="C913" s="3" t="s">
        <v>52</v>
      </c>
      <c r="D913" s="5">
        <v>0</v>
      </c>
      <c r="E913" s="5">
        <v>0</v>
      </c>
      <c r="F913" s="5">
        <v>-1536.04</v>
      </c>
      <c r="G913" s="5">
        <f t="shared" si="485"/>
        <v>-1536.04</v>
      </c>
      <c r="H913" s="25"/>
      <c r="I913" s="2"/>
    </row>
    <row r="914" spans="1:9" s="39" customFormat="1" x14ac:dyDescent="0.25">
      <c r="A914" s="41"/>
      <c r="B914" s="41"/>
      <c r="C914" s="3" t="s">
        <v>53</v>
      </c>
      <c r="D914" s="5">
        <v>0</v>
      </c>
      <c r="E914" s="5">
        <v>0</v>
      </c>
      <c r="F914" s="5">
        <v>-90.38</v>
      </c>
      <c r="G914" s="5">
        <f t="shared" si="485"/>
        <v>-90.38</v>
      </c>
      <c r="H914" s="25"/>
      <c r="I914" s="2"/>
    </row>
    <row r="915" spans="1:9" s="39" customFormat="1" x14ac:dyDescent="0.25">
      <c r="A915" s="41"/>
      <c r="B915" s="41"/>
      <c r="C915" s="41" t="s">
        <v>121</v>
      </c>
      <c r="D915" s="42">
        <v>0</v>
      </c>
      <c r="E915" s="42">
        <f>D915</f>
        <v>0</v>
      </c>
      <c r="F915" s="5">
        <v>-31932.73</v>
      </c>
      <c r="G915" s="42">
        <f>F915-E915</f>
        <v>-31932.73</v>
      </c>
      <c r="H915" s="25"/>
      <c r="I915" s="2"/>
    </row>
    <row r="916" spans="1:9" s="39" customFormat="1" ht="15.75" x14ac:dyDescent="0.25">
      <c r="A916" s="56" t="s">
        <v>161</v>
      </c>
      <c r="B916" s="41"/>
      <c r="C916" s="41"/>
      <c r="D916" s="42">
        <f>SUM(D917:D921)</f>
        <v>-85783121</v>
      </c>
      <c r="E916" s="42">
        <f>SUM(E917:E921)</f>
        <v>-112575633.30567813</v>
      </c>
      <c r="F916" s="42">
        <f>SUM(F917:F921)</f>
        <v>-94840167.482568294</v>
      </c>
      <c r="G916" s="42">
        <f t="shared" ref="G916:G927" si="486">F916-E916</f>
        <v>17735465.823109835</v>
      </c>
      <c r="H916" s="25"/>
      <c r="I916" s="2"/>
    </row>
    <row r="917" spans="1:9" ht="15.75" x14ac:dyDescent="0.25">
      <c r="A917" s="55"/>
      <c r="B917" s="3" t="s">
        <v>117</v>
      </c>
      <c r="C917" s="3"/>
      <c r="D917" s="5">
        <f>D923+D1005+D1140+D1222+D1319+D1405</f>
        <v>-37587278</v>
      </c>
      <c r="E917" s="5">
        <f>E923+E1005+E1140+E1222+E1319+E1405</f>
        <v>-62534810.120000005</v>
      </c>
      <c r="F917" s="5">
        <f>F923+F1005+F1140+F1222+F1319+F1405</f>
        <v>-49715540.920000002</v>
      </c>
      <c r="G917" s="5">
        <f t="shared" si="486"/>
        <v>12819269.200000003</v>
      </c>
      <c r="I917" s="2"/>
    </row>
    <row r="918" spans="1:9" ht="15.75" x14ac:dyDescent="0.25">
      <c r="A918" s="55"/>
      <c r="B918" s="3" t="s">
        <v>118</v>
      </c>
      <c r="C918" s="3"/>
      <c r="D918" s="5">
        <v>0</v>
      </c>
      <c r="E918" s="5">
        <v>0</v>
      </c>
      <c r="F918" s="5">
        <f>F924+F1006+F1141+F1223+F1320+F1406</f>
        <v>-11234.189999999999</v>
      </c>
      <c r="G918" s="5">
        <f t="shared" ref="G918" si="487">F918-E918</f>
        <v>-11234.189999999999</v>
      </c>
      <c r="I918" s="2"/>
    </row>
    <row r="919" spans="1:9" x14ac:dyDescent="0.25">
      <c r="A919" s="3"/>
      <c r="B919" s="3" t="s">
        <v>119</v>
      </c>
      <c r="C919" s="3"/>
      <c r="D919" s="5">
        <f t="shared" ref="D919:F921" si="488">D925+D1007+D1142+D1224+D1321+D1407</f>
        <v>-37819738</v>
      </c>
      <c r="E919" s="5">
        <f t="shared" si="488"/>
        <v>-33902874.33567813</v>
      </c>
      <c r="F919" s="5">
        <f t="shared" si="488"/>
        <v>-32526285.000022516</v>
      </c>
      <c r="G919" s="5">
        <f t="shared" si="486"/>
        <v>1376589.3356556147</v>
      </c>
      <c r="I919" s="2"/>
    </row>
    <row r="920" spans="1:9" x14ac:dyDescent="0.25">
      <c r="A920" s="3"/>
      <c r="B920" s="3" t="s">
        <v>120</v>
      </c>
      <c r="C920" s="3"/>
      <c r="D920" s="5">
        <f t="shared" si="488"/>
        <v>-7751591</v>
      </c>
      <c r="E920" s="5">
        <f t="shared" si="488"/>
        <v>-13513434.85</v>
      </c>
      <c r="F920" s="5">
        <f t="shared" si="488"/>
        <v>-9653684.0525457803</v>
      </c>
      <c r="G920" s="5">
        <f t="shared" si="486"/>
        <v>3859750.7974542193</v>
      </c>
      <c r="I920" s="2"/>
    </row>
    <row r="921" spans="1:9" x14ac:dyDescent="0.25">
      <c r="A921" s="3"/>
      <c r="B921" s="3" t="s">
        <v>121</v>
      </c>
      <c r="C921" s="3"/>
      <c r="D921" s="5">
        <f t="shared" si="488"/>
        <v>-2624514</v>
      </c>
      <c r="E921" s="5">
        <f t="shared" si="488"/>
        <v>-2624514</v>
      </c>
      <c r="F921" s="5">
        <f t="shared" si="488"/>
        <v>-2933423.32</v>
      </c>
      <c r="G921" s="5">
        <f t="shared" si="486"/>
        <v>-308909.31999999983</v>
      </c>
      <c r="I921" s="2"/>
    </row>
    <row r="922" spans="1:9" s="39" customFormat="1" ht="15.75" x14ac:dyDescent="0.25">
      <c r="A922" s="71" t="s">
        <v>167</v>
      </c>
      <c r="B922" s="41"/>
      <c r="C922" s="41"/>
      <c r="D922" s="42">
        <f>SUM(D923:D927)</f>
        <v>-2928849</v>
      </c>
      <c r="E922" s="42">
        <f t="shared" ref="E922:F922" si="489">SUM(E923:E927)</f>
        <v>-3948391.5999999992</v>
      </c>
      <c r="F922" s="42">
        <f t="shared" si="489"/>
        <v>-3407129.4925457798</v>
      </c>
      <c r="G922" s="42">
        <f t="shared" si="486"/>
        <v>541262.10745421937</v>
      </c>
      <c r="H922" s="25"/>
      <c r="I922" s="2"/>
    </row>
    <row r="923" spans="1:9" x14ac:dyDescent="0.25">
      <c r="A923" s="3"/>
      <c r="B923" s="3" t="s">
        <v>117</v>
      </c>
      <c r="C923" s="3"/>
      <c r="D923" s="5">
        <f>D934+D952+D975</f>
        <v>-2703213</v>
      </c>
      <c r="E923" s="5">
        <f>E934+E952+E975+E994</f>
        <v>-3090221.8199999994</v>
      </c>
      <c r="F923" s="5">
        <f>F934+F952+F975+F994</f>
        <v>-2706786.42</v>
      </c>
      <c r="G923" s="5">
        <f t="shared" si="486"/>
        <v>383435.39999999944</v>
      </c>
      <c r="I923" s="2"/>
    </row>
    <row r="924" spans="1:9" x14ac:dyDescent="0.25">
      <c r="A924" s="3"/>
      <c r="B924" s="3" t="s">
        <v>118</v>
      </c>
      <c r="C924" s="3"/>
      <c r="D924" s="5">
        <v>0</v>
      </c>
      <c r="E924" s="5">
        <v>0</v>
      </c>
      <c r="F924" s="5">
        <f>F939+F957+F978</f>
        <v>2277.15</v>
      </c>
      <c r="G924" s="5">
        <f t="shared" si="486"/>
        <v>2277.15</v>
      </c>
      <c r="I924" s="2"/>
    </row>
    <row r="925" spans="1:9" x14ac:dyDescent="0.25">
      <c r="A925" s="3"/>
      <c r="B925" s="3" t="s">
        <v>119</v>
      </c>
      <c r="C925" s="3"/>
      <c r="D925" s="5">
        <f>D980</f>
        <v>-89378</v>
      </c>
      <c r="E925" s="5">
        <f>E941+E959+E980+E999</f>
        <v>-472331.18999999994</v>
      </c>
      <c r="F925" s="5">
        <f>F941+F959+F980+F999</f>
        <v>-390209.34</v>
      </c>
      <c r="G925" s="5">
        <f t="shared" si="486"/>
        <v>82121.849999999919</v>
      </c>
      <c r="I925" s="2"/>
    </row>
    <row r="926" spans="1:9" x14ac:dyDescent="0.25">
      <c r="A926" s="3"/>
      <c r="B926" s="3" t="s">
        <v>120</v>
      </c>
      <c r="C926" s="3"/>
      <c r="D926" s="5">
        <f>D964+D984</f>
        <v>-75895</v>
      </c>
      <c r="E926" s="5">
        <f t="shared" ref="E926:F926" si="490">E964+E984</f>
        <v>-325475.58999999997</v>
      </c>
      <c r="F926" s="5">
        <f t="shared" si="490"/>
        <v>-248061.55254578002</v>
      </c>
      <c r="G926" s="5">
        <f t="shared" si="486"/>
        <v>77414.037454219942</v>
      </c>
      <c r="I926" s="2"/>
    </row>
    <row r="927" spans="1:9" x14ac:dyDescent="0.25">
      <c r="A927" s="3"/>
      <c r="B927" s="3" t="s">
        <v>121</v>
      </c>
      <c r="C927" s="3"/>
      <c r="D927" s="5">
        <f>D945+D969</f>
        <v>-60363</v>
      </c>
      <c r="E927" s="5">
        <f>E945+E969</f>
        <v>-60363</v>
      </c>
      <c r="F927" s="5">
        <f>F945+F969+F1003</f>
        <v>-64349.329999999994</v>
      </c>
      <c r="G927" s="5">
        <f t="shared" si="486"/>
        <v>-3986.3299999999945</v>
      </c>
      <c r="I927" s="2"/>
    </row>
    <row r="928" spans="1:9" x14ac:dyDescent="0.25">
      <c r="A928" s="41"/>
      <c r="B928" s="41" t="s">
        <v>87</v>
      </c>
      <c r="C928" s="41"/>
      <c r="D928" s="42">
        <f>SUM(D930:D933)</f>
        <v>-533549</v>
      </c>
      <c r="E928" s="42">
        <f>SUM(E929:E933)</f>
        <v>-781397.17999999993</v>
      </c>
      <c r="F928" s="42">
        <f t="shared" ref="F928" si="491">SUM(F930:F933)</f>
        <v>-536406.42000000004</v>
      </c>
      <c r="G928" s="42">
        <f>F928-E928</f>
        <v>244990.75999999989</v>
      </c>
      <c r="I928" s="2"/>
    </row>
    <row r="929" spans="1:9" x14ac:dyDescent="0.25">
      <c r="A929" s="41"/>
      <c r="B929" s="41"/>
      <c r="C929" s="3" t="s">
        <v>193</v>
      </c>
      <c r="D929" s="5">
        <v>0</v>
      </c>
      <c r="E929" s="5">
        <f>E941</f>
        <v>-13445.99</v>
      </c>
      <c r="F929" s="5">
        <v>0</v>
      </c>
      <c r="G929" s="5">
        <f t="shared" ref="G929" si="492">F929-E929</f>
        <v>13445.99</v>
      </c>
      <c r="I929" s="2"/>
    </row>
    <row r="930" spans="1:9" x14ac:dyDescent="0.25">
      <c r="A930" s="3"/>
      <c r="B930" s="3"/>
      <c r="C930" s="3" t="s">
        <v>52</v>
      </c>
      <c r="D930" s="5">
        <f>D935</f>
        <v>-326921</v>
      </c>
      <c r="E930" s="5">
        <f t="shared" ref="E930" si="493">E935</f>
        <v>-322810.84000000003</v>
      </c>
      <c r="F930" s="5">
        <f>F935+F943</f>
        <v>-327077.24000000005</v>
      </c>
      <c r="G930" s="5">
        <f t="shared" ref="G930:G933" si="494">F930-E930</f>
        <v>-4266.4000000000233</v>
      </c>
      <c r="I930" s="2"/>
    </row>
    <row r="931" spans="1:9" x14ac:dyDescent="0.25">
      <c r="A931" s="3"/>
      <c r="B931" s="3"/>
      <c r="C931" s="3" t="s">
        <v>53</v>
      </c>
      <c r="D931" s="5">
        <f>D936</f>
        <v>-76630</v>
      </c>
      <c r="E931" s="5">
        <f t="shared" ref="E931" si="495">E936</f>
        <v>-268564.89</v>
      </c>
      <c r="F931" s="5">
        <f>F936+F944</f>
        <v>-94717.86</v>
      </c>
      <c r="G931" s="5">
        <f t="shared" si="494"/>
        <v>173847.03000000003</v>
      </c>
      <c r="I931" s="2"/>
    </row>
    <row r="932" spans="1:9" x14ac:dyDescent="0.25">
      <c r="A932" s="3"/>
      <c r="B932" s="3"/>
      <c r="C932" s="3" t="s">
        <v>113</v>
      </c>
      <c r="D932" s="5">
        <f>D937</f>
        <v>-84580</v>
      </c>
      <c r="E932" s="5">
        <f t="shared" ref="E932:F932" si="496">E937</f>
        <v>-131157.46</v>
      </c>
      <c r="F932" s="5">
        <f t="shared" si="496"/>
        <v>-80867.97</v>
      </c>
      <c r="G932" s="5">
        <f t="shared" si="494"/>
        <v>50289.489999999991</v>
      </c>
      <c r="I932" s="2"/>
    </row>
    <row r="933" spans="1:9" x14ac:dyDescent="0.25">
      <c r="A933" s="3"/>
      <c r="B933" s="3"/>
      <c r="C933" s="3" t="s">
        <v>114</v>
      </c>
      <c r="D933" s="5">
        <f>D945</f>
        <v>-45418</v>
      </c>
      <c r="E933" s="5">
        <f t="shared" ref="E933" si="497">E945</f>
        <v>-45418</v>
      </c>
      <c r="F933" s="5">
        <f>F945+F938+F940</f>
        <v>-33743.35</v>
      </c>
      <c r="G933" s="5">
        <f t="shared" si="494"/>
        <v>11674.650000000001</v>
      </c>
      <c r="I933" s="2"/>
    </row>
    <row r="934" spans="1:9" x14ac:dyDescent="0.25">
      <c r="A934" s="41"/>
      <c r="B934" s="41"/>
      <c r="C934" s="41" t="s">
        <v>117</v>
      </c>
      <c r="D934" s="42">
        <f>SUM(D935:D937)</f>
        <v>-488131</v>
      </c>
      <c r="E934" s="42">
        <f t="shared" ref="E934" si="498">SUM(E935:E937)</f>
        <v>-722533.19</v>
      </c>
      <c r="F934" s="42">
        <f>SUM(F935:F938)</f>
        <v>-494323.99000000005</v>
      </c>
      <c r="G934" s="42">
        <f>F934-E934</f>
        <v>228209.1999999999</v>
      </c>
      <c r="I934" s="2"/>
    </row>
    <row r="935" spans="1:9" x14ac:dyDescent="0.25">
      <c r="A935" s="3"/>
      <c r="B935" s="3"/>
      <c r="C935" s="3" t="s">
        <v>52</v>
      </c>
      <c r="D935" s="5">
        <v>-326921</v>
      </c>
      <c r="E935" s="5">
        <v>-322810.84000000003</v>
      </c>
      <c r="F935" s="5">
        <v>-322752.78000000003</v>
      </c>
      <c r="G935" s="5">
        <f t="shared" ref="G935:G938" si="499">F935-E935</f>
        <v>58.059999999997672</v>
      </c>
      <c r="I935" s="2"/>
    </row>
    <row r="936" spans="1:9" x14ac:dyDescent="0.25">
      <c r="A936" s="3"/>
      <c r="B936" s="3"/>
      <c r="C936" s="3" t="s">
        <v>53</v>
      </c>
      <c r="D936" s="5">
        <v>-76630</v>
      </c>
      <c r="E936" s="5">
        <f>-264773.03-3791.86</f>
        <v>-268564.89</v>
      </c>
      <c r="F936" s="5">
        <v>-90664.44</v>
      </c>
      <c r="G936" s="5">
        <f t="shared" si="499"/>
        <v>177900.45</v>
      </c>
      <c r="I936" s="2"/>
    </row>
    <row r="937" spans="1:9" x14ac:dyDescent="0.25">
      <c r="A937" s="3"/>
      <c r="B937" s="3"/>
      <c r="C937" s="3" t="s">
        <v>113</v>
      </c>
      <c r="D937" s="5">
        <v>-84580</v>
      </c>
      <c r="E937" s="5">
        <v>-131157.46</v>
      </c>
      <c r="F937" s="5">
        <v>-80867.97</v>
      </c>
      <c r="G937" s="5">
        <f t="shared" si="499"/>
        <v>50289.489999999991</v>
      </c>
      <c r="I937" s="2"/>
    </row>
    <row r="938" spans="1:9" x14ac:dyDescent="0.25">
      <c r="A938" s="3"/>
      <c r="B938" s="3"/>
      <c r="C938" s="3" t="s">
        <v>54</v>
      </c>
      <c r="D938" s="5">
        <v>0</v>
      </c>
      <c r="E938" s="5">
        <v>0</v>
      </c>
      <c r="F938" s="5">
        <v>-38.799999999999997</v>
      </c>
      <c r="G938" s="5">
        <f t="shared" si="499"/>
        <v>-38.799999999999997</v>
      </c>
      <c r="I938" s="2"/>
    </row>
    <row r="939" spans="1:9" x14ac:dyDescent="0.25">
      <c r="A939" s="3"/>
      <c r="B939" s="3"/>
      <c r="C939" s="41" t="s">
        <v>118</v>
      </c>
      <c r="D939" s="42">
        <v>0</v>
      </c>
      <c r="E939" s="42">
        <v>0</v>
      </c>
      <c r="F939" s="42">
        <f>F940</f>
        <v>-28.63</v>
      </c>
      <c r="G939" s="42">
        <f>F939-E939</f>
        <v>-28.63</v>
      </c>
      <c r="I939" s="2"/>
    </row>
    <row r="940" spans="1:9" x14ac:dyDescent="0.25">
      <c r="A940" s="3"/>
      <c r="B940" s="3"/>
      <c r="C940" s="3" t="s">
        <v>114</v>
      </c>
      <c r="D940" s="5">
        <v>0</v>
      </c>
      <c r="E940" s="5">
        <v>0</v>
      </c>
      <c r="F940" s="5">
        <v>-28.63</v>
      </c>
      <c r="G940" s="5">
        <f t="shared" ref="G940" si="500">F940-E940</f>
        <v>-28.63</v>
      </c>
      <c r="I940" s="2"/>
    </row>
    <row r="941" spans="1:9" x14ac:dyDescent="0.25">
      <c r="A941" s="3"/>
      <c r="B941" s="3"/>
      <c r="C941" s="41" t="s">
        <v>119</v>
      </c>
      <c r="D941" s="42">
        <f>SUM(D942:D944)</f>
        <v>0</v>
      </c>
      <c r="E941" s="42">
        <f t="shared" ref="E941" si="501">SUM(E942:E944)</f>
        <v>-13445.99</v>
      </c>
      <c r="F941" s="42">
        <f>SUM(F942:F944)</f>
        <v>-8377.880000000001</v>
      </c>
      <c r="G941" s="42">
        <f>F941-E941</f>
        <v>5068.1099999999988</v>
      </c>
      <c r="I941" s="2"/>
    </row>
    <row r="942" spans="1:9" x14ac:dyDescent="0.25">
      <c r="A942" s="3"/>
      <c r="B942" s="3"/>
      <c r="C942" s="3" t="s">
        <v>193</v>
      </c>
      <c r="D942" s="42">
        <v>0</v>
      </c>
      <c r="E942" s="5">
        <v>-13445.99</v>
      </c>
      <c r="F942" s="5">
        <v>0</v>
      </c>
      <c r="G942" s="5">
        <f t="shared" ref="G942:G944" si="502">F942-E942</f>
        <v>13445.99</v>
      </c>
      <c r="I942" s="2"/>
    </row>
    <row r="943" spans="1:9" x14ac:dyDescent="0.25">
      <c r="A943" s="3"/>
      <c r="B943" s="3"/>
      <c r="C943" s="3" t="s">
        <v>52</v>
      </c>
      <c r="D943" s="5">
        <v>0</v>
      </c>
      <c r="E943" s="5">
        <v>0</v>
      </c>
      <c r="F943" s="5">
        <v>-4324.46</v>
      </c>
      <c r="G943" s="5">
        <f t="shared" si="502"/>
        <v>-4324.46</v>
      </c>
      <c r="I943" s="2"/>
    </row>
    <row r="944" spans="1:9" x14ac:dyDescent="0.25">
      <c r="A944" s="3"/>
      <c r="B944" s="3"/>
      <c r="C944" s="3" t="s">
        <v>53</v>
      </c>
      <c r="D944" s="5">
        <v>0</v>
      </c>
      <c r="E944" s="5">
        <v>0</v>
      </c>
      <c r="F944" s="5">
        <v>-4053.42</v>
      </c>
      <c r="G944" s="5">
        <f t="shared" si="502"/>
        <v>-4053.42</v>
      </c>
      <c r="I944" s="2"/>
    </row>
    <row r="945" spans="1:9" s="39" customFormat="1" x14ac:dyDescent="0.25">
      <c r="A945" s="41"/>
      <c r="B945" s="41"/>
      <c r="C945" s="41" t="s">
        <v>121</v>
      </c>
      <c r="D945" s="42">
        <v>-45418</v>
      </c>
      <c r="E945" s="42">
        <f>D945</f>
        <v>-45418</v>
      </c>
      <c r="F945" s="5">
        <v>-33675.919999999998</v>
      </c>
      <c r="G945" s="42">
        <f>F945-E945</f>
        <v>11742.080000000002</v>
      </c>
      <c r="H945" s="25"/>
      <c r="I945" s="2"/>
    </row>
    <row r="946" spans="1:9" x14ac:dyDescent="0.25">
      <c r="A946" s="41"/>
      <c r="B946" s="41" t="s">
        <v>130</v>
      </c>
      <c r="C946" s="41"/>
      <c r="D946" s="42">
        <f>SUM(D948:D951)</f>
        <v>-1112691</v>
      </c>
      <c r="E946" s="42">
        <f>SUM(E947:E951)</f>
        <v>-1809236.17</v>
      </c>
      <c r="F946" s="42">
        <f>SUM(F948:F951)</f>
        <v>-1558072.2225457798</v>
      </c>
      <c r="G946" s="42">
        <f>F946-E946</f>
        <v>251163.94745422015</v>
      </c>
      <c r="I946" s="2"/>
    </row>
    <row r="947" spans="1:9" x14ac:dyDescent="0.25">
      <c r="A947" s="41"/>
      <c r="B947" s="41"/>
      <c r="C947" s="3" t="s">
        <v>193</v>
      </c>
      <c r="D947" s="5">
        <v>0</v>
      </c>
      <c r="E947" s="5">
        <f>E960+E965</f>
        <v>-604311.47</v>
      </c>
      <c r="F947" s="5">
        <v>0</v>
      </c>
      <c r="G947" s="5">
        <f t="shared" ref="G947" si="503">F947-E947</f>
        <v>604311.47</v>
      </c>
      <c r="I947" s="2"/>
    </row>
    <row r="948" spans="1:9" x14ac:dyDescent="0.25">
      <c r="A948" s="3"/>
      <c r="B948" s="3"/>
      <c r="C948" s="3" t="s">
        <v>52</v>
      </c>
      <c r="D948" s="5">
        <f>D953+D966</f>
        <v>-520448</v>
      </c>
      <c r="E948" s="5">
        <f>E953+E966</f>
        <v>-574914.11</v>
      </c>
      <c r="F948" s="5">
        <f>F953+F966+F961</f>
        <v>-854097.21</v>
      </c>
      <c r="G948" s="5">
        <f t="shared" ref="G948:G951" si="504">F948-E948</f>
        <v>-279183.09999999998</v>
      </c>
      <c r="I948" s="2"/>
    </row>
    <row r="949" spans="1:9" x14ac:dyDescent="0.25">
      <c r="A949" s="3"/>
      <c r="B949" s="3"/>
      <c r="C949" s="3" t="s">
        <v>53</v>
      </c>
      <c r="D949" s="5">
        <f>D954+D967</f>
        <v>-577298</v>
      </c>
      <c r="E949" s="5">
        <f>E954+E967</f>
        <v>-615065.59</v>
      </c>
      <c r="F949" s="5">
        <f>F954+F967+F962</f>
        <v>-518202.88999999996</v>
      </c>
      <c r="G949" s="5">
        <f t="shared" si="504"/>
        <v>96862.700000000012</v>
      </c>
      <c r="I949" s="2"/>
    </row>
    <row r="950" spans="1:9" x14ac:dyDescent="0.25">
      <c r="A950" s="3"/>
      <c r="B950" s="3"/>
      <c r="C950" s="3" t="s">
        <v>113</v>
      </c>
      <c r="D950" s="5">
        <f>D955</f>
        <v>0</v>
      </c>
      <c r="E950" s="5">
        <f t="shared" ref="E950" si="505">E955</f>
        <v>0</v>
      </c>
      <c r="F950" s="5">
        <f>F955+F963</f>
        <v>-169576.22999999998</v>
      </c>
      <c r="G950" s="5">
        <f t="shared" si="504"/>
        <v>-169576.22999999998</v>
      </c>
      <c r="I950" s="2"/>
    </row>
    <row r="951" spans="1:9" x14ac:dyDescent="0.25">
      <c r="A951" s="3"/>
      <c r="B951" s="3"/>
      <c r="C951" s="3" t="s">
        <v>114</v>
      </c>
      <c r="D951" s="5">
        <f>D969</f>
        <v>-14945</v>
      </c>
      <c r="E951" s="5">
        <f t="shared" ref="E951" si="506">E969</f>
        <v>-14945</v>
      </c>
      <c r="F951" s="5">
        <f>F969+F956+F958+F968</f>
        <v>-16195.89254578</v>
      </c>
      <c r="G951" s="5">
        <f t="shared" si="504"/>
        <v>-1250.8925457799996</v>
      </c>
      <c r="I951" s="2"/>
    </row>
    <row r="952" spans="1:9" x14ac:dyDescent="0.25">
      <c r="A952" s="41"/>
      <c r="B952" s="41"/>
      <c r="C952" s="41" t="s">
        <v>117</v>
      </c>
      <c r="D952" s="42">
        <f>SUM(D953:D954)</f>
        <v>-1061495</v>
      </c>
      <c r="E952" s="42">
        <f>SUM(E953:E954)</f>
        <v>-1189979.7</v>
      </c>
      <c r="F952" s="42">
        <f>SUM(F953:F956)</f>
        <v>-1037319.5</v>
      </c>
      <c r="G952" s="42">
        <f>F952-E952</f>
        <v>152660.19999999995</v>
      </c>
      <c r="I952" s="2"/>
    </row>
    <row r="953" spans="1:9" x14ac:dyDescent="0.25">
      <c r="A953" s="3"/>
      <c r="B953" s="3"/>
      <c r="C953" s="3" t="s">
        <v>52</v>
      </c>
      <c r="D953" s="5">
        <v>-514914</v>
      </c>
      <c r="E953" s="5">
        <v>-574914.11</v>
      </c>
      <c r="F953" s="5">
        <v>-574838.47</v>
      </c>
      <c r="G953" s="5">
        <f t="shared" ref="G953:G956" si="507">F953-E953</f>
        <v>75.64000000001397</v>
      </c>
      <c r="I953" s="2"/>
    </row>
    <row r="954" spans="1:9" x14ac:dyDescent="0.25">
      <c r="A954" s="3"/>
      <c r="B954" s="3"/>
      <c r="C954" s="3" t="s">
        <v>53</v>
      </c>
      <c r="D954" s="5">
        <v>-546581</v>
      </c>
      <c r="E954" s="5">
        <f>-614814.63-250.96</f>
        <v>-615065.59</v>
      </c>
      <c r="F954" s="5">
        <v>-407404.79999999999</v>
      </c>
      <c r="G954" s="5">
        <f t="shared" si="507"/>
        <v>207660.78999999998</v>
      </c>
      <c r="I954" s="2"/>
    </row>
    <row r="955" spans="1:9" x14ac:dyDescent="0.25">
      <c r="A955" s="3"/>
      <c r="B955" s="3"/>
      <c r="C955" s="3" t="s">
        <v>113</v>
      </c>
      <c r="D955" s="5">
        <v>0</v>
      </c>
      <c r="E955" s="5">
        <v>0</v>
      </c>
      <c r="F955" s="5">
        <v>-54961.229999999996</v>
      </c>
      <c r="G955" s="5">
        <f t="shared" si="507"/>
        <v>-54961.229999999996</v>
      </c>
      <c r="I955" s="2"/>
    </row>
    <row r="956" spans="1:9" x14ac:dyDescent="0.25">
      <c r="A956" s="3"/>
      <c r="B956" s="3"/>
      <c r="C956" s="3" t="s">
        <v>54</v>
      </c>
      <c r="D956" s="5">
        <v>0</v>
      </c>
      <c r="E956" s="5">
        <v>0</v>
      </c>
      <c r="F956" s="5">
        <v>-115</v>
      </c>
      <c r="G956" s="5">
        <f t="shared" si="507"/>
        <v>-115</v>
      </c>
      <c r="I956" s="2"/>
    </row>
    <row r="957" spans="1:9" x14ac:dyDescent="0.25">
      <c r="A957" s="3"/>
      <c r="B957" s="3"/>
      <c r="C957" s="41" t="s">
        <v>118</v>
      </c>
      <c r="D957" s="42">
        <v>0</v>
      </c>
      <c r="E957" s="42">
        <v>0</v>
      </c>
      <c r="F957" s="42">
        <f>F958</f>
        <v>48.52</v>
      </c>
      <c r="G957" s="42">
        <f>F957-E957</f>
        <v>48.52</v>
      </c>
      <c r="I957" s="2"/>
    </row>
    <row r="958" spans="1:9" x14ac:dyDescent="0.25">
      <c r="A958" s="3"/>
      <c r="B958" s="3"/>
      <c r="C958" s="3" t="s">
        <v>114</v>
      </c>
      <c r="D958" s="5">
        <v>0</v>
      </c>
      <c r="E958" s="5">
        <v>0</v>
      </c>
      <c r="F958" s="5">
        <v>48.52</v>
      </c>
      <c r="G958" s="5">
        <f t="shared" ref="G958" si="508">F958-E958</f>
        <v>48.52</v>
      </c>
      <c r="I958" s="2"/>
    </row>
    <row r="959" spans="1:9" x14ac:dyDescent="0.25">
      <c r="A959" s="3"/>
      <c r="B959" s="3"/>
      <c r="C959" s="41" t="s">
        <v>119</v>
      </c>
      <c r="D959" s="42">
        <v>0</v>
      </c>
      <c r="E959" s="42">
        <f>E960</f>
        <v>-316085.18</v>
      </c>
      <c r="F959" s="42">
        <f>SUM(F961:F963)</f>
        <v>-294809.40000000002</v>
      </c>
      <c r="G959" s="42">
        <f>F959-E959</f>
        <v>21275.77999999997</v>
      </c>
      <c r="I959" s="2"/>
    </row>
    <row r="960" spans="1:9" x14ac:dyDescent="0.25">
      <c r="A960" s="3"/>
      <c r="B960" s="3"/>
      <c r="C960" s="3" t="s">
        <v>193</v>
      </c>
      <c r="D960" s="42">
        <v>0</v>
      </c>
      <c r="E960" s="5">
        <v>-316085.18</v>
      </c>
      <c r="F960" s="5"/>
      <c r="G960" s="5">
        <f t="shared" ref="G960:G963" si="509">F960-E960</f>
        <v>316085.18</v>
      </c>
      <c r="I960" s="2"/>
    </row>
    <row r="961" spans="1:9" x14ac:dyDescent="0.25">
      <c r="A961" s="3"/>
      <c r="B961" s="3"/>
      <c r="C961" s="3" t="s">
        <v>52</v>
      </c>
      <c r="D961" s="5">
        <v>0</v>
      </c>
      <c r="E961" s="5">
        <v>0</v>
      </c>
      <c r="F961" s="5">
        <v>-119269.85</v>
      </c>
      <c r="G961" s="5">
        <f t="shared" si="509"/>
        <v>-119269.85</v>
      </c>
      <c r="I961" s="2"/>
    </row>
    <row r="962" spans="1:9" x14ac:dyDescent="0.25">
      <c r="A962" s="3"/>
      <c r="B962" s="3"/>
      <c r="C962" s="3" t="s">
        <v>53</v>
      </c>
      <c r="D962" s="5">
        <v>0</v>
      </c>
      <c r="E962" s="5">
        <v>0</v>
      </c>
      <c r="F962" s="5">
        <v>-60924.55</v>
      </c>
      <c r="G962" s="5">
        <f t="shared" si="509"/>
        <v>-60924.55</v>
      </c>
      <c r="I962" s="2"/>
    </row>
    <row r="963" spans="1:9" x14ac:dyDescent="0.25">
      <c r="A963" s="3"/>
      <c r="B963" s="3"/>
      <c r="C963" s="3" t="s">
        <v>113</v>
      </c>
      <c r="D963" s="5">
        <v>0</v>
      </c>
      <c r="E963" s="5">
        <v>0</v>
      </c>
      <c r="F963" s="5">
        <v>-114615</v>
      </c>
      <c r="G963" s="5">
        <f t="shared" si="509"/>
        <v>-114615</v>
      </c>
      <c r="I963" s="2"/>
    </row>
    <row r="964" spans="1:9" x14ac:dyDescent="0.25">
      <c r="A964" s="41"/>
      <c r="B964" s="41"/>
      <c r="C964" s="41" t="s">
        <v>120</v>
      </c>
      <c r="D964" s="42">
        <f>SUM(D966:D967)</f>
        <v>-36251</v>
      </c>
      <c r="E964" s="42">
        <f>E965</f>
        <v>-288226.28999999998</v>
      </c>
      <c r="F964" s="42">
        <f>SUM(F966:F968)</f>
        <v>-210812.25254578004</v>
      </c>
      <c r="G964" s="42">
        <f>F964-E964</f>
        <v>77414.037454219942</v>
      </c>
      <c r="I964" s="2"/>
    </row>
    <row r="965" spans="1:9" x14ac:dyDescent="0.25">
      <c r="A965" s="41"/>
      <c r="B965" s="41"/>
      <c r="C965" s="3" t="s">
        <v>193</v>
      </c>
      <c r="D965" s="42">
        <v>0</v>
      </c>
      <c r="E965" s="5">
        <v>-288226.28999999998</v>
      </c>
      <c r="F965" s="5"/>
      <c r="G965" s="5">
        <f t="shared" ref="G965" si="510">F965-E965</f>
        <v>288226.28999999998</v>
      </c>
      <c r="I965" s="2"/>
    </row>
    <row r="966" spans="1:9" x14ac:dyDescent="0.25">
      <c r="A966" s="3"/>
      <c r="B966" s="3"/>
      <c r="C966" s="3" t="s">
        <v>52</v>
      </c>
      <c r="D966" s="5">
        <v>-5534</v>
      </c>
      <c r="E966" s="5">
        <v>0</v>
      </c>
      <c r="F966" s="5">
        <v>-159988.89000000001</v>
      </c>
      <c r="G966" s="5">
        <f t="shared" ref="G966:G968" si="511">F966-E966</f>
        <v>-159988.89000000001</v>
      </c>
      <c r="I966" s="2"/>
    </row>
    <row r="967" spans="1:9" x14ac:dyDescent="0.25">
      <c r="A967" s="41"/>
      <c r="B967" s="41"/>
      <c r="C967" s="3" t="s">
        <v>53</v>
      </c>
      <c r="D967" s="5">
        <v>-30717</v>
      </c>
      <c r="E967" s="5">
        <v>0</v>
      </c>
      <c r="F967" s="5">
        <v>-49873.54</v>
      </c>
      <c r="G967" s="5">
        <f t="shared" si="511"/>
        <v>-49873.54</v>
      </c>
      <c r="I967" s="2"/>
    </row>
    <row r="968" spans="1:9" x14ac:dyDescent="0.25">
      <c r="A968" s="41"/>
      <c r="B968" s="41"/>
      <c r="C968" s="3" t="s">
        <v>54</v>
      </c>
      <c r="D968" s="5">
        <v>0</v>
      </c>
      <c r="E968" s="5">
        <v>0</v>
      </c>
      <c r="F968" s="5">
        <v>-949.82254578000015</v>
      </c>
      <c r="G968" s="5">
        <f t="shared" si="511"/>
        <v>-949.82254578000015</v>
      </c>
      <c r="I968" s="2"/>
    </row>
    <row r="969" spans="1:9" s="39" customFormat="1" x14ac:dyDescent="0.25">
      <c r="A969" s="41"/>
      <c r="B969" s="41"/>
      <c r="C969" s="41" t="s">
        <v>121</v>
      </c>
      <c r="D969" s="42">
        <v>-14945</v>
      </c>
      <c r="E969" s="42">
        <f>D969</f>
        <v>-14945</v>
      </c>
      <c r="F969" s="5">
        <v>-15179.59</v>
      </c>
      <c r="G969" s="42">
        <f>F969-E969</f>
        <v>-234.59000000000015</v>
      </c>
      <c r="H969" s="25"/>
      <c r="I969" s="2"/>
    </row>
    <row r="970" spans="1:9" x14ac:dyDescent="0.25">
      <c r="A970" s="41"/>
      <c r="B970" s="41" t="s">
        <v>143</v>
      </c>
      <c r="C970" s="41"/>
      <c r="D970" s="42">
        <f>SUM(D972:D973)</f>
        <v>-1282609</v>
      </c>
      <c r="E970" s="42">
        <f>SUM(E971:E973)</f>
        <v>-1330207.83</v>
      </c>
      <c r="F970" s="42">
        <f>SUM(F972:F974)</f>
        <v>-1272535.5500000003</v>
      </c>
      <c r="G970" s="42">
        <f>F970-E970</f>
        <v>57672.279999999795</v>
      </c>
      <c r="I970" s="2"/>
    </row>
    <row r="971" spans="1:9" x14ac:dyDescent="0.25">
      <c r="A971" s="41"/>
      <c r="B971" s="41"/>
      <c r="C971" s="3" t="s">
        <v>193</v>
      </c>
      <c r="D971" s="5">
        <v>0</v>
      </c>
      <c r="E971" s="5">
        <f>E981+E985</f>
        <v>-178870.7</v>
      </c>
      <c r="F971" s="5">
        <v>0</v>
      </c>
      <c r="G971" s="5">
        <f t="shared" ref="G971" si="512">F971-E971</f>
        <v>178870.7</v>
      </c>
      <c r="I971" s="2"/>
    </row>
    <row r="972" spans="1:9" x14ac:dyDescent="0.25">
      <c r="A972" s="3"/>
      <c r="B972" s="3"/>
      <c r="C972" s="3" t="s">
        <v>52</v>
      </c>
      <c r="D972" s="5">
        <f>D976+D982+D986</f>
        <v>-1070593</v>
      </c>
      <c r="E972" s="5">
        <f t="shared" ref="E972:F972" si="513">E976+E982+E986</f>
        <v>-970077.64</v>
      </c>
      <c r="F972" s="5">
        <f t="shared" si="513"/>
        <v>-1067216.1300000001</v>
      </c>
      <c r="G972" s="5">
        <f t="shared" ref="G972:G974" si="514">F972-E972</f>
        <v>-97138.490000000107</v>
      </c>
      <c r="I972" s="2"/>
    </row>
    <row r="973" spans="1:9" x14ac:dyDescent="0.25">
      <c r="A973" s="3"/>
      <c r="B973" s="3"/>
      <c r="C973" s="3" t="s">
        <v>53</v>
      </c>
      <c r="D973" s="5">
        <f>D977+D987</f>
        <v>-212016</v>
      </c>
      <c r="E973" s="5">
        <f t="shared" ref="E973" si="515">E977+E987</f>
        <v>-181259.49</v>
      </c>
      <c r="F973" s="5">
        <f>F977+F987+F983</f>
        <v>-205551.38</v>
      </c>
      <c r="G973" s="5">
        <f t="shared" si="514"/>
        <v>-24291.890000000014</v>
      </c>
      <c r="I973" s="2"/>
    </row>
    <row r="974" spans="1:9" x14ac:dyDescent="0.25">
      <c r="A974" s="3"/>
      <c r="B974" s="3"/>
      <c r="C974" s="3" t="s">
        <v>114</v>
      </c>
      <c r="D974" s="5">
        <v>0</v>
      </c>
      <c r="E974" s="5">
        <v>0</v>
      </c>
      <c r="F974" s="5">
        <f>F979+F988</f>
        <v>231.96000000000026</v>
      </c>
      <c r="G974" s="5">
        <f t="shared" si="514"/>
        <v>231.96000000000026</v>
      </c>
      <c r="I974" s="2"/>
    </row>
    <row r="975" spans="1:9" x14ac:dyDescent="0.25">
      <c r="A975" s="41"/>
      <c r="B975" s="41"/>
      <c r="C975" s="41" t="s">
        <v>117</v>
      </c>
      <c r="D975" s="42">
        <f>SUM(D976:D977)</f>
        <v>-1153587</v>
      </c>
      <c r="E975" s="42">
        <f>SUM(E976:E977)</f>
        <v>-1151337.1299999999</v>
      </c>
      <c r="F975" s="42">
        <f>SUM(F976:F977)</f>
        <v>-1151310.5900000001</v>
      </c>
      <c r="G975" s="42">
        <f>F975-E975</f>
        <v>26.539999999804422</v>
      </c>
      <c r="I975" s="2"/>
    </row>
    <row r="976" spans="1:9" x14ac:dyDescent="0.25">
      <c r="A976" s="3"/>
      <c r="B976" s="3"/>
      <c r="C976" s="3" t="s">
        <v>52</v>
      </c>
      <c r="D976" s="5">
        <v>-977590</v>
      </c>
      <c r="E976" s="5">
        <v>-970077.64</v>
      </c>
      <c r="F976" s="5">
        <v>-981712.87</v>
      </c>
      <c r="G976" s="5">
        <f t="shared" ref="G976:G977" si="516">F976-E976</f>
        <v>-11635.229999999981</v>
      </c>
      <c r="I976" s="2"/>
    </row>
    <row r="977" spans="1:9" x14ac:dyDescent="0.25">
      <c r="A977" s="3"/>
      <c r="B977" s="3"/>
      <c r="C977" s="3" t="s">
        <v>53</v>
      </c>
      <c r="D977" s="5">
        <v>-175997</v>
      </c>
      <c r="E977" s="5">
        <f>-179261.97-1997.52</f>
        <v>-181259.49</v>
      </c>
      <c r="F977" s="5">
        <v>-169597.72</v>
      </c>
      <c r="G977" s="5">
        <f t="shared" si="516"/>
        <v>11661.76999999999</v>
      </c>
      <c r="I977" s="2"/>
    </row>
    <row r="978" spans="1:9" x14ac:dyDescent="0.25">
      <c r="A978" s="3"/>
      <c r="B978" s="3"/>
      <c r="C978" s="41" t="s">
        <v>118</v>
      </c>
      <c r="D978" s="42">
        <v>0</v>
      </c>
      <c r="E978" s="42">
        <v>0</v>
      </c>
      <c r="F978" s="42">
        <f>F979</f>
        <v>2257.2600000000002</v>
      </c>
      <c r="G978" s="42">
        <f>F978-E978</f>
        <v>2257.2600000000002</v>
      </c>
      <c r="I978" s="2"/>
    </row>
    <row r="979" spans="1:9" x14ac:dyDescent="0.25">
      <c r="A979" s="3"/>
      <c r="B979" s="3"/>
      <c r="C979" s="3" t="s">
        <v>114</v>
      </c>
      <c r="D979" s="5">
        <v>0</v>
      </c>
      <c r="E979" s="5">
        <v>0</v>
      </c>
      <c r="F979" s="5">
        <v>2257.2600000000002</v>
      </c>
      <c r="G979" s="5">
        <f t="shared" ref="G979" si="517">F979-E979</f>
        <v>2257.2600000000002</v>
      </c>
      <c r="I979" s="2"/>
    </row>
    <row r="980" spans="1:9" x14ac:dyDescent="0.25">
      <c r="A980" s="41"/>
      <c r="B980" s="41"/>
      <c r="C980" s="41" t="s">
        <v>119</v>
      </c>
      <c r="D980" s="42">
        <f>SUM(D982:D982)</f>
        <v>-89378</v>
      </c>
      <c r="E980" s="42">
        <f>E981</f>
        <v>-141621.4</v>
      </c>
      <c r="F980" s="42">
        <f>SUM(F982:F983)</f>
        <v>-86232.92</v>
      </c>
      <c r="G980" s="42">
        <f>F980-E980</f>
        <v>55388.479999999996</v>
      </c>
      <c r="I980" s="2"/>
    </row>
    <row r="981" spans="1:9" x14ac:dyDescent="0.25">
      <c r="A981" s="41"/>
      <c r="B981" s="41"/>
      <c r="C981" s="3" t="s">
        <v>193</v>
      </c>
      <c r="D981" s="42">
        <v>0</v>
      </c>
      <c r="E981" s="5">
        <v>-141621.4</v>
      </c>
      <c r="F981" s="5">
        <v>0</v>
      </c>
      <c r="G981" s="5">
        <f t="shared" ref="G981" si="518">F981-E981</f>
        <v>141621.4</v>
      </c>
      <c r="I981" s="2"/>
    </row>
    <row r="982" spans="1:9" x14ac:dyDescent="0.25">
      <c r="A982" s="3"/>
      <c r="B982" s="3"/>
      <c r="C982" s="3" t="s">
        <v>52</v>
      </c>
      <c r="D982" s="5">
        <v>-89378</v>
      </c>
      <c r="E982" s="5">
        <v>0</v>
      </c>
      <c r="F982" s="5">
        <v>-82136.67</v>
      </c>
      <c r="G982" s="5">
        <f t="shared" ref="G982:G983" si="519">F982-E982</f>
        <v>-82136.67</v>
      </c>
      <c r="I982" s="2"/>
    </row>
    <row r="983" spans="1:9" x14ac:dyDescent="0.25">
      <c r="A983" s="3"/>
      <c r="B983" s="3"/>
      <c r="C983" s="3" t="s">
        <v>53</v>
      </c>
      <c r="D983" s="5">
        <v>0</v>
      </c>
      <c r="E983" s="5">
        <v>0</v>
      </c>
      <c r="F983" s="5">
        <v>-4096.25</v>
      </c>
      <c r="G983" s="5">
        <f t="shared" si="519"/>
        <v>-4096.25</v>
      </c>
      <c r="I983" s="2"/>
    </row>
    <row r="984" spans="1:9" x14ac:dyDescent="0.25">
      <c r="A984" s="41"/>
      <c r="B984" s="41"/>
      <c r="C984" s="41" t="s">
        <v>120</v>
      </c>
      <c r="D984" s="42">
        <f>SUM(D986:D987)</f>
        <v>-39644</v>
      </c>
      <c r="E984" s="42">
        <f>E985</f>
        <v>-37249.300000000003</v>
      </c>
      <c r="F984" s="42">
        <f>SUM(F986:F988)</f>
        <v>-37249.300000000003</v>
      </c>
      <c r="G984" s="42">
        <f>F984-E984</f>
        <v>0</v>
      </c>
      <c r="I984" s="2"/>
    </row>
    <row r="985" spans="1:9" x14ac:dyDescent="0.25">
      <c r="A985" s="41"/>
      <c r="B985" s="41"/>
      <c r="C985" s="3" t="s">
        <v>193</v>
      </c>
      <c r="D985" s="42">
        <v>0</v>
      </c>
      <c r="E985" s="5">
        <v>-37249.300000000003</v>
      </c>
      <c r="F985" s="5">
        <v>0</v>
      </c>
      <c r="G985" s="5">
        <f t="shared" ref="G985" si="520">F985-E985</f>
        <v>37249.300000000003</v>
      </c>
      <c r="I985" s="2"/>
    </row>
    <row r="986" spans="1:9" x14ac:dyDescent="0.25">
      <c r="A986" s="3"/>
      <c r="B986" s="3"/>
      <c r="C986" s="3" t="s">
        <v>52</v>
      </c>
      <c r="D986" s="5">
        <v>-3625</v>
      </c>
      <c r="E986" s="5">
        <v>0</v>
      </c>
      <c r="F986" s="5">
        <v>-3366.59</v>
      </c>
      <c r="G986" s="5">
        <f t="shared" ref="G986:G1009" si="521">F986-E986</f>
        <v>-3366.59</v>
      </c>
      <c r="I986" s="2"/>
    </row>
    <row r="987" spans="1:9" x14ac:dyDescent="0.25">
      <c r="A987" s="41"/>
      <c r="B987" s="41"/>
      <c r="C987" s="3" t="s">
        <v>53</v>
      </c>
      <c r="D987" s="5">
        <v>-36019</v>
      </c>
      <c r="E987" s="5">
        <v>0</v>
      </c>
      <c r="F987" s="5">
        <v>-31857.41</v>
      </c>
      <c r="G987" s="5">
        <f t="shared" si="521"/>
        <v>-31857.41</v>
      </c>
      <c r="I987" s="2"/>
    </row>
    <row r="988" spans="1:9" x14ac:dyDescent="0.25">
      <c r="A988" s="41"/>
      <c r="B988" s="41"/>
      <c r="C988" s="3" t="s">
        <v>54</v>
      </c>
      <c r="D988" s="5">
        <v>0</v>
      </c>
      <c r="E988" s="5">
        <v>0</v>
      </c>
      <c r="F988" s="5">
        <v>-2025.3</v>
      </c>
      <c r="G988" s="5">
        <f t="shared" si="521"/>
        <v>-2025.3</v>
      </c>
      <c r="I988" s="2"/>
    </row>
    <row r="989" spans="1:9" x14ac:dyDescent="0.25">
      <c r="A989" s="41"/>
      <c r="B989" s="39" t="s">
        <v>195</v>
      </c>
      <c r="C989" s="41"/>
      <c r="D989" s="42">
        <f>SUM(D990:D993)</f>
        <v>0</v>
      </c>
      <c r="E989" s="42">
        <f t="shared" ref="E989:F989" si="522">SUM(E990:E993)</f>
        <v>-27550.42</v>
      </c>
      <c r="F989" s="42">
        <f t="shared" si="522"/>
        <v>-40115.269999999997</v>
      </c>
      <c r="G989" s="42">
        <f>F989-E989</f>
        <v>-12564.849999999999</v>
      </c>
      <c r="I989" s="2"/>
    </row>
    <row r="990" spans="1:9" x14ac:dyDescent="0.25">
      <c r="A990" s="41"/>
      <c r="B990" s="41"/>
      <c r="C990" s="3" t="s">
        <v>193</v>
      </c>
      <c r="D990" s="42">
        <v>0</v>
      </c>
      <c r="E990" s="5">
        <f>E1000</f>
        <v>-1178.6199999999999</v>
      </c>
      <c r="F990" s="5">
        <v>0</v>
      </c>
      <c r="G990" s="5">
        <f t="shared" ref="G990:G993" si="523">F990-E990</f>
        <v>1178.6199999999999</v>
      </c>
      <c r="I990" s="2"/>
    </row>
    <row r="991" spans="1:9" x14ac:dyDescent="0.25">
      <c r="A991" s="41"/>
      <c r="B991" s="3"/>
      <c r="C991" s="3" t="s">
        <v>52</v>
      </c>
      <c r="D991" s="5">
        <f>D995+D1001</f>
        <v>0</v>
      </c>
      <c r="E991" s="5">
        <f t="shared" ref="E991:F991" si="524">E995+E1001</f>
        <v>-22242.5</v>
      </c>
      <c r="F991" s="5">
        <f t="shared" si="524"/>
        <v>-21884.95</v>
      </c>
      <c r="G991" s="5">
        <f t="shared" si="523"/>
        <v>357.54999999999927</v>
      </c>
      <c r="I991" s="2"/>
    </row>
    <row r="992" spans="1:9" x14ac:dyDescent="0.25">
      <c r="A992" s="41"/>
      <c r="B992" s="3"/>
      <c r="C992" s="3" t="s">
        <v>53</v>
      </c>
      <c r="D992" s="5">
        <f>D996+D1002</f>
        <v>0</v>
      </c>
      <c r="E992" s="5">
        <f t="shared" ref="E992:F992" si="525">E996+E1002</f>
        <v>-4129.3</v>
      </c>
      <c r="F992" s="5">
        <f t="shared" si="525"/>
        <v>-2736.5299999999997</v>
      </c>
      <c r="G992" s="5">
        <f t="shared" si="523"/>
        <v>1392.7700000000004</v>
      </c>
      <c r="I992" s="2"/>
    </row>
    <row r="993" spans="1:9" x14ac:dyDescent="0.25">
      <c r="A993" s="41"/>
      <c r="B993" s="3"/>
      <c r="C993" s="3" t="s">
        <v>114</v>
      </c>
      <c r="D993" s="5">
        <f>D1003+D998</f>
        <v>0</v>
      </c>
      <c r="E993" s="5">
        <f t="shared" ref="E993:F993" si="526">E1003+E998</f>
        <v>0</v>
      </c>
      <c r="F993" s="5">
        <f t="shared" si="526"/>
        <v>-15493.789999999999</v>
      </c>
      <c r="G993" s="5">
        <f t="shared" si="523"/>
        <v>-15493.789999999999</v>
      </c>
      <c r="I993" s="2"/>
    </row>
    <row r="994" spans="1:9" x14ac:dyDescent="0.25">
      <c r="A994" s="41"/>
      <c r="B994" s="41"/>
      <c r="C994" s="41" t="s">
        <v>117</v>
      </c>
      <c r="D994" s="42">
        <f>SUM(D995:D996)</f>
        <v>0</v>
      </c>
      <c r="E994" s="42">
        <f>SUM(E995:E996)</f>
        <v>-26371.8</v>
      </c>
      <c r="F994" s="42">
        <f>SUM(F995:F996)</f>
        <v>-23832.34</v>
      </c>
      <c r="G994" s="42">
        <f>F994-E994</f>
        <v>2539.4599999999991</v>
      </c>
      <c r="I994" s="2"/>
    </row>
    <row r="995" spans="1:9" x14ac:dyDescent="0.25">
      <c r="A995" s="41"/>
      <c r="B995" s="3"/>
      <c r="C995" s="3" t="s">
        <v>52</v>
      </c>
      <c r="D995" s="5">
        <v>0</v>
      </c>
      <c r="E995" s="5">
        <v>-22242.5</v>
      </c>
      <c r="F995" s="5">
        <v>-21139.66</v>
      </c>
      <c r="G995" s="5">
        <f t="shared" ref="G995:G998" si="527">F995-E995</f>
        <v>1102.8400000000001</v>
      </c>
      <c r="I995" s="2"/>
    </row>
    <row r="996" spans="1:9" x14ac:dyDescent="0.25">
      <c r="A996" s="41"/>
      <c r="B996" s="3"/>
      <c r="C996" s="3" t="s">
        <v>53</v>
      </c>
      <c r="D996" s="5">
        <v>0</v>
      </c>
      <c r="E996" s="5">
        <v>-4129.3</v>
      </c>
      <c r="F996" s="5">
        <v>-2692.68</v>
      </c>
      <c r="G996" s="5">
        <f t="shared" si="527"/>
        <v>1436.6200000000003</v>
      </c>
      <c r="I996" s="2"/>
    </row>
    <row r="997" spans="1:9" x14ac:dyDescent="0.25">
      <c r="A997" s="41"/>
      <c r="B997" s="41"/>
      <c r="C997" s="41" t="s">
        <v>118</v>
      </c>
      <c r="D997" s="42">
        <f>D998</f>
        <v>0</v>
      </c>
      <c r="E997" s="42">
        <f t="shared" ref="E997:F997" si="528">E998</f>
        <v>0</v>
      </c>
      <c r="F997" s="42">
        <f t="shared" si="528"/>
        <v>0.03</v>
      </c>
      <c r="G997" s="42">
        <f t="shared" si="527"/>
        <v>0.03</v>
      </c>
      <c r="I997" s="2"/>
    </row>
    <row r="998" spans="1:9" x14ac:dyDescent="0.25">
      <c r="A998" s="41"/>
      <c r="B998" s="3"/>
      <c r="C998" s="3" t="s">
        <v>54</v>
      </c>
      <c r="D998" s="5">
        <v>0</v>
      </c>
      <c r="E998" s="5">
        <v>0</v>
      </c>
      <c r="F998" s="5">
        <v>0.03</v>
      </c>
      <c r="G998" s="5">
        <f t="shared" si="527"/>
        <v>0.03</v>
      </c>
      <c r="I998" s="2"/>
    </row>
    <row r="999" spans="1:9" x14ac:dyDescent="0.25">
      <c r="A999" s="41"/>
      <c r="B999" s="41"/>
      <c r="C999" s="41" t="s">
        <v>119</v>
      </c>
      <c r="D999" s="42">
        <f>SUM(D1000:D1002)</f>
        <v>0</v>
      </c>
      <c r="E999" s="42">
        <f t="shared" ref="E999:F999" si="529">SUM(E1000:E1002)</f>
        <v>-1178.6199999999999</v>
      </c>
      <c r="F999" s="42">
        <f t="shared" si="529"/>
        <v>-789.14</v>
      </c>
      <c r="G999" s="42">
        <f>F999-E999</f>
        <v>389.4799999999999</v>
      </c>
      <c r="I999" s="2"/>
    </row>
    <row r="1000" spans="1:9" x14ac:dyDescent="0.25">
      <c r="A1000" s="41"/>
      <c r="B1000" s="41"/>
      <c r="C1000" s="3" t="s">
        <v>193</v>
      </c>
      <c r="D1000" s="42">
        <v>0</v>
      </c>
      <c r="E1000" s="5">
        <v>-1178.6199999999999</v>
      </c>
      <c r="F1000" s="5">
        <v>0</v>
      </c>
      <c r="G1000" s="5">
        <f t="shared" ref="G1000:G1002" si="530">F1000-E1000</f>
        <v>1178.6199999999999</v>
      </c>
      <c r="I1000" s="2"/>
    </row>
    <row r="1001" spans="1:9" x14ac:dyDescent="0.25">
      <c r="A1001" s="41"/>
      <c r="B1001" s="3"/>
      <c r="C1001" s="3" t="s">
        <v>52</v>
      </c>
      <c r="D1001" s="5">
        <v>0</v>
      </c>
      <c r="E1001" s="5">
        <v>0</v>
      </c>
      <c r="F1001" s="5">
        <v>-745.29</v>
      </c>
      <c r="G1001" s="5">
        <f t="shared" si="530"/>
        <v>-745.29</v>
      </c>
      <c r="I1001" s="2"/>
    </row>
    <row r="1002" spans="1:9" x14ac:dyDescent="0.25">
      <c r="A1002" s="41"/>
      <c r="B1002" s="41"/>
      <c r="C1002" s="3" t="s">
        <v>53</v>
      </c>
      <c r="D1002" s="5">
        <v>0</v>
      </c>
      <c r="E1002" s="5">
        <v>0</v>
      </c>
      <c r="F1002" s="5">
        <v>-43.85</v>
      </c>
      <c r="G1002" s="5">
        <f t="shared" si="530"/>
        <v>-43.85</v>
      </c>
      <c r="I1002" s="2"/>
    </row>
    <row r="1003" spans="1:9" x14ac:dyDescent="0.25">
      <c r="A1003" s="41"/>
      <c r="B1003" s="41"/>
      <c r="C1003" s="41" t="s">
        <v>121</v>
      </c>
      <c r="D1003" s="42">
        <v>0</v>
      </c>
      <c r="E1003" s="42">
        <f>D1003</f>
        <v>0</v>
      </c>
      <c r="F1003" s="5">
        <v>-15493.82</v>
      </c>
      <c r="G1003" s="42">
        <f>F1003-E1003</f>
        <v>-15493.82</v>
      </c>
      <c r="I1003" s="2"/>
    </row>
    <row r="1004" spans="1:9" s="39" customFormat="1" ht="15.75" x14ac:dyDescent="0.25">
      <c r="A1004" s="71" t="s">
        <v>169</v>
      </c>
      <c r="B1004" s="41"/>
      <c r="C1004" s="41"/>
      <c r="D1004" s="42">
        <f>SUM(D1005:D1009)</f>
        <v>-26761338</v>
      </c>
      <c r="E1004" s="42">
        <f t="shared" ref="E1004:F1004" si="531">SUM(E1005:E1009)</f>
        <v>-43771134.495678127</v>
      </c>
      <c r="F1004" s="42">
        <f t="shared" si="531"/>
        <v>-33442659.43</v>
      </c>
      <c r="G1004" s="42">
        <f t="shared" si="521"/>
        <v>10328475.065678127</v>
      </c>
      <c r="H1004" s="25"/>
      <c r="I1004" s="2"/>
    </row>
    <row r="1005" spans="1:9" x14ac:dyDescent="0.25">
      <c r="A1005" s="3"/>
      <c r="B1005" s="3" t="s">
        <v>117</v>
      </c>
      <c r="C1005" s="3"/>
      <c r="D1005" s="5">
        <f>D1016+D1036+D1062+D1085+D1107</f>
        <v>-10729608</v>
      </c>
      <c r="E1005" s="5">
        <f>E1016+E1036+E1062+E1085+E1107+E1129</f>
        <v>-31661838.800000004</v>
      </c>
      <c r="F1005" s="5">
        <f>F1016+F1036+F1062+F1085+F1107+F1129</f>
        <v>-22605528.57</v>
      </c>
      <c r="G1005" s="5">
        <f t="shared" si="521"/>
        <v>9056310.2300000042</v>
      </c>
      <c r="I1005" s="2"/>
    </row>
    <row r="1006" spans="1:9" x14ac:dyDescent="0.25">
      <c r="A1006" s="3"/>
      <c r="B1006" s="3" t="s">
        <v>118</v>
      </c>
      <c r="C1006" s="3"/>
      <c r="D1006" s="5">
        <v>0</v>
      </c>
      <c r="E1006" s="5">
        <v>0</v>
      </c>
      <c r="F1006" s="5">
        <f>F1021+F1041+F1066+F1089+F1112</f>
        <v>-10194.479999999998</v>
      </c>
      <c r="G1006" s="5">
        <f t="shared" si="521"/>
        <v>-10194.479999999998</v>
      </c>
      <c r="I1006" s="2"/>
    </row>
    <row r="1007" spans="1:9" x14ac:dyDescent="0.25">
      <c r="A1007" s="3"/>
      <c r="B1007" s="3" t="s">
        <v>119</v>
      </c>
      <c r="C1007" s="3"/>
      <c r="D1007" s="5">
        <f>D1023+D1044+D1068+D1114</f>
        <v>-13905687</v>
      </c>
      <c r="E1007" s="5">
        <f>E1023+E1044+E1068+E1114+E1091+E1134</f>
        <v>-9250852.395678129</v>
      </c>
      <c r="F1007" s="5">
        <f>F1023+F1044+F1068+F1114+F1091+F1134</f>
        <v>-8616050.4299999997</v>
      </c>
      <c r="G1007" s="5">
        <f t="shared" si="521"/>
        <v>634801.96567812935</v>
      </c>
      <c r="I1007" s="2"/>
    </row>
    <row r="1008" spans="1:9" x14ac:dyDescent="0.25">
      <c r="A1008" s="3"/>
      <c r="B1008" s="3" t="s">
        <v>120</v>
      </c>
      <c r="C1008" s="3"/>
      <c r="D1008" s="5">
        <f>D1073+D1095+D1118</f>
        <v>-1113013</v>
      </c>
      <c r="E1008" s="5">
        <f>E1073+E1095+E1118+E1051</f>
        <v>-1845413.3000000003</v>
      </c>
      <c r="F1008" s="5">
        <f>F1073+F1095+F1118+F1051</f>
        <v>-1239229.42</v>
      </c>
      <c r="G1008" s="5">
        <f t="shared" si="521"/>
        <v>606183.88000000035</v>
      </c>
      <c r="I1008" s="2"/>
    </row>
    <row r="1009" spans="1:9" x14ac:dyDescent="0.25">
      <c r="A1009" s="3"/>
      <c r="B1009" s="3" t="s">
        <v>121</v>
      </c>
      <c r="C1009" s="3"/>
      <c r="D1009" s="5">
        <f>D1027+D1055+D1078+D1100</f>
        <v>-1013030</v>
      </c>
      <c r="E1009" s="5">
        <f>E1027+E1055+E1078+E1100</f>
        <v>-1013030</v>
      </c>
      <c r="F1009" s="5">
        <f>F1027+F1055+F1078+F1100+F1123+F1138</f>
        <v>-971656.52999999991</v>
      </c>
      <c r="G1009" s="5">
        <f t="shared" si="521"/>
        <v>41373.470000000088</v>
      </c>
      <c r="I1009" s="2"/>
    </row>
    <row r="1010" spans="1:9" x14ac:dyDescent="0.25">
      <c r="A1010" s="41"/>
      <c r="B1010" s="41" t="s">
        <v>87</v>
      </c>
      <c r="C1010" s="41"/>
      <c r="D1010" s="42">
        <f>SUM(D1012:D1015)</f>
        <v>-3657825</v>
      </c>
      <c r="E1010" s="42">
        <f>SUM(E1011:E1015)</f>
        <v>-4945211.43</v>
      </c>
      <c r="F1010" s="42">
        <f t="shared" ref="F1010" si="532">SUM(F1012:F1015)</f>
        <v>-3173546.63</v>
      </c>
      <c r="G1010" s="42">
        <f>F1010-E1010</f>
        <v>1771664.7999999998</v>
      </c>
      <c r="I1010" s="2"/>
    </row>
    <row r="1011" spans="1:9" x14ac:dyDescent="0.25">
      <c r="A1011" s="41"/>
      <c r="B1011" s="41"/>
      <c r="C1011" s="3" t="s">
        <v>193</v>
      </c>
      <c r="D1011" s="5">
        <v>0</v>
      </c>
      <c r="E1011" s="5">
        <f>E1024</f>
        <v>-118102.52</v>
      </c>
      <c r="F1011" s="5">
        <v>0</v>
      </c>
      <c r="G1011" s="5">
        <f t="shared" ref="G1011" si="533">F1011-E1011</f>
        <v>118102.52</v>
      </c>
      <c r="I1011" s="2"/>
    </row>
    <row r="1012" spans="1:9" x14ac:dyDescent="0.25">
      <c r="A1012" s="3"/>
      <c r="B1012" s="3"/>
      <c r="C1012" s="3" t="s">
        <v>52</v>
      </c>
      <c r="D1012" s="5">
        <f>D1017+D1025</f>
        <v>-927489</v>
      </c>
      <c r="E1012" s="5">
        <f t="shared" ref="E1012:F1012" si="534">E1017+E1025</f>
        <v>-1165156.42</v>
      </c>
      <c r="F1012" s="5">
        <f t="shared" si="534"/>
        <v>-1154153.92</v>
      </c>
      <c r="G1012" s="5">
        <f t="shared" ref="G1012:G1015" si="535">F1012-E1012</f>
        <v>11002.5</v>
      </c>
      <c r="I1012" s="2"/>
    </row>
    <row r="1013" spans="1:9" x14ac:dyDescent="0.25">
      <c r="A1013" s="3"/>
      <c r="B1013" s="3"/>
      <c r="C1013" s="3" t="s">
        <v>53</v>
      </c>
      <c r="D1013" s="5">
        <f>D1018+D1026</f>
        <v>-1428860</v>
      </c>
      <c r="E1013" s="5">
        <f t="shared" ref="E1013:F1013" si="536">E1018+E1026</f>
        <v>-2294376.41</v>
      </c>
      <c r="F1013" s="5">
        <f t="shared" si="536"/>
        <v>-1080805.92</v>
      </c>
      <c r="G1013" s="5">
        <f t="shared" si="535"/>
        <v>1213570.4900000002</v>
      </c>
      <c r="I1013" s="2"/>
    </row>
    <row r="1014" spans="1:9" x14ac:dyDescent="0.25">
      <c r="A1014" s="3"/>
      <c r="B1014" s="3"/>
      <c r="C1014" s="3" t="s">
        <v>113</v>
      </c>
      <c r="D1014" s="5">
        <f>D1019</f>
        <v>-941897</v>
      </c>
      <c r="E1014" s="5">
        <f t="shared" ref="E1014:F1014" si="537">E1019</f>
        <v>-1007997.08</v>
      </c>
      <c r="F1014" s="5">
        <f t="shared" si="537"/>
        <v>-559021.89</v>
      </c>
      <c r="G1014" s="5">
        <f t="shared" si="535"/>
        <v>448975.18999999994</v>
      </c>
      <c r="I1014" s="2"/>
    </row>
    <row r="1015" spans="1:9" x14ac:dyDescent="0.25">
      <c r="A1015" s="3"/>
      <c r="B1015" s="3"/>
      <c r="C1015" s="3" t="s">
        <v>114</v>
      </c>
      <c r="D1015" s="5">
        <f>D1027</f>
        <v>-359579</v>
      </c>
      <c r="E1015" s="5">
        <f t="shared" ref="E1015" si="538">E1027</f>
        <v>-359579</v>
      </c>
      <c r="F1015" s="5">
        <f>F1027+F1020+F1022</f>
        <v>-379564.9</v>
      </c>
      <c r="G1015" s="5">
        <f t="shared" si="535"/>
        <v>-19985.900000000023</v>
      </c>
      <c r="I1015" s="2"/>
    </row>
    <row r="1016" spans="1:9" x14ac:dyDescent="0.25">
      <c r="A1016" s="41"/>
      <c r="B1016" s="41"/>
      <c r="C1016" s="41" t="s">
        <v>117</v>
      </c>
      <c r="D1016" s="42">
        <f>SUM(D1017:D1019)</f>
        <v>-3249323</v>
      </c>
      <c r="E1016" s="42">
        <f t="shared" ref="E1016" si="539">SUM(E1017:E1019)</f>
        <v>-4467529.91</v>
      </c>
      <c r="F1016" s="42">
        <f>SUM(F1017:F1020)</f>
        <v>-2730067.0000000005</v>
      </c>
      <c r="G1016" s="42">
        <f>F1016-E1016</f>
        <v>1737462.9099999997</v>
      </c>
      <c r="I1016" s="2"/>
    </row>
    <row r="1017" spans="1:9" x14ac:dyDescent="0.25">
      <c r="A1017" s="3"/>
      <c r="B1017" s="3"/>
      <c r="C1017" s="3" t="s">
        <v>52</v>
      </c>
      <c r="D1017" s="5">
        <v>-889817</v>
      </c>
      <c r="E1017" s="5">
        <v>-1165156.42</v>
      </c>
      <c r="F1017" s="5">
        <v>-1112546.49</v>
      </c>
      <c r="G1017" s="5">
        <f t="shared" ref="G1017:G1020" si="540">F1017-E1017</f>
        <v>52609.929999999935</v>
      </c>
      <c r="I1017" s="2"/>
    </row>
    <row r="1018" spans="1:9" x14ac:dyDescent="0.25">
      <c r="A1018" s="3"/>
      <c r="B1018" s="3"/>
      <c r="C1018" s="3" t="s">
        <v>53</v>
      </c>
      <c r="D1018" s="5">
        <v>-1417609</v>
      </c>
      <c r="E1018" s="5">
        <f>-2283685.37-10691.04</f>
        <v>-2294376.41</v>
      </c>
      <c r="F1018" s="5">
        <v>-1058372.54</v>
      </c>
      <c r="G1018" s="5">
        <f t="shared" si="540"/>
        <v>1236003.8700000001</v>
      </c>
      <c r="I1018" s="2"/>
    </row>
    <row r="1019" spans="1:9" x14ac:dyDescent="0.25">
      <c r="A1019" s="3"/>
      <c r="B1019" s="3"/>
      <c r="C1019" s="3" t="s">
        <v>113</v>
      </c>
      <c r="D1019" s="5">
        <v>-941897</v>
      </c>
      <c r="E1019" s="5">
        <v>-1007997.08</v>
      </c>
      <c r="F1019" s="5">
        <v>-559021.89</v>
      </c>
      <c r="G1019" s="5">
        <f t="shared" si="540"/>
        <v>448975.18999999994</v>
      </c>
      <c r="I1019" s="2"/>
    </row>
    <row r="1020" spans="1:9" x14ac:dyDescent="0.25">
      <c r="A1020" s="3"/>
      <c r="B1020" s="3"/>
      <c r="C1020" s="3" t="s">
        <v>54</v>
      </c>
      <c r="D1020" s="5">
        <v>0</v>
      </c>
      <c r="E1020" s="5">
        <v>0</v>
      </c>
      <c r="F1020" s="5">
        <v>-126.08</v>
      </c>
      <c r="G1020" s="5">
        <f t="shared" si="540"/>
        <v>-126.08</v>
      </c>
      <c r="I1020" s="2"/>
    </row>
    <row r="1021" spans="1:9" x14ac:dyDescent="0.25">
      <c r="A1021" s="3"/>
      <c r="B1021" s="3"/>
      <c r="C1021" s="41" t="s">
        <v>118</v>
      </c>
      <c r="D1021" s="42">
        <v>0</v>
      </c>
      <c r="E1021" s="42">
        <v>0</v>
      </c>
      <c r="F1021" s="42">
        <f>F1022</f>
        <v>-92.84</v>
      </c>
      <c r="G1021" s="42">
        <f>F1021-E1021</f>
        <v>-92.84</v>
      </c>
      <c r="I1021" s="2"/>
    </row>
    <row r="1022" spans="1:9" x14ac:dyDescent="0.25">
      <c r="A1022" s="3"/>
      <c r="B1022" s="3"/>
      <c r="C1022" s="3" t="s">
        <v>114</v>
      </c>
      <c r="D1022" s="5">
        <v>0</v>
      </c>
      <c r="E1022" s="5">
        <v>0</v>
      </c>
      <c r="F1022" s="5">
        <v>-92.84</v>
      </c>
      <c r="G1022" s="5">
        <f t="shared" ref="G1022" si="541">F1022-E1022</f>
        <v>-92.84</v>
      </c>
      <c r="I1022" s="2"/>
    </row>
    <row r="1023" spans="1:9" x14ac:dyDescent="0.25">
      <c r="A1023" s="41"/>
      <c r="B1023" s="41"/>
      <c r="C1023" s="41" t="s">
        <v>119</v>
      </c>
      <c r="D1023" s="42">
        <f>SUM(D1025:D1026)</f>
        <v>-48923</v>
      </c>
      <c r="E1023" s="42">
        <f>E1024</f>
        <v>-118102.52</v>
      </c>
      <c r="F1023" s="42">
        <f>SUM(F1025:F1026)</f>
        <v>-64040.81</v>
      </c>
      <c r="G1023" s="42">
        <f>F1023-E1023</f>
        <v>54061.710000000006</v>
      </c>
      <c r="I1023" s="2"/>
    </row>
    <row r="1024" spans="1:9" x14ac:dyDescent="0.25">
      <c r="A1024" s="41"/>
      <c r="B1024" s="41"/>
      <c r="C1024" s="3" t="s">
        <v>193</v>
      </c>
      <c r="D1024" s="42">
        <v>0</v>
      </c>
      <c r="E1024" s="5">
        <v>-118102.52</v>
      </c>
      <c r="F1024" s="5">
        <v>0</v>
      </c>
      <c r="G1024" s="5">
        <f t="shared" ref="G1024" si="542">F1024-E1024</f>
        <v>118102.52</v>
      </c>
      <c r="I1024" s="2"/>
    </row>
    <row r="1025" spans="1:9" x14ac:dyDescent="0.25">
      <c r="A1025" s="3"/>
      <c r="B1025" s="3"/>
      <c r="C1025" s="3" t="s">
        <v>52</v>
      </c>
      <c r="D1025" s="5">
        <v>-37672</v>
      </c>
      <c r="E1025" s="5">
        <v>0</v>
      </c>
      <c r="F1025" s="5">
        <v>-41607.43</v>
      </c>
      <c r="G1025" s="5">
        <f t="shared" ref="G1025:G1026" si="543">F1025-E1025</f>
        <v>-41607.43</v>
      </c>
      <c r="I1025" s="2"/>
    </row>
    <row r="1026" spans="1:9" x14ac:dyDescent="0.25">
      <c r="A1026" s="41"/>
      <c r="B1026" s="41"/>
      <c r="C1026" s="3" t="s">
        <v>53</v>
      </c>
      <c r="D1026" s="5">
        <v>-11251</v>
      </c>
      <c r="E1026" s="5">
        <v>0</v>
      </c>
      <c r="F1026" s="5">
        <v>-22433.38</v>
      </c>
      <c r="G1026" s="5">
        <f t="shared" si="543"/>
        <v>-22433.38</v>
      </c>
      <c r="I1026" s="2"/>
    </row>
    <row r="1027" spans="1:9" s="39" customFormat="1" x14ac:dyDescent="0.25">
      <c r="A1027" s="41"/>
      <c r="B1027" s="41"/>
      <c r="C1027" s="41" t="s">
        <v>121</v>
      </c>
      <c r="D1027" s="42">
        <v>-359579</v>
      </c>
      <c r="E1027" s="42">
        <f>D1027</f>
        <v>-359579</v>
      </c>
      <c r="F1027" s="5">
        <v>-379345.98</v>
      </c>
      <c r="G1027" s="42">
        <f>F1027-E1027</f>
        <v>-19766.979999999981</v>
      </c>
      <c r="H1027" s="25"/>
      <c r="I1027" s="2"/>
    </row>
    <row r="1028" spans="1:9" x14ac:dyDescent="0.25">
      <c r="A1028" s="41"/>
      <c r="B1028" s="41" t="s">
        <v>129</v>
      </c>
      <c r="C1028" s="41"/>
      <c r="D1028" s="42">
        <f>SUM(D1030:D1034)</f>
        <v>-12086193</v>
      </c>
      <c r="E1028" s="42">
        <f>SUM(E1029:E1034)</f>
        <v>-11895794.93</v>
      </c>
      <c r="F1028" s="42">
        <f>SUM(F1029:F1035)</f>
        <v>-8444035.3199999984</v>
      </c>
      <c r="G1028" s="42">
        <f>F1028-E1028</f>
        <v>3451759.6100000013</v>
      </c>
      <c r="I1028" s="2"/>
    </row>
    <row r="1029" spans="1:9" x14ac:dyDescent="0.25">
      <c r="A1029" s="41"/>
      <c r="B1029" s="41"/>
      <c r="C1029" s="3" t="s">
        <v>193</v>
      </c>
      <c r="D1029" s="5">
        <v>0</v>
      </c>
      <c r="E1029" s="5">
        <f>E1045+E1052</f>
        <v>-5950127.9299999997</v>
      </c>
      <c r="F1029" s="5">
        <v>0</v>
      </c>
      <c r="G1029" s="5">
        <f t="shared" ref="G1029" si="544">F1029-E1029</f>
        <v>5950127.9299999997</v>
      </c>
      <c r="I1029" s="2"/>
    </row>
    <row r="1030" spans="1:9" x14ac:dyDescent="0.25">
      <c r="A1030" s="3"/>
      <c r="B1030" s="3"/>
      <c r="C1030" s="3" t="s">
        <v>52</v>
      </c>
      <c r="D1030" s="5">
        <f>D1037+D1046</f>
        <v>-808364</v>
      </c>
      <c r="E1030" s="5">
        <f>E1037+E1046</f>
        <v>-901243.38</v>
      </c>
      <c r="F1030" s="5">
        <f>F1037+F1046+F1053</f>
        <v>-863666.28</v>
      </c>
      <c r="G1030" s="5">
        <f t="shared" ref="G1030:G1035" si="545">F1030-E1030</f>
        <v>37577.099999999977</v>
      </c>
      <c r="I1030" s="2"/>
    </row>
    <row r="1031" spans="1:9" x14ac:dyDescent="0.25">
      <c r="A1031" s="3"/>
      <c r="B1031" s="3"/>
      <c r="C1031" s="3" t="s">
        <v>53</v>
      </c>
      <c r="D1031" s="5">
        <f>D1038+D1047</f>
        <v>-169551</v>
      </c>
      <c r="E1031" s="5">
        <f>E1038+E1047</f>
        <v>-182145.35</v>
      </c>
      <c r="F1031" s="5">
        <f>F1038+F1047+F1054</f>
        <v>-180297.40000000002</v>
      </c>
      <c r="G1031" s="5">
        <f t="shared" si="545"/>
        <v>1847.9499999999825</v>
      </c>
      <c r="I1031" s="2"/>
    </row>
    <row r="1032" spans="1:9" x14ac:dyDescent="0.25">
      <c r="A1032" s="3"/>
      <c r="B1032" s="3"/>
      <c r="C1032" s="3" t="s">
        <v>122</v>
      </c>
      <c r="D1032" s="5">
        <v>0</v>
      </c>
      <c r="E1032" s="5">
        <v>0</v>
      </c>
      <c r="F1032" s="5">
        <f>F1048</f>
        <v>-1004745.52</v>
      </c>
      <c r="G1032" s="5">
        <f t="shared" si="545"/>
        <v>-1004745.52</v>
      </c>
      <c r="I1032" s="2"/>
    </row>
    <row r="1033" spans="1:9" x14ac:dyDescent="0.25">
      <c r="A1033" s="3"/>
      <c r="B1033" s="3"/>
      <c r="C1033" s="3" t="s">
        <v>113</v>
      </c>
      <c r="D1033" s="5">
        <f>D1039+D1049</f>
        <v>-10596374</v>
      </c>
      <c r="E1033" s="5">
        <f t="shared" ref="E1033" si="546">E1039+E1049</f>
        <v>-4350374.2699999996</v>
      </c>
      <c r="F1033" s="5">
        <f>F1039+F1049</f>
        <v>-6047754.0499999998</v>
      </c>
      <c r="G1033" s="5">
        <f t="shared" si="545"/>
        <v>-1697379.7800000003</v>
      </c>
      <c r="I1033" s="2"/>
    </row>
    <row r="1034" spans="1:9" x14ac:dyDescent="0.25">
      <c r="A1034" s="3"/>
      <c r="B1034" s="3"/>
      <c r="C1034" s="3" t="s">
        <v>114</v>
      </c>
      <c r="D1034" s="5">
        <f>D1055</f>
        <v>-511904</v>
      </c>
      <c r="E1034" s="5">
        <f>E1055</f>
        <v>-511904</v>
      </c>
      <c r="F1034" s="5">
        <f>F1055+F1040+F1042+F1050</f>
        <v>-329807.94999999995</v>
      </c>
      <c r="G1034" s="5">
        <f t="shared" si="545"/>
        <v>182096.05000000005</v>
      </c>
      <c r="I1034" s="2"/>
    </row>
    <row r="1035" spans="1:9" x14ac:dyDescent="0.25">
      <c r="A1035" s="3"/>
      <c r="B1035" s="3"/>
      <c r="C1035" s="3" t="s">
        <v>30</v>
      </c>
      <c r="D1035" s="5"/>
      <c r="E1035" s="5"/>
      <c r="F1035" s="5">
        <f>F1043</f>
        <v>-17764.12</v>
      </c>
      <c r="G1035" s="5">
        <f t="shared" si="545"/>
        <v>-17764.12</v>
      </c>
      <c r="I1035" s="2"/>
    </row>
    <row r="1036" spans="1:9" x14ac:dyDescent="0.25">
      <c r="A1036" s="41"/>
      <c r="B1036" s="41"/>
      <c r="C1036" s="41" t="s">
        <v>117</v>
      </c>
      <c r="D1036" s="42">
        <f>SUM(D1037:D1039)</f>
        <v>-784289</v>
      </c>
      <c r="E1036" s="42">
        <f t="shared" ref="E1036" si="547">SUM(E1037:E1039)</f>
        <v>-5433763</v>
      </c>
      <c r="F1036" s="42">
        <f>SUM(F1037:F1040)</f>
        <v>-2157175.5300000003</v>
      </c>
      <c r="G1036" s="42">
        <f>F1036-E1036</f>
        <v>3276587.4699999997</v>
      </c>
      <c r="I1036" s="2"/>
    </row>
    <row r="1037" spans="1:9" x14ac:dyDescent="0.25">
      <c r="A1037" s="3"/>
      <c r="B1037" s="3"/>
      <c r="C1037" s="3" t="s">
        <v>52</v>
      </c>
      <c r="D1037" s="5">
        <v>-642980</v>
      </c>
      <c r="E1037" s="5">
        <v>-901243.38</v>
      </c>
      <c r="F1037" s="5">
        <f>-686199.8</f>
        <v>-686199.8</v>
      </c>
      <c r="G1037" s="5">
        <f t="shared" ref="G1037:G1040" si="548">F1037-E1037</f>
        <v>215043.57999999996</v>
      </c>
      <c r="I1037" s="2"/>
    </row>
    <row r="1038" spans="1:9" x14ac:dyDescent="0.25">
      <c r="A1038" s="3"/>
      <c r="B1038" s="3"/>
      <c r="C1038" s="3" t="s">
        <v>53</v>
      </c>
      <c r="D1038" s="5">
        <v>-140935</v>
      </c>
      <c r="E1038" s="5">
        <f>-182112.04-33.31</f>
        <v>-182145.35</v>
      </c>
      <c r="F1038" s="5">
        <f>-114745.38</f>
        <v>-114745.38</v>
      </c>
      <c r="G1038" s="5">
        <f t="shared" si="548"/>
        <v>67399.97</v>
      </c>
      <c r="I1038" s="2"/>
    </row>
    <row r="1039" spans="1:9" x14ac:dyDescent="0.25">
      <c r="A1039" s="3"/>
      <c r="B1039" s="3"/>
      <c r="C1039" s="3" t="s">
        <v>113</v>
      </c>
      <c r="D1039" s="5">
        <v>-374</v>
      </c>
      <c r="E1039" s="5">
        <v>-4350374.2699999996</v>
      </c>
      <c r="F1039" s="5">
        <v>-1355427.38</v>
      </c>
      <c r="G1039" s="5">
        <f t="shared" si="548"/>
        <v>2994946.8899999997</v>
      </c>
      <c r="I1039" s="2"/>
    </row>
    <row r="1040" spans="1:9" x14ac:dyDescent="0.25">
      <c r="A1040" s="3"/>
      <c r="B1040" s="3"/>
      <c r="C1040" s="3" t="s">
        <v>54</v>
      </c>
      <c r="D1040" s="5">
        <v>0</v>
      </c>
      <c r="E1040" s="5">
        <v>0</v>
      </c>
      <c r="F1040" s="5">
        <v>-802.97</v>
      </c>
      <c r="G1040" s="5">
        <f t="shared" si="548"/>
        <v>-802.97</v>
      </c>
      <c r="I1040" s="2"/>
    </row>
    <row r="1041" spans="1:9" x14ac:dyDescent="0.25">
      <c r="A1041" s="3"/>
      <c r="B1041" s="3"/>
      <c r="C1041" s="41" t="s">
        <v>118</v>
      </c>
      <c r="D1041" s="42">
        <f>SUM(D1042:D1043)</f>
        <v>0</v>
      </c>
      <c r="E1041" s="42">
        <f t="shared" ref="E1041:F1041" si="549">SUM(E1042:E1043)</f>
        <v>0</v>
      </c>
      <c r="F1041" s="42">
        <f t="shared" si="549"/>
        <v>-17750.189999999999</v>
      </c>
      <c r="G1041" s="42">
        <f>F1041-E1041</f>
        <v>-17750.189999999999</v>
      </c>
      <c r="I1041" s="2"/>
    </row>
    <row r="1042" spans="1:9" x14ac:dyDescent="0.25">
      <c r="A1042" s="3"/>
      <c r="B1042" s="3"/>
      <c r="C1042" s="3" t="s">
        <v>114</v>
      </c>
      <c r="D1042" s="5">
        <v>0</v>
      </c>
      <c r="E1042" s="5">
        <v>0</v>
      </c>
      <c r="F1042" s="5">
        <v>13.93</v>
      </c>
      <c r="G1042" s="5">
        <f t="shared" ref="G1042:G1043" si="550">F1042-E1042</f>
        <v>13.93</v>
      </c>
      <c r="I1042" s="2"/>
    </row>
    <row r="1043" spans="1:9" x14ac:dyDescent="0.25">
      <c r="A1043" s="3"/>
      <c r="B1043" s="3"/>
      <c r="C1043" s="3" t="s">
        <v>30</v>
      </c>
      <c r="D1043" s="5">
        <v>0</v>
      </c>
      <c r="E1043" s="5">
        <v>0</v>
      </c>
      <c r="F1043" s="5">
        <v>-17764.12</v>
      </c>
      <c r="G1043" s="5">
        <f t="shared" si="550"/>
        <v>-17764.12</v>
      </c>
      <c r="I1043" s="2"/>
    </row>
    <row r="1044" spans="1:9" x14ac:dyDescent="0.25">
      <c r="A1044" s="41"/>
      <c r="B1044" s="41"/>
      <c r="C1044" s="41" t="s">
        <v>119</v>
      </c>
      <c r="D1044" s="42">
        <f>SUM(D1046:D1049)</f>
        <v>-10790000</v>
      </c>
      <c r="E1044" s="42">
        <f>E1045</f>
        <v>-5949597.5599999996</v>
      </c>
      <c r="F1044" s="42">
        <f>SUM(F1046:F1050)</f>
        <v>-5939570.6000000006</v>
      </c>
      <c r="G1044" s="42">
        <f>F1044-E1044</f>
        <v>10026.959999999031</v>
      </c>
      <c r="I1044" s="2"/>
    </row>
    <row r="1045" spans="1:9" x14ac:dyDescent="0.25">
      <c r="A1045" s="41"/>
      <c r="B1045" s="41"/>
      <c r="C1045" s="3" t="s">
        <v>193</v>
      </c>
      <c r="D1045" s="42">
        <v>0</v>
      </c>
      <c r="E1045" s="5">
        <v>-5949597.5599999996</v>
      </c>
      <c r="F1045" s="5">
        <v>0</v>
      </c>
      <c r="G1045" s="5">
        <f t="shared" ref="G1045" si="551">F1045-E1045</f>
        <v>5949597.5599999996</v>
      </c>
      <c r="I1045" s="2"/>
    </row>
    <row r="1046" spans="1:9" x14ac:dyDescent="0.25">
      <c r="A1046" s="3"/>
      <c r="B1046" s="3"/>
      <c r="C1046" s="3" t="s">
        <v>52</v>
      </c>
      <c r="D1046" s="5">
        <v>-165384</v>
      </c>
      <c r="E1046" s="5">
        <v>0</v>
      </c>
      <c r="F1046" s="5">
        <v>-177195.27</v>
      </c>
      <c r="G1046" s="5">
        <f t="shared" ref="G1046:G1048" si="552">F1046-E1046</f>
        <v>-177195.27</v>
      </c>
      <c r="I1046" s="2"/>
    </row>
    <row r="1047" spans="1:9" x14ac:dyDescent="0.25">
      <c r="A1047" s="41"/>
      <c r="B1047" s="41"/>
      <c r="C1047" s="3" t="s">
        <v>53</v>
      </c>
      <c r="D1047" s="5">
        <v>-28616</v>
      </c>
      <c r="E1047" s="5">
        <v>0</v>
      </c>
      <c r="F1047" s="5">
        <v>-65292.85</v>
      </c>
      <c r="G1047" s="5">
        <f t="shared" si="552"/>
        <v>-65292.85</v>
      </c>
      <c r="I1047" s="2"/>
    </row>
    <row r="1048" spans="1:9" x14ac:dyDescent="0.25">
      <c r="A1048" s="41"/>
      <c r="B1048" s="41"/>
      <c r="C1048" s="3" t="s">
        <v>122</v>
      </c>
      <c r="D1048" s="5">
        <v>0</v>
      </c>
      <c r="E1048" s="5">
        <v>0</v>
      </c>
      <c r="F1048" s="5">
        <v>-1004745.52</v>
      </c>
      <c r="G1048" s="5">
        <f t="shared" si="552"/>
        <v>-1004745.52</v>
      </c>
      <c r="I1048" s="2"/>
    </row>
    <row r="1049" spans="1:9" x14ac:dyDescent="0.25">
      <c r="A1049" s="41"/>
      <c r="B1049" s="41"/>
      <c r="C1049" s="3" t="s">
        <v>113</v>
      </c>
      <c r="D1049" s="5">
        <f>-7378703-3217297</f>
        <v>-10596000</v>
      </c>
      <c r="E1049" s="5">
        <v>0</v>
      </c>
      <c r="F1049" s="5">
        <v>-4692326.67</v>
      </c>
      <c r="G1049" s="5">
        <f t="shared" ref="G1049:G1050" si="553">F1049-E1049</f>
        <v>-4692326.67</v>
      </c>
      <c r="I1049" s="2"/>
    </row>
    <row r="1050" spans="1:9" x14ac:dyDescent="0.25">
      <c r="A1050" s="41"/>
      <c r="B1050" s="41"/>
      <c r="C1050" s="3" t="s">
        <v>54</v>
      </c>
      <c r="D1050" s="5">
        <v>0</v>
      </c>
      <c r="E1050" s="5">
        <v>0</v>
      </c>
      <c r="F1050" s="5">
        <v>-10.29</v>
      </c>
      <c r="G1050" s="5">
        <f t="shared" si="553"/>
        <v>-10.29</v>
      </c>
      <c r="I1050" s="2"/>
    </row>
    <row r="1051" spans="1:9" x14ac:dyDescent="0.25">
      <c r="A1051" s="41"/>
      <c r="B1051" s="41"/>
      <c r="C1051" s="41" t="s">
        <v>120</v>
      </c>
      <c r="D1051" s="42">
        <f>SUM(D1052:D1053)</f>
        <v>0</v>
      </c>
      <c r="E1051" s="42">
        <f>SUM(E1052:E1054)</f>
        <v>-530.37</v>
      </c>
      <c r="F1051" s="42">
        <f>SUM(F1052:F1054)</f>
        <v>-530.38</v>
      </c>
      <c r="G1051" s="42">
        <f>F1051-E1051</f>
        <v>-9.9999999999909051E-3</v>
      </c>
      <c r="I1051" s="2"/>
    </row>
    <row r="1052" spans="1:9" x14ac:dyDescent="0.25">
      <c r="A1052" s="41"/>
      <c r="B1052" s="41"/>
      <c r="C1052" s="3" t="s">
        <v>193</v>
      </c>
      <c r="D1052" s="5">
        <v>0</v>
      </c>
      <c r="E1052" s="5">
        <v>-530.37</v>
      </c>
      <c r="F1052" s="5">
        <v>0</v>
      </c>
      <c r="G1052" s="5">
        <f t="shared" ref="G1052:G1054" si="554">F1052-E1052</f>
        <v>530.37</v>
      </c>
      <c r="I1052" s="2"/>
    </row>
    <row r="1053" spans="1:9" x14ac:dyDescent="0.25">
      <c r="A1053" s="41"/>
      <c r="B1053" s="41"/>
      <c r="C1053" s="3" t="s">
        <v>52</v>
      </c>
      <c r="D1053" s="5">
        <v>0</v>
      </c>
      <c r="E1053" s="5">
        <v>0</v>
      </c>
      <c r="F1053" s="5">
        <v>-271.20999999999998</v>
      </c>
      <c r="G1053" s="5">
        <f t="shared" si="554"/>
        <v>-271.20999999999998</v>
      </c>
      <c r="I1053" s="2"/>
    </row>
    <row r="1054" spans="1:9" x14ac:dyDescent="0.25">
      <c r="A1054" s="41"/>
      <c r="B1054" s="41"/>
      <c r="C1054" s="3" t="s">
        <v>53</v>
      </c>
      <c r="D1054" s="5">
        <v>0</v>
      </c>
      <c r="E1054" s="5">
        <v>0</v>
      </c>
      <c r="F1054" s="5">
        <v>-259.17</v>
      </c>
      <c r="G1054" s="5">
        <f t="shared" si="554"/>
        <v>-259.17</v>
      </c>
      <c r="I1054" s="2"/>
    </row>
    <row r="1055" spans="1:9" s="39" customFormat="1" x14ac:dyDescent="0.25">
      <c r="A1055" s="41"/>
      <c r="B1055" s="41"/>
      <c r="C1055" s="41" t="s">
        <v>121</v>
      </c>
      <c r="D1055" s="42">
        <v>-511904</v>
      </c>
      <c r="E1055" s="42">
        <f>D1055</f>
        <v>-511904</v>
      </c>
      <c r="F1055" s="5">
        <v>-329008.62</v>
      </c>
      <c r="G1055" s="42">
        <f>F1055-E1055</f>
        <v>182895.38</v>
      </c>
      <c r="H1055" s="25"/>
      <c r="I1055" s="2"/>
    </row>
    <row r="1056" spans="1:9" x14ac:dyDescent="0.25">
      <c r="A1056" s="41"/>
      <c r="B1056" s="41" t="s">
        <v>196</v>
      </c>
      <c r="C1056" s="41"/>
      <c r="D1056" s="42">
        <f>SUM(D1058:D1061)</f>
        <v>-2560438</v>
      </c>
      <c r="E1056" s="42">
        <f>SUM(E1057:E1061)</f>
        <v>-4434933.09</v>
      </c>
      <c r="F1056" s="42">
        <f>SUM(F1058:F1061)</f>
        <v>-3400276.5200000005</v>
      </c>
      <c r="G1056" s="42">
        <f>F1056-E1056</f>
        <v>1034656.5699999994</v>
      </c>
      <c r="I1056" s="2"/>
    </row>
    <row r="1057" spans="1:9" x14ac:dyDescent="0.25">
      <c r="A1057" s="41"/>
      <c r="B1057" s="41"/>
      <c r="C1057" s="3" t="s">
        <v>193</v>
      </c>
      <c r="D1057" s="5"/>
      <c r="E1057" s="5">
        <f>E1069+E1074</f>
        <v>-2047125.54</v>
      </c>
      <c r="F1057" s="5"/>
      <c r="G1057" s="5">
        <f t="shared" ref="G1057" si="555">F1057-E1057</f>
        <v>2047125.54</v>
      </c>
      <c r="I1057" s="2"/>
    </row>
    <row r="1058" spans="1:9" x14ac:dyDescent="0.25">
      <c r="A1058" s="3"/>
      <c r="B1058" s="3"/>
      <c r="C1058" s="3" t="s">
        <v>52</v>
      </c>
      <c r="D1058" s="5">
        <f>D1063+D1070+D1075</f>
        <v>-1496444</v>
      </c>
      <c r="E1058" s="5">
        <f t="shared" ref="E1058:F1058" si="556">E1063+E1070+E1075</f>
        <v>-1039067.39</v>
      </c>
      <c r="F1058" s="5">
        <f t="shared" si="556"/>
        <v>-1560062.66</v>
      </c>
      <c r="G1058" s="5">
        <f t="shared" ref="G1058:G1061" si="557">F1058-E1058</f>
        <v>-520995.2699999999</v>
      </c>
      <c r="I1058" s="2"/>
    </row>
    <row r="1059" spans="1:9" x14ac:dyDescent="0.25">
      <c r="A1059" s="3"/>
      <c r="B1059" s="3"/>
      <c r="C1059" s="3" t="s">
        <v>53</v>
      </c>
      <c r="D1059" s="5">
        <f>D1064+D1071+D1076</f>
        <v>-1005498</v>
      </c>
      <c r="E1059" s="5">
        <f t="shared" ref="E1059:F1059" si="558">E1064+E1071+E1076</f>
        <v>-1290244.1600000001</v>
      </c>
      <c r="F1059" s="5">
        <f t="shared" si="558"/>
        <v>-1566845.58</v>
      </c>
      <c r="G1059" s="5">
        <f t="shared" si="557"/>
        <v>-276601.41999999993</v>
      </c>
      <c r="I1059" s="2"/>
    </row>
    <row r="1060" spans="1:9" x14ac:dyDescent="0.25">
      <c r="A1060" s="3"/>
      <c r="B1060" s="3"/>
      <c r="C1060" s="3" t="s">
        <v>113</v>
      </c>
      <c r="D1060" s="5">
        <v>0</v>
      </c>
      <c r="E1060" s="5">
        <v>0</v>
      </c>
      <c r="F1060" s="5">
        <f>F1072</f>
        <v>-199585.03000000003</v>
      </c>
      <c r="G1060" s="5">
        <f t="shared" si="557"/>
        <v>-199585.03000000003</v>
      </c>
      <c r="I1060" s="2"/>
    </row>
    <row r="1061" spans="1:9" x14ac:dyDescent="0.25">
      <c r="A1061" s="3"/>
      <c r="B1061" s="3"/>
      <c r="C1061" s="3" t="s">
        <v>114</v>
      </c>
      <c r="D1061" s="5">
        <f>D1078</f>
        <v>-58496</v>
      </c>
      <c r="E1061" s="5">
        <f t="shared" ref="E1061" si="559">E1078</f>
        <v>-58496</v>
      </c>
      <c r="F1061" s="5">
        <f>F1078+F1065+F1067+F1077</f>
        <v>-73783.25</v>
      </c>
      <c r="G1061" s="5">
        <f t="shared" si="557"/>
        <v>-15287.25</v>
      </c>
      <c r="I1061" s="2"/>
    </row>
    <row r="1062" spans="1:9" x14ac:dyDescent="0.25">
      <c r="A1062" s="41"/>
      <c r="B1062" s="41"/>
      <c r="C1062" s="41" t="s">
        <v>117</v>
      </c>
      <c r="D1062" s="42">
        <f>SUM(D1063:D1064)</f>
        <v>-1129443</v>
      </c>
      <c r="E1062" s="42">
        <f>SUM(E1063:E1064)</f>
        <v>-2329311.5500000003</v>
      </c>
      <c r="F1062" s="42">
        <f>SUM(F1063:F1065)</f>
        <v>-1756211.1700000002</v>
      </c>
      <c r="G1062" s="42">
        <f>F1062-E1062</f>
        <v>573100.38000000012</v>
      </c>
      <c r="I1062" s="2"/>
    </row>
    <row r="1063" spans="1:9" x14ac:dyDescent="0.25">
      <c r="A1063" s="3"/>
      <c r="B1063" s="3"/>
      <c r="C1063" s="3" t="s">
        <v>52</v>
      </c>
      <c r="D1063" s="5">
        <v>-641797</v>
      </c>
      <c r="E1063" s="5">
        <v>-1039067.39</v>
      </c>
      <c r="F1063" s="5">
        <v>-758168.77</v>
      </c>
      <c r="G1063" s="5">
        <f t="shared" ref="G1063:G1065" si="560">F1063-E1063</f>
        <v>280898.62</v>
      </c>
      <c r="I1063" s="2"/>
    </row>
    <row r="1064" spans="1:9" x14ac:dyDescent="0.25">
      <c r="A1064" s="3"/>
      <c r="B1064" s="3"/>
      <c r="C1064" s="3" t="s">
        <v>53</v>
      </c>
      <c r="D1064" s="5">
        <v>-487646</v>
      </c>
      <c r="E1064" s="5">
        <f>-1283523.06-6721.1</f>
        <v>-1290244.1600000001</v>
      </c>
      <c r="F1064" s="5">
        <v>-997429.81</v>
      </c>
      <c r="G1064" s="5">
        <f t="shared" si="560"/>
        <v>292814.35000000009</v>
      </c>
      <c r="I1064" s="2"/>
    </row>
    <row r="1065" spans="1:9" x14ac:dyDescent="0.25">
      <c r="A1065" s="3"/>
      <c r="B1065" s="3"/>
      <c r="C1065" s="3" t="s">
        <v>54</v>
      </c>
      <c r="D1065" s="5">
        <v>0</v>
      </c>
      <c r="E1065" s="5">
        <v>0</v>
      </c>
      <c r="F1065" s="5">
        <v>-612.59</v>
      </c>
      <c r="G1065" s="5">
        <f t="shared" si="560"/>
        <v>-612.59</v>
      </c>
      <c r="I1065" s="2"/>
    </row>
    <row r="1066" spans="1:9" x14ac:dyDescent="0.25">
      <c r="A1066" s="3"/>
      <c r="B1066" s="3"/>
      <c r="C1066" s="41" t="s">
        <v>118</v>
      </c>
      <c r="D1066" s="42">
        <v>0</v>
      </c>
      <c r="E1066" s="42">
        <v>0</v>
      </c>
      <c r="F1066" s="42">
        <f>F1067</f>
        <v>-16.8</v>
      </c>
      <c r="G1066" s="42">
        <f>F1066-E1066</f>
        <v>-16.8</v>
      </c>
      <c r="I1066" s="2"/>
    </row>
    <row r="1067" spans="1:9" x14ac:dyDescent="0.25">
      <c r="A1067" s="3"/>
      <c r="B1067" s="3"/>
      <c r="C1067" s="3" t="s">
        <v>114</v>
      </c>
      <c r="D1067" s="5">
        <v>0</v>
      </c>
      <c r="E1067" s="5">
        <v>0</v>
      </c>
      <c r="F1067" s="5">
        <v>-16.8</v>
      </c>
      <c r="G1067" s="5">
        <f t="shared" ref="G1067" si="561">F1067-E1067</f>
        <v>-16.8</v>
      </c>
      <c r="I1067" s="2"/>
    </row>
    <row r="1068" spans="1:9" x14ac:dyDescent="0.25">
      <c r="A1068" s="41"/>
      <c r="B1068" s="41"/>
      <c r="C1068" s="41" t="s">
        <v>119</v>
      </c>
      <c r="D1068" s="42">
        <f>SUM(D1070:D1071)</f>
        <v>-794148</v>
      </c>
      <c r="E1068" s="42">
        <f>E1069</f>
        <v>-1222127.3700000001</v>
      </c>
      <c r="F1068" s="42">
        <f>SUM(F1070:F1072)</f>
        <v>-1042562.71</v>
      </c>
      <c r="G1068" s="42">
        <f>F1068-E1068</f>
        <v>179564.66000000015</v>
      </c>
      <c r="I1068" s="2"/>
    </row>
    <row r="1069" spans="1:9" x14ac:dyDescent="0.25">
      <c r="A1069" s="41"/>
      <c r="B1069" s="41"/>
      <c r="C1069" s="3" t="s">
        <v>193</v>
      </c>
      <c r="D1069" s="5">
        <v>0</v>
      </c>
      <c r="E1069" s="5">
        <v>-1222127.3700000001</v>
      </c>
      <c r="F1069" s="5"/>
      <c r="G1069" s="5">
        <f t="shared" ref="G1069" si="562">F1069-E1069</f>
        <v>1222127.3700000001</v>
      </c>
      <c r="I1069" s="2"/>
    </row>
    <row r="1070" spans="1:9" x14ac:dyDescent="0.25">
      <c r="A1070" s="3"/>
      <c r="B1070" s="3"/>
      <c r="C1070" s="3" t="s">
        <v>52</v>
      </c>
      <c r="D1070" s="5">
        <v>-363969</v>
      </c>
      <c r="E1070" s="5">
        <v>0</v>
      </c>
      <c r="F1070" s="5">
        <v>-354785.88</v>
      </c>
      <c r="G1070" s="5">
        <f t="shared" ref="G1070:G1072" si="563">F1070-E1070</f>
        <v>-354785.88</v>
      </c>
      <c r="I1070" s="2"/>
    </row>
    <row r="1071" spans="1:9" x14ac:dyDescent="0.25">
      <c r="A1071" s="41"/>
      <c r="B1071" s="41"/>
      <c r="C1071" s="3" t="s">
        <v>53</v>
      </c>
      <c r="D1071" s="5">
        <v>-430179</v>
      </c>
      <c r="E1071" s="5">
        <v>0</v>
      </c>
      <c r="F1071" s="5">
        <v>-488191.8</v>
      </c>
      <c r="G1071" s="5">
        <f t="shared" si="563"/>
        <v>-488191.8</v>
      </c>
      <c r="I1071" s="2"/>
    </row>
    <row r="1072" spans="1:9" x14ac:dyDescent="0.25">
      <c r="A1072" s="41"/>
      <c r="B1072" s="41"/>
      <c r="C1072" s="3" t="s">
        <v>113</v>
      </c>
      <c r="D1072" s="5">
        <v>0</v>
      </c>
      <c r="E1072" s="5">
        <v>0</v>
      </c>
      <c r="F1072" s="5">
        <v>-199585.03000000003</v>
      </c>
      <c r="G1072" s="5">
        <f t="shared" si="563"/>
        <v>-199585.03000000003</v>
      </c>
      <c r="I1072" s="2"/>
    </row>
    <row r="1073" spans="1:9" x14ac:dyDescent="0.25">
      <c r="A1073" s="41"/>
      <c r="B1073" s="41"/>
      <c r="C1073" s="41" t="s">
        <v>120</v>
      </c>
      <c r="D1073" s="42">
        <f>SUM(D1075:D1076)</f>
        <v>-578351</v>
      </c>
      <c r="E1073" s="42">
        <f>E1074</f>
        <v>-824998.17</v>
      </c>
      <c r="F1073" s="42">
        <f>SUM(F1075:F1077)</f>
        <v>-528337.26</v>
      </c>
      <c r="G1073" s="42">
        <f>F1073-E1073</f>
        <v>296660.91000000003</v>
      </c>
      <c r="I1073" s="2"/>
    </row>
    <row r="1074" spans="1:9" x14ac:dyDescent="0.25">
      <c r="A1074" s="41"/>
      <c r="B1074" s="41"/>
      <c r="C1074" s="3" t="s">
        <v>193</v>
      </c>
      <c r="D1074" s="5">
        <v>0</v>
      </c>
      <c r="E1074" s="5">
        <v>-824998.17</v>
      </c>
      <c r="F1074" s="5"/>
      <c r="G1074" s="5">
        <f t="shared" ref="G1074" si="564">F1074-E1074</f>
        <v>824998.17</v>
      </c>
      <c r="I1074" s="2"/>
    </row>
    <row r="1075" spans="1:9" x14ac:dyDescent="0.25">
      <c r="A1075" s="3"/>
      <c r="B1075" s="3"/>
      <c r="C1075" s="3" t="s">
        <v>52</v>
      </c>
      <c r="D1075" s="5">
        <v>-490678</v>
      </c>
      <c r="E1075" s="5">
        <v>0</v>
      </c>
      <c r="F1075" s="5">
        <v>-447108.01</v>
      </c>
      <c r="G1075" s="5">
        <f t="shared" ref="G1075:G1077" si="565">F1075-E1075</f>
        <v>-447108.01</v>
      </c>
      <c r="I1075" s="2"/>
    </row>
    <row r="1076" spans="1:9" x14ac:dyDescent="0.25">
      <c r="A1076" s="41"/>
      <c r="B1076" s="41"/>
      <c r="C1076" s="3" t="s">
        <v>53</v>
      </c>
      <c r="D1076" s="5">
        <v>-87673</v>
      </c>
      <c r="E1076" s="5">
        <v>0</v>
      </c>
      <c r="F1076" s="5">
        <v>-81223.97</v>
      </c>
      <c r="G1076" s="5">
        <f t="shared" si="565"/>
        <v>-81223.97</v>
      </c>
      <c r="I1076" s="2"/>
    </row>
    <row r="1077" spans="1:9" x14ac:dyDescent="0.25">
      <c r="A1077" s="41"/>
      <c r="B1077" s="41"/>
      <c r="C1077" s="3" t="s">
        <v>54</v>
      </c>
      <c r="D1077" s="5">
        <v>0</v>
      </c>
      <c r="E1077" s="5">
        <v>0</v>
      </c>
      <c r="F1077" s="5">
        <v>-5.28</v>
      </c>
      <c r="G1077" s="5">
        <f t="shared" si="565"/>
        <v>-5.28</v>
      </c>
      <c r="I1077" s="2"/>
    </row>
    <row r="1078" spans="1:9" s="39" customFormat="1" x14ac:dyDescent="0.25">
      <c r="A1078" s="41"/>
      <c r="B1078" s="41"/>
      <c r="C1078" s="41" t="s">
        <v>121</v>
      </c>
      <c r="D1078" s="42">
        <v>-58496</v>
      </c>
      <c r="E1078" s="42">
        <f>D1078</f>
        <v>-58496</v>
      </c>
      <c r="F1078" s="5">
        <v>-73148.58</v>
      </c>
      <c r="G1078" s="42">
        <f>F1078-E1078</f>
        <v>-14652.580000000002</v>
      </c>
      <c r="H1078" s="25"/>
      <c r="I1078" s="2"/>
    </row>
    <row r="1079" spans="1:9" x14ac:dyDescent="0.25">
      <c r="A1079" s="41"/>
      <c r="B1079" s="41" t="s">
        <v>130</v>
      </c>
      <c r="C1079" s="41"/>
      <c r="D1079" s="42">
        <f>SUM(D1081:D1084)</f>
        <v>-1105854</v>
      </c>
      <c r="E1079" s="42">
        <f>SUM(E1080:E1084)</f>
        <v>-1671425.27</v>
      </c>
      <c r="F1079" s="42">
        <f>SUM(F1081:F1084)</f>
        <v>-1553206.0699999998</v>
      </c>
      <c r="G1079" s="42">
        <f>F1079-E1079</f>
        <v>118219.20000000019</v>
      </c>
      <c r="I1079" s="2"/>
    </row>
    <row r="1080" spans="1:9" x14ac:dyDescent="0.25">
      <c r="A1080" s="41"/>
      <c r="B1080" s="41"/>
      <c r="C1080" s="3" t="s">
        <v>193</v>
      </c>
      <c r="D1080" s="5">
        <v>0</v>
      </c>
      <c r="E1080" s="5">
        <f>E1092+E1096</f>
        <v>-656083.72</v>
      </c>
      <c r="F1080" s="5">
        <v>0</v>
      </c>
      <c r="G1080" s="5">
        <f t="shared" ref="G1080" si="566">F1080-E1080</f>
        <v>656083.72</v>
      </c>
      <c r="I1080" s="2"/>
    </row>
    <row r="1081" spans="1:9" x14ac:dyDescent="0.25">
      <c r="A1081" s="3"/>
      <c r="B1081" s="3"/>
      <c r="C1081" s="3" t="s">
        <v>52</v>
      </c>
      <c r="D1081" s="5">
        <f>D1086+D1097</f>
        <v>-719321</v>
      </c>
      <c r="E1081" s="5">
        <f>E1086+E1097</f>
        <v>-693402</v>
      </c>
      <c r="F1081" s="5">
        <f>F1086+F1097+F1093</f>
        <v>-1181995.6199999999</v>
      </c>
      <c r="G1081" s="5">
        <f t="shared" ref="G1081:G1084" si="567">F1081-E1081</f>
        <v>-488593.61999999988</v>
      </c>
      <c r="I1081" s="2"/>
    </row>
    <row r="1082" spans="1:9" x14ac:dyDescent="0.25">
      <c r="A1082" s="3"/>
      <c r="B1082" s="3"/>
      <c r="C1082" s="3" t="s">
        <v>53</v>
      </c>
      <c r="D1082" s="5">
        <f>D1087+D1098</f>
        <v>-302382</v>
      </c>
      <c r="E1082" s="5">
        <f>E1087+E1098</f>
        <v>-237919.24000000002</v>
      </c>
      <c r="F1082" s="5">
        <f>F1087+F1098+F1094</f>
        <v>-241817.91999999998</v>
      </c>
      <c r="G1082" s="5">
        <f t="shared" si="567"/>
        <v>-3898.6799999999639</v>
      </c>
      <c r="I1082" s="2"/>
    </row>
    <row r="1083" spans="1:9" x14ac:dyDescent="0.25">
      <c r="A1083" s="3"/>
      <c r="B1083" s="3"/>
      <c r="C1083" s="3" t="s">
        <v>113</v>
      </c>
      <c r="D1083" s="5">
        <f>D1088</f>
        <v>-1100</v>
      </c>
      <c r="E1083" s="5">
        <f t="shared" ref="E1083:F1083" si="568">E1088</f>
        <v>-969.31</v>
      </c>
      <c r="F1083" s="5">
        <f t="shared" si="568"/>
        <v>-969.31000000000006</v>
      </c>
      <c r="G1083" s="5">
        <f t="shared" si="567"/>
        <v>0</v>
      </c>
      <c r="I1083" s="2"/>
    </row>
    <row r="1084" spans="1:9" x14ac:dyDescent="0.25">
      <c r="A1084" s="3"/>
      <c r="B1084" s="3"/>
      <c r="C1084" s="3" t="s">
        <v>114</v>
      </c>
      <c r="D1084" s="5">
        <f>D1100</f>
        <v>-83051</v>
      </c>
      <c r="E1084" s="5">
        <f t="shared" ref="E1084" si="569">E1100</f>
        <v>-83051</v>
      </c>
      <c r="F1084" s="5">
        <f>F1100+F1090+F1099</f>
        <v>-128423.22</v>
      </c>
      <c r="G1084" s="5">
        <f t="shared" si="567"/>
        <v>-45372.22</v>
      </c>
      <c r="I1084" s="2"/>
    </row>
    <row r="1085" spans="1:9" x14ac:dyDescent="0.25">
      <c r="A1085" s="41"/>
      <c r="B1085" s="41"/>
      <c r="C1085" s="41" t="s">
        <v>117</v>
      </c>
      <c r="D1085" s="42">
        <f>SUM(D1086:D1088)</f>
        <v>-849975</v>
      </c>
      <c r="E1085" s="42">
        <f t="shared" ref="E1085:F1085" si="570">SUM(E1086:E1088)</f>
        <v>-932290.55</v>
      </c>
      <c r="F1085" s="42">
        <f t="shared" si="570"/>
        <v>-930896.96</v>
      </c>
      <c r="G1085" s="42">
        <f>F1085-E1085</f>
        <v>1393.5900000000838</v>
      </c>
      <c r="I1085" s="2"/>
    </row>
    <row r="1086" spans="1:9" x14ac:dyDescent="0.25">
      <c r="A1086" s="3"/>
      <c r="B1086" s="3"/>
      <c r="C1086" s="3" t="s">
        <v>52</v>
      </c>
      <c r="D1086" s="5">
        <v>-650259</v>
      </c>
      <c r="E1086" s="5">
        <v>-693402</v>
      </c>
      <c r="F1086" s="5">
        <v>-693369.32</v>
      </c>
      <c r="G1086" s="5">
        <f t="shared" ref="G1086:G1087" si="571">F1086-E1086</f>
        <v>32.680000000051223</v>
      </c>
      <c r="I1086" s="2"/>
    </row>
    <row r="1087" spans="1:9" x14ac:dyDescent="0.25">
      <c r="A1087" s="3"/>
      <c r="B1087" s="3"/>
      <c r="C1087" s="3" t="s">
        <v>53</v>
      </c>
      <c r="D1087" s="5">
        <v>-198616</v>
      </c>
      <c r="E1087" s="5">
        <f>-237473.29-445.95</f>
        <v>-237919.24000000002</v>
      </c>
      <c r="F1087" s="5">
        <v>-236558.33</v>
      </c>
      <c r="G1087" s="5">
        <f t="shared" si="571"/>
        <v>1360.9100000000326</v>
      </c>
      <c r="I1087" s="2"/>
    </row>
    <row r="1088" spans="1:9" x14ac:dyDescent="0.25">
      <c r="A1088" s="3"/>
      <c r="B1088" s="3"/>
      <c r="C1088" s="3" t="s">
        <v>113</v>
      </c>
      <c r="D1088" s="5">
        <v>-1100</v>
      </c>
      <c r="E1088" s="5">
        <v>-969.31</v>
      </c>
      <c r="F1088" s="5">
        <v>-969.31000000000006</v>
      </c>
      <c r="G1088" s="5">
        <f t="shared" ref="G1088" si="572">F1088-E1088</f>
        <v>0</v>
      </c>
      <c r="I1088" s="2"/>
    </row>
    <row r="1089" spans="1:9" x14ac:dyDescent="0.25">
      <c r="A1089" s="3"/>
      <c r="B1089" s="3"/>
      <c r="C1089" s="41" t="s">
        <v>118</v>
      </c>
      <c r="D1089" s="42">
        <v>0</v>
      </c>
      <c r="E1089" s="42">
        <v>0</v>
      </c>
      <c r="F1089" s="42">
        <f>F1090</f>
        <v>4.59</v>
      </c>
      <c r="G1089" s="42">
        <f>F1089-E1089</f>
        <v>4.59</v>
      </c>
      <c r="I1089" s="2"/>
    </row>
    <row r="1090" spans="1:9" x14ac:dyDescent="0.25">
      <c r="A1090" s="3"/>
      <c r="B1090" s="3"/>
      <c r="C1090" s="3" t="s">
        <v>114</v>
      </c>
      <c r="D1090" s="5">
        <v>0</v>
      </c>
      <c r="E1090" s="5">
        <v>0</v>
      </c>
      <c r="F1090" s="5">
        <v>4.59</v>
      </c>
      <c r="G1090" s="5">
        <f t="shared" ref="G1090" si="573">F1090-E1090</f>
        <v>4.59</v>
      </c>
      <c r="I1090" s="2"/>
    </row>
    <row r="1091" spans="1:9" x14ac:dyDescent="0.25">
      <c r="A1091" s="3"/>
      <c r="B1091" s="3"/>
      <c r="C1091" s="41" t="s">
        <v>119</v>
      </c>
      <c r="D1091" s="42">
        <f>SUM(D1093:D1094)</f>
        <v>0</v>
      </c>
      <c r="E1091" s="42">
        <f>E1092</f>
        <v>-133105.85999999999</v>
      </c>
      <c r="F1091" s="42">
        <f t="shared" ref="F1091" si="574">SUM(F1093:F1094)</f>
        <v>-99685.1</v>
      </c>
      <c r="G1091" s="42">
        <f>F1091-E1091</f>
        <v>33420.75999999998</v>
      </c>
      <c r="I1091" s="2"/>
    </row>
    <row r="1092" spans="1:9" x14ac:dyDescent="0.25">
      <c r="A1092" s="3"/>
      <c r="B1092" s="3"/>
      <c r="C1092" s="3" t="s">
        <v>193</v>
      </c>
      <c r="D1092" s="5">
        <v>0</v>
      </c>
      <c r="E1092" s="5">
        <v>-133105.85999999999</v>
      </c>
      <c r="F1092" s="5"/>
      <c r="G1092" s="5">
        <f t="shared" ref="G1092:G1094" si="575">F1092-E1092</f>
        <v>133105.85999999999</v>
      </c>
      <c r="I1092" s="2"/>
    </row>
    <row r="1093" spans="1:9" x14ac:dyDescent="0.25">
      <c r="A1093" s="3"/>
      <c r="B1093" s="3"/>
      <c r="C1093" s="3" t="s">
        <v>52</v>
      </c>
      <c r="D1093" s="5">
        <v>0</v>
      </c>
      <c r="E1093" s="5">
        <v>0</v>
      </c>
      <c r="F1093" s="5">
        <v>-76000.19</v>
      </c>
      <c r="G1093" s="5">
        <f t="shared" si="575"/>
        <v>-76000.19</v>
      </c>
      <c r="I1093" s="2"/>
    </row>
    <row r="1094" spans="1:9" x14ac:dyDescent="0.25">
      <c r="A1094" s="3"/>
      <c r="B1094" s="3"/>
      <c r="C1094" s="3" t="s">
        <v>53</v>
      </c>
      <c r="D1094" s="5">
        <v>0</v>
      </c>
      <c r="E1094" s="5">
        <v>0</v>
      </c>
      <c r="F1094" s="5">
        <v>-23684.91</v>
      </c>
      <c r="G1094" s="5">
        <f t="shared" si="575"/>
        <v>-23684.91</v>
      </c>
      <c r="I1094" s="2"/>
    </row>
    <row r="1095" spans="1:9" x14ac:dyDescent="0.25">
      <c r="A1095" s="41"/>
      <c r="B1095" s="41"/>
      <c r="C1095" s="41" t="s">
        <v>120</v>
      </c>
      <c r="D1095" s="42">
        <f>SUM(D1097:D1098)</f>
        <v>-172828</v>
      </c>
      <c r="E1095" s="42">
        <f>E1096</f>
        <v>-522977.86</v>
      </c>
      <c r="F1095" s="42">
        <f>SUM(F1097:F1099)</f>
        <v>-395494.1</v>
      </c>
      <c r="G1095" s="42">
        <f>F1095-E1095</f>
        <v>127483.76000000001</v>
      </c>
      <c r="I1095" s="2"/>
    </row>
    <row r="1096" spans="1:9" x14ac:dyDescent="0.25">
      <c r="A1096" s="41"/>
      <c r="B1096" s="41"/>
      <c r="C1096" s="3" t="s">
        <v>193</v>
      </c>
      <c r="D1096" s="5">
        <v>0</v>
      </c>
      <c r="E1096" s="5">
        <v>-522977.86</v>
      </c>
      <c r="F1096" s="5"/>
      <c r="G1096" s="5">
        <f t="shared" ref="G1096" si="576">F1096-E1096</f>
        <v>522977.86</v>
      </c>
      <c r="I1096" s="2"/>
    </row>
    <row r="1097" spans="1:9" x14ac:dyDescent="0.25">
      <c r="A1097" s="3"/>
      <c r="B1097" s="3"/>
      <c r="C1097" s="3" t="s">
        <v>52</v>
      </c>
      <c r="D1097" s="5">
        <v>-69062</v>
      </c>
      <c r="E1097" s="5">
        <v>0</v>
      </c>
      <c r="F1097" s="5">
        <v>-412626.11</v>
      </c>
      <c r="G1097" s="5">
        <f t="shared" ref="G1097:G1099" si="577">F1097-E1097</f>
        <v>-412626.11</v>
      </c>
      <c r="I1097" s="2"/>
    </row>
    <row r="1098" spans="1:9" x14ac:dyDescent="0.25">
      <c r="A1098" s="41"/>
      <c r="B1098" s="41"/>
      <c r="C1098" s="3" t="s">
        <v>53</v>
      </c>
      <c r="D1098" s="5">
        <v>-103766</v>
      </c>
      <c r="E1098" s="5">
        <v>0</v>
      </c>
      <c r="F1098" s="5">
        <v>18425.32</v>
      </c>
      <c r="G1098" s="5">
        <f t="shared" si="577"/>
        <v>18425.32</v>
      </c>
      <c r="I1098" s="2"/>
    </row>
    <row r="1099" spans="1:9" x14ac:dyDescent="0.25">
      <c r="A1099" s="41"/>
      <c r="B1099" s="41"/>
      <c r="C1099" s="3" t="s">
        <v>54</v>
      </c>
      <c r="D1099" s="5">
        <v>0</v>
      </c>
      <c r="E1099" s="5">
        <v>0</v>
      </c>
      <c r="F1099" s="5">
        <v>-1293.31</v>
      </c>
      <c r="G1099" s="5">
        <f t="shared" si="577"/>
        <v>-1293.31</v>
      </c>
      <c r="I1099" s="2"/>
    </row>
    <row r="1100" spans="1:9" s="39" customFormat="1" x14ac:dyDescent="0.25">
      <c r="A1100" s="41"/>
      <c r="B1100" s="41"/>
      <c r="C1100" s="41" t="s">
        <v>121</v>
      </c>
      <c r="D1100" s="42">
        <v>-83051</v>
      </c>
      <c r="E1100" s="42">
        <f>D1100</f>
        <v>-83051</v>
      </c>
      <c r="F1100" s="5">
        <v>-127134.5</v>
      </c>
      <c r="G1100" s="42">
        <f>F1100-E1100</f>
        <v>-44083.5</v>
      </c>
      <c r="H1100" s="25"/>
      <c r="I1100" s="2"/>
    </row>
    <row r="1101" spans="1:9" x14ac:dyDescent="0.25">
      <c r="A1101" s="41"/>
      <c r="B1101" s="41" t="s">
        <v>143</v>
      </c>
      <c r="C1101" s="41"/>
      <c r="D1101" s="42">
        <f>SUM(D1103:D1105)</f>
        <v>-7351028</v>
      </c>
      <c r="E1101" s="42">
        <f>SUM(E1102:E1105)</f>
        <v>-20315933.300000001</v>
      </c>
      <c r="F1101" s="42">
        <f>SUM(F1103:F1106)</f>
        <v>-16724066.399999999</v>
      </c>
      <c r="G1101" s="42">
        <f>F1101-E1101</f>
        <v>3591866.9000000022</v>
      </c>
      <c r="I1101" s="2"/>
    </row>
    <row r="1102" spans="1:9" x14ac:dyDescent="0.25">
      <c r="A1102" s="41"/>
      <c r="B1102" s="41"/>
      <c r="C1102" s="3" t="s">
        <v>193</v>
      </c>
      <c r="D1102" s="5">
        <v>0</v>
      </c>
      <c r="E1102" s="5">
        <f>E1115+E1119</f>
        <v>-2320491.4900000002</v>
      </c>
      <c r="F1102" s="5">
        <v>0</v>
      </c>
      <c r="G1102" s="5">
        <f t="shared" ref="G1102" si="578">F1102-E1102</f>
        <v>2320491.4900000002</v>
      </c>
      <c r="I1102" s="2"/>
    </row>
    <row r="1103" spans="1:9" x14ac:dyDescent="0.25">
      <c r="A1103" s="3"/>
      <c r="B1103" s="3"/>
      <c r="C1103" s="3" t="s">
        <v>52</v>
      </c>
      <c r="D1103" s="5">
        <f>D1108+D1116+D1120</f>
        <v>-4001994</v>
      </c>
      <c r="E1103" s="5">
        <f t="shared" ref="E1103:F1103" si="579">E1108+E1116+E1120</f>
        <v>-3727126.92</v>
      </c>
      <c r="F1103" s="5">
        <f t="shared" si="579"/>
        <v>-4287628.76</v>
      </c>
      <c r="G1103" s="5">
        <f t="shared" ref="G1103:G1106" si="580">F1103-E1103</f>
        <v>-560501.83999999985</v>
      </c>
      <c r="I1103" s="2"/>
    </row>
    <row r="1104" spans="1:9" x14ac:dyDescent="0.25">
      <c r="A1104" s="3"/>
      <c r="B1104" s="3"/>
      <c r="C1104" s="3" t="s">
        <v>53</v>
      </c>
      <c r="D1104" s="5">
        <f>D1109+D1117+D1121</f>
        <v>-3282827</v>
      </c>
      <c r="E1104" s="5">
        <f t="shared" ref="E1104:F1104" si="581">E1109+E1117+E1121</f>
        <v>-6843647.9800000004</v>
      </c>
      <c r="F1104" s="5">
        <f t="shared" si="581"/>
        <v>-5060801.42</v>
      </c>
      <c r="G1104" s="5">
        <f t="shared" si="580"/>
        <v>1782846.5600000005</v>
      </c>
      <c r="I1104" s="2"/>
    </row>
    <row r="1105" spans="1:9" x14ac:dyDescent="0.25">
      <c r="A1105" s="3"/>
      <c r="B1105" s="3"/>
      <c r="C1105" s="3" t="s">
        <v>113</v>
      </c>
      <c r="D1105" s="5">
        <f>D1110</f>
        <v>-66207</v>
      </c>
      <c r="E1105" s="5">
        <f t="shared" ref="E1105:F1105" si="582">E1110</f>
        <v>-7424666.9100000001</v>
      </c>
      <c r="F1105" s="5">
        <f t="shared" si="582"/>
        <v>-7359626.5999999996</v>
      </c>
      <c r="G1105" s="5">
        <f t="shared" si="580"/>
        <v>65040.310000000522</v>
      </c>
      <c r="I1105" s="2"/>
    </row>
    <row r="1106" spans="1:9" x14ac:dyDescent="0.25">
      <c r="A1106" s="3"/>
      <c r="B1106" s="3"/>
      <c r="C1106" s="3" t="s">
        <v>114</v>
      </c>
      <c r="D1106" s="5">
        <v>0</v>
      </c>
      <c r="E1106" s="5">
        <v>0</v>
      </c>
      <c r="F1106" s="5">
        <f>F1123+F1111+F1113+F1122</f>
        <v>-16009.619999999999</v>
      </c>
      <c r="G1106" s="5">
        <f t="shared" si="580"/>
        <v>-16009.619999999999</v>
      </c>
      <c r="I1106" s="2"/>
    </row>
    <row r="1107" spans="1:9" x14ac:dyDescent="0.25">
      <c r="A1107" s="41"/>
      <c r="B1107" s="41"/>
      <c r="C1107" s="41" t="s">
        <v>117</v>
      </c>
      <c r="D1107" s="42">
        <f>SUM(D1108:D1110)</f>
        <v>-4716578</v>
      </c>
      <c r="E1107" s="42">
        <f t="shared" ref="E1107" si="583">SUM(E1108:E1110)</f>
        <v>-17995441.810000002</v>
      </c>
      <c r="F1107" s="42">
        <f>SUM(F1108:F1111)</f>
        <v>-14943531.84</v>
      </c>
      <c r="G1107" s="42">
        <f>F1107-E1107</f>
        <v>3051909.9700000025</v>
      </c>
      <c r="I1107" s="2"/>
    </row>
    <row r="1108" spans="1:9" x14ac:dyDescent="0.25">
      <c r="A1108" s="3"/>
      <c r="B1108" s="3"/>
      <c r="C1108" s="3" t="s">
        <v>52</v>
      </c>
      <c r="D1108" s="5">
        <v>-3691707</v>
      </c>
      <c r="E1108" s="5">
        <v>-3727126.92</v>
      </c>
      <c r="F1108" s="5">
        <v>-4011691.27</v>
      </c>
      <c r="G1108" s="5">
        <f t="shared" ref="G1108:G1109" si="584">F1108-E1108</f>
        <v>-284564.35000000009</v>
      </c>
      <c r="I1108" s="2"/>
    </row>
    <row r="1109" spans="1:9" x14ac:dyDescent="0.25">
      <c r="A1109" s="3"/>
      <c r="B1109" s="3"/>
      <c r="C1109" s="3" t="s">
        <v>53</v>
      </c>
      <c r="D1109" s="5">
        <v>-958664</v>
      </c>
      <c r="E1109" s="5">
        <f>-6836868.75-6779.23</f>
        <v>-6843647.9800000004</v>
      </c>
      <c r="F1109" s="5">
        <v>-3561455.73</v>
      </c>
      <c r="G1109" s="5">
        <f t="shared" si="584"/>
        <v>3282192.2500000005</v>
      </c>
      <c r="I1109" s="2"/>
    </row>
    <row r="1110" spans="1:9" x14ac:dyDescent="0.25">
      <c r="A1110" s="3"/>
      <c r="B1110" s="3"/>
      <c r="C1110" s="3" t="s">
        <v>113</v>
      </c>
      <c r="D1110" s="5">
        <v>-66207</v>
      </c>
      <c r="E1110" s="5">
        <v>-7424666.9100000001</v>
      </c>
      <c r="F1110" s="5">
        <v>-7359626.5999999996</v>
      </c>
      <c r="G1110" s="5">
        <f t="shared" ref="G1110:G1111" si="585">F1110-E1110</f>
        <v>65040.310000000522</v>
      </c>
      <c r="I1110" s="2"/>
    </row>
    <row r="1111" spans="1:9" x14ac:dyDescent="0.25">
      <c r="A1111" s="3"/>
      <c r="B1111" s="3"/>
      <c r="C1111" s="3" t="s">
        <v>54</v>
      </c>
      <c r="D1111" s="5">
        <v>0</v>
      </c>
      <c r="E1111" s="5">
        <v>0</v>
      </c>
      <c r="F1111" s="5">
        <v>-10758.24</v>
      </c>
      <c r="G1111" s="5">
        <f t="shared" si="585"/>
        <v>-10758.24</v>
      </c>
      <c r="I1111" s="2"/>
    </row>
    <row r="1112" spans="1:9" x14ac:dyDescent="0.25">
      <c r="A1112" s="3"/>
      <c r="B1112" s="3"/>
      <c r="C1112" s="41" t="s">
        <v>118</v>
      </c>
      <c r="D1112" s="42">
        <v>0</v>
      </c>
      <c r="E1112" s="42">
        <v>0</v>
      </c>
      <c r="F1112" s="42">
        <f>F1113</f>
        <v>7660.76</v>
      </c>
      <c r="G1112" s="42">
        <f>F1112-E1112</f>
        <v>7660.76</v>
      </c>
      <c r="I1112" s="2"/>
    </row>
    <row r="1113" spans="1:9" x14ac:dyDescent="0.25">
      <c r="A1113" s="3"/>
      <c r="B1113" s="3"/>
      <c r="C1113" s="3" t="s">
        <v>114</v>
      </c>
      <c r="D1113" s="5">
        <v>0</v>
      </c>
      <c r="E1113" s="5">
        <v>0</v>
      </c>
      <c r="F1113" s="5">
        <v>7660.76</v>
      </c>
      <c r="G1113" s="5">
        <f t="shared" ref="G1113" si="586">F1113-E1113</f>
        <v>7660.76</v>
      </c>
      <c r="I1113" s="2"/>
    </row>
    <row r="1114" spans="1:9" x14ac:dyDescent="0.25">
      <c r="A1114" s="41"/>
      <c r="B1114" s="41"/>
      <c r="C1114" s="41" t="s">
        <v>119</v>
      </c>
      <c r="D1114" s="42">
        <f>SUM(D1116:D1117)</f>
        <v>-2272616</v>
      </c>
      <c r="E1114" s="42">
        <f>E1115</f>
        <v>-1823584.59</v>
      </c>
      <c r="F1114" s="42">
        <f t="shared" ref="F1114" si="587">SUM(F1116:F1117)</f>
        <v>-1467289.04</v>
      </c>
      <c r="G1114" s="42">
        <f>F1114-E1114</f>
        <v>356295.55000000005</v>
      </c>
      <c r="I1114" s="2"/>
    </row>
    <row r="1115" spans="1:9" x14ac:dyDescent="0.25">
      <c r="A1115" s="41"/>
      <c r="B1115" s="41"/>
      <c r="C1115" s="3" t="s">
        <v>193</v>
      </c>
      <c r="D1115" s="5">
        <v>0</v>
      </c>
      <c r="E1115" s="5">
        <v>-1823584.59</v>
      </c>
      <c r="F1115" s="5">
        <v>0</v>
      </c>
      <c r="G1115" s="5">
        <f t="shared" ref="G1115" si="588">F1115-E1115</f>
        <v>1823584.59</v>
      </c>
      <c r="I1115" s="2"/>
    </row>
    <row r="1116" spans="1:9" x14ac:dyDescent="0.25">
      <c r="A1116" s="3"/>
      <c r="B1116" s="3"/>
      <c r="C1116" s="3" t="s">
        <v>52</v>
      </c>
      <c r="D1116" s="5">
        <v>-115004</v>
      </c>
      <c r="E1116" s="5">
        <v>0</v>
      </c>
      <c r="F1116" s="5">
        <v>-159983.84</v>
      </c>
      <c r="G1116" s="5">
        <f t="shared" ref="G1116:G1117" si="589">F1116-E1116</f>
        <v>-159983.84</v>
      </c>
      <c r="I1116" s="2"/>
    </row>
    <row r="1117" spans="1:9" x14ac:dyDescent="0.25">
      <c r="A1117" s="3"/>
      <c r="B1117" s="3"/>
      <c r="C1117" s="3" t="s">
        <v>53</v>
      </c>
      <c r="D1117" s="5">
        <v>-2157612</v>
      </c>
      <c r="E1117" s="5">
        <v>0</v>
      </c>
      <c r="F1117" s="5">
        <v>-1307305.2</v>
      </c>
      <c r="G1117" s="5">
        <f t="shared" si="589"/>
        <v>-1307305.2</v>
      </c>
      <c r="I1117" s="2"/>
    </row>
    <row r="1118" spans="1:9" x14ac:dyDescent="0.25">
      <c r="A1118" s="41"/>
      <c r="B1118" s="41"/>
      <c r="C1118" s="41" t="s">
        <v>120</v>
      </c>
      <c r="D1118" s="42">
        <f>SUM(D1120:D1121)</f>
        <v>-361834</v>
      </c>
      <c r="E1118" s="42">
        <f>E1119</f>
        <v>-496906.9</v>
      </c>
      <c r="F1118" s="42">
        <f>SUM(F1120:F1122)</f>
        <v>-314867.68</v>
      </c>
      <c r="G1118" s="42">
        <f>F1118-E1118</f>
        <v>182039.22000000003</v>
      </c>
      <c r="I1118" s="2"/>
    </row>
    <row r="1119" spans="1:9" x14ac:dyDescent="0.25">
      <c r="A1119" s="41"/>
      <c r="B1119" s="41"/>
      <c r="C1119" s="3" t="s">
        <v>193</v>
      </c>
      <c r="D1119" s="5">
        <v>0</v>
      </c>
      <c r="E1119" s="5">
        <v>-496906.9</v>
      </c>
      <c r="F1119" s="5">
        <v>0</v>
      </c>
      <c r="G1119" s="5">
        <f t="shared" ref="G1119" si="590">F1119-E1119</f>
        <v>496906.9</v>
      </c>
      <c r="I1119" s="2"/>
    </row>
    <row r="1120" spans="1:9" x14ac:dyDescent="0.25">
      <c r="A1120" s="3"/>
      <c r="B1120" s="3"/>
      <c r="C1120" s="3" t="s">
        <v>52</v>
      </c>
      <c r="D1120" s="5">
        <v>-195283</v>
      </c>
      <c r="E1120" s="5">
        <v>0</v>
      </c>
      <c r="F1120" s="5">
        <v>-115953.65</v>
      </c>
      <c r="G1120" s="5">
        <f t="shared" ref="G1120:G1144" si="591">F1120-E1120</f>
        <v>-115953.65</v>
      </c>
      <c r="I1120" s="2"/>
    </row>
    <row r="1121" spans="1:9" x14ac:dyDescent="0.25">
      <c r="A1121" s="41"/>
      <c r="B1121" s="41"/>
      <c r="C1121" s="3" t="s">
        <v>53</v>
      </c>
      <c r="D1121" s="5">
        <v>-166551</v>
      </c>
      <c r="E1121" s="5">
        <v>0</v>
      </c>
      <c r="F1121" s="5">
        <v>-192040.49</v>
      </c>
      <c r="G1121" s="5">
        <f t="shared" si="591"/>
        <v>-192040.49</v>
      </c>
      <c r="I1121" s="2"/>
    </row>
    <row r="1122" spans="1:9" x14ac:dyDescent="0.25">
      <c r="A1122" s="41"/>
      <c r="B1122" s="41"/>
      <c r="C1122" s="3" t="s">
        <v>54</v>
      </c>
      <c r="D1122" s="5">
        <v>0</v>
      </c>
      <c r="E1122" s="5">
        <v>0</v>
      </c>
      <c r="F1122" s="5">
        <v>-6873.54</v>
      </c>
      <c r="G1122" s="5">
        <f t="shared" si="591"/>
        <v>-6873.54</v>
      </c>
      <c r="I1122" s="2"/>
    </row>
    <row r="1123" spans="1:9" x14ac:dyDescent="0.25">
      <c r="A1123" s="41"/>
      <c r="B1123" s="41"/>
      <c r="C1123" s="41" t="s">
        <v>121</v>
      </c>
      <c r="D1123" s="42">
        <v>0</v>
      </c>
      <c r="E1123" s="42">
        <f>D1123</f>
        <v>0</v>
      </c>
      <c r="F1123" s="5">
        <v>-6038.5999999999995</v>
      </c>
      <c r="G1123" s="42">
        <f>F1123-E1123</f>
        <v>-6038.5999999999995</v>
      </c>
      <c r="I1123" s="2"/>
    </row>
    <row r="1124" spans="1:9" x14ac:dyDescent="0.25">
      <c r="A1124" s="41"/>
      <c r="B1124" s="39" t="s">
        <v>195</v>
      </c>
      <c r="C1124" s="41"/>
      <c r="D1124" s="42">
        <f>SUM(D1125:D1128)</f>
        <v>0</v>
      </c>
      <c r="E1124" s="42">
        <f t="shared" ref="E1124:F1124" si="592">SUM(E1125:E1128)</f>
        <v>-507836.47567813034</v>
      </c>
      <c r="F1124" s="42">
        <f t="shared" si="592"/>
        <v>-147528.46000000002</v>
      </c>
      <c r="G1124" s="42">
        <f>F1124-E1124</f>
        <v>360308.01567813032</v>
      </c>
      <c r="I1124" s="2"/>
    </row>
    <row r="1125" spans="1:9" x14ac:dyDescent="0.25">
      <c r="A1125" s="41"/>
      <c r="B1125" s="41"/>
      <c r="C1125" s="3" t="s">
        <v>193</v>
      </c>
      <c r="D1125" s="42">
        <v>0</v>
      </c>
      <c r="E1125" s="5">
        <f>E1135</f>
        <v>-4334.4956781303054</v>
      </c>
      <c r="F1125" s="5">
        <v>0</v>
      </c>
      <c r="G1125" s="5">
        <f t="shared" ref="G1125:G1128" si="593">F1125-E1125</f>
        <v>4334.4956781303054</v>
      </c>
      <c r="I1125" s="2"/>
    </row>
    <row r="1126" spans="1:9" x14ac:dyDescent="0.25">
      <c r="A1126" s="41"/>
      <c r="B1126" s="3"/>
      <c r="C1126" s="3" t="s">
        <v>52</v>
      </c>
      <c r="D1126" s="5">
        <f>D1130+D1136</f>
        <v>0</v>
      </c>
      <c r="E1126" s="5">
        <f t="shared" ref="E1126:F1126" si="594">E1130+E1136</f>
        <v>-84293.2</v>
      </c>
      <c r="F1126" s="5">
        <f t="shared" si="594"/>
        <v>-80484.33</v>
      </c>
      <c r="G1126" s="5">
        <f t="shared" si="593"/>
        <v>3808.8699999999953</v>
      </c>
      <c r="I1126" s="2"/>
    </row>
    <row r="1127" spans="1:9" x14ac:dyDescent="0.25">
      <c r="A1127" s="41"/>
      <c r="B1127" s="3"/>
      <c r="C1127" s="3" t="s">
        <v>53</v>
      </c>
      <c r="D1127" s="5">
        <f>D1131+D1137</f>
        <v>0</v>
      </c>
      <c r="E1127" s="5">
        <f t="shared" ref="E1127:F1127" si="595">E1131+E1137</f>
        <v>-419208.78</v>
      </c>
      <c r="F1127" s="5">
        <f t="shared" si="595"/>
        <v>-10063.91</v>
      </c>
      <c r="G1127" s="5">
        <f t="shared" si="593"/>
        <v>409144.87000000005</v>
      </c>
      <c r="I1127" s="2"/>
    </row>
    <row r="1128" spans="1:9" x14ac:dyDescent="0.25">
      <c r="A1128" s="41"/>
      <c r="B1128" s="3"/>
      <c r="C1128" s="3" t="s">
        <v>114</v>
      </c>
      <c r="D1128" s="5">
        <f>D1138+D1133</f>
        <v>0</v>
      </c>
      <c r="E1128" s="5">
        <f t="shared" ref="E1128:F1128" si="596">E1138+E1133</f>
        <v>0</v>
      </c>
      <c r="F1128" s="5">
        <f t="shared" si="596"/>
        <v>-56980.22</v>
      </c>
      <c r="G1128" s="5">
        <f t="shared" si="593"/>
        <v>-56980.22</v>
      </c>
      <c r="I1128" s="2"/>
    </row>
    <row r="1129" spans="1:9" x14ac:dyDescent="0.25">
      <c r="A1129" s="41"/>
      <c r="B1129" s="41"/>
      <c r="C1129" s="41" t="s">
        <v>117</v>
      </c>
      <c r="D1129" s="42">
        <f>SUM(D1130:D1131)</f>
        <v>0</v>
      </c>
      <c r="E1129" s="42">
        <f>SUM(E1130:E1131)</f>
        <v>-503501.98000000004</v>
      </c>
      <c r="F1129" s="42">
        <f>SUM(F1130:F1131)</f>
        <v>-87646.07</v>
      </c>
      <c r="G1129" s="42">
        <f>F1129-E1129</f>
        <v>415855.91000000003</v>
      </c>
      <c r="I1129" s="2"/>
    </row>
    <row r="1130" spans="1:9" x14ac:dyDescent="0.25">
      <c r="A1130" s="41"/>
      <c r="B1130" s="3"/>
      <c r="C1130" s="3" t="s">
        <v>52</v>
      </c>
      <c r="D1130" s="5">
        <v>0</v>
      </c>
      <c r="E1130" s="5">
        <v>-84293.2</v>
      </c>
      <c r="F1130" s="5">
        <v>-77743.44</v>
      </c>
      <c r="G1130" s="5">
        <f t="shared" ref="G1130:G1133" si="597">F1130-E1130</f>
        <v>6549.7599999999948</v>
      </c>
      <c r="I1130" s="2"/>
    </row>
    <row r="1131" spans="1:9" x14ac:dyDescent="0.25">
      <c r="A1131" s="41"/>
      <c r="B1131" s="3"/>
      <c r="C1131" s="3" t="s">
        <v>53</v>
      </c>
      <c r="D1131" s="5">
        <v>0</v>
      </c>
      <c r="E1131" s="5">
        <v>-419208.78</v>
      </c>
      <c r="F1131" s="5">
        <v>-9902.6299999999992</v>
      </c>
      <c r="G1131" s="5">
        <f t="shared" si="597"/>
        <v>409306.15</v>
      </c>
      <c r="I1131" s="2"/>
    </row>
    <row r="1132" spans="1:9" x14ac:dyDescent="0.25">
      <c r="A1132" s="41"/>
      <c r="B1132" s="41"/>
      <c r="C1132" s="41" t="s">
        <v>118</v>
      </c>
      <c r="D1132" s="42">
        <f>D1133</f>
        <v>0</v>
      </c>
      <c r="E1132" s="42">
        <f t="shared" ref="E1132:F1132" si="598">E1133</f>
        <v>0</v>
      </c>
      <c r="F1132" s="42">
        <f t="shared" si="598"/>
        <v>0.03</v>
      </c>
      <c r="G1132" s="42">
        <f t="shared" si="597"/>
        <v>0.03</v>
      </c>
      <c r="I1132" s="2"/>
    </row>
    <row r="1133" spans="1:9" x14ac:dyDescent="0.25">
      <c r="A1133" s="41"/>
      <c r="B1133" s="3"/>
      <c r="C1133" s="3" t="s">
        <v>54</v>
      </c>
      <c r="D1133" s="5">
        <v>0</v>
      </c>
      <c r="E1133" s="5">
        <v>0</v>
      </c>
      <c r="F1133" s="5">
        <v>0.03</v>
      </c>
      <c r="G1133" s="5">
        <f t="shared" si="597"/>
        <v>0.03</v>
      </c>
      <c r="I1133" s="2"/>
    </row>
    <row r="1134" spans="1:9" x14ac:dyDescent="0.25">
      <c r="A1134" s="41"/>
      <c r="B1134" s="41"/>
      <c r="C1134" s="41" t="s">
        <v>119</v>
      </c>
      <c r="D1134" s="42">
        <f>SUM(D1135:D1137)</f>
        <v>0</v>
      </c>
      <c r="E1134" s="42">
        <f t="shared" ref="E1134:F1134" si="599">SUM(E1135:E1137)</f>
        <v>-4334.4956781303054</v>
      </c>
      <c r="F1134" s="42">
        <f t="shared" si="599"/>
        <v>-2902.17</v>
      </c>
      <c r="G1134" s="42">
        <f>F1134-E1134</f>
        <v>1432.3256781303053</v>
      </c>
      <c r="I1134" s="2"/>
    </row>
    <row r="1135" spans="1:9" x14ac:dyDescent="0.25">
      <c r="A1135" s="41"/>
      <c r="B1135" s="41"/>
      <c r="C1135" s="3" t="s">
        <v>193</v>
      </c>
      <c r="D1135" s="42">
        <v>0</v>
      </c>
      <c r="E1135" s="5">
        <v>-4334.4956781303054</v>
      </c>
      <c r="F1135" s="5">
        <v>0</v>
      </c>
      <c r="G1135" s="5">
        <f t="shared" ref="G1135:G1137" si="600">F1135-E1135</f>
        <v>4334.4956781303054</v>
      </c>
      <c r="I1135" s="2"/>
    </row>
    <row r="1136" spans="1:9" x14ac:dyDescent="0.25">
      <c r="A1136" s="41"/>
      <c r="B1136" s="3"/>
      <c r="C1136" s="3" t="s">
        <v>52</v>
      </c>
      <c r="D1136" s="5">
        <v>0</v>
      </c>
      <c r="E1136" s="5">
        <v>0</v>
      </c>
      <c r="F1136" s="5">
        <v>-2740.89</v>
      </c>
      <c r="G1136" s="5">
        <f t="shared" si="600"/>
        <v>-2740.89</v>
      </c>
      <c r="I1136" s="2"/>
    </row>
    <row r="1137" spans="1:9" x14ac:dyDescent="0.25">
      <c r="A1137" s="41"/>
      <c r="B1137" s="41"/>
      <c r="C1137" s="3" t="s">
        <v>53</v>
      </c>
      <c r="D1137" s="5">
        <v>0</v>
      </c>
      <c r="E1137" s="5">
        <v>0</v>
      </c>
      <c r="F1137" s="5">
        <v>-161.28</v>
      </c>
      <c r="G1137" s="5">
        <f t="shared" si="600"/>
        <v>-161.28</v>
      </c>
      <c r="I1137" s="2"/>
    </row>
    <row r="1138" spans="1:9" x14ac:dyDescent="0.25">
      <c r="A1138" s="41"/>
      <c r="B1138" s="41"/>
      <c r="C1138" s="41" t="s">
        <v>121</v>
      </c>
      <c r="D1138" s="42">
        <v>0</v>
      </c>
      <c r="E1138" s="42">
        <f>D1138</f>
        <v>0</v>
      </c>
      <c r="F1138" s="5">
        <v>-56980.25</v>
      </c>
      <c r="G1138" s="42">
        <f>F1138-E1138</f>
        <v>-56980.25</v>
      </c>
      <c r="I1138" s="2"/>
    </row>
    <row r="1139" spans="1:9" s="39" customFormat="1" ht="15.75" x14ac:dyDescent="0.25">
      <c r="A1139" s="71" t="s">
        <v>171</v>
      </c>
      <c r="B1139" s="41"/>
      <c r="C1139" s="41"/>
      <c r="D1139" s="42">
        <f>SUM(D1140:D1144)</f>
        <v>-13253854</v>
      </c>
      <c r="E1139" s="42">
        <f t="shared" ref="E1139:F1139" si="601">SUM(E1140:E1144)</f>
        <v>-15669570.93</v>
      </c>
      <c r="F1139" s="42">
        <f t="shared" si="601"/>
        <v>-13020135.800000001</v>
      </c>
      <c r="G1139" s="42">
        <f t="shared" si="591"/>
        <v>2649435.129999999</v>
      </c>
      <c r="H1139" s="25"/>
      <c r="I1139" s="2"/>
    </row>
    <row r="1140" spans="1:9" x14ac:dyDescent="0.25">
      <c r="A1140" s="3"/>
      <c r="B1140" s="3" t="s">
        <v>117</v>
      </c>
      <c r="C1140" s="3"/>
      <c r="D1140" s="5">
        <f>D1151+D1169+D1191</f>
        <v>-8630356</v>
      </c>
      <c r="E1140" s="5">
        <f>E1151+E1169+E1191+E1211</f>
        <v>-9344702.790000001</v>
      </c>
      <c r="F1140" s="5">
        <f>F1151+F1169+F1191+F1211</f>
        <v>-8745418.790000001</v>
      </c>
      <c r="G1140" s="5">
        <f t="shared" si="591"/>
        <v>599284</v>
      </c>
      <c r="I1140" s="2"/>
    </row>
    <row r="1141" spans="1:9" x14ac:dyDescent="0.25">
      <c r="A1141" s="3"/>
      <c r="B1141" s="3" t="s">
        <v>118</v>
      </c>
      <c r="C1141" s="3"/>
      <c r="D1141" s="5">
        <v>0</v>
      </c>
      <c r="E1141" s="5">
        <v>0</v>
      </c>
      <c r="F1141" s="5">
        <f>F1156+F1173+F1195</f>
        <v>11866.16</v>
      </c>
      <c r="G1141" s="5">
        <f t="shared" si="591"/>
        <v>11866.16</v>
      </c>
      <c r="I1141" s="2"/>
    </row>
    <row r="1142" spans="1:9" x14ac:dyDescent="0.25">
      <c r="A1142" s="3"/>
      <c r="B1142" s="3" t="s">
        <v>119</v>
      </c>
      <c r="C1142" s="3"/>
      <c r="D1142" s="5">
        <f>D1175+D1197</f>
        <v>-393301</v>
      </c>
      <c r="E1142" s="5">
        <f>E1175+E1197+E1158+E1216</f>
        <v>-635554.62</v>
      </c>
      <c r="F1142" s="5">
        <f>F1175+F1197+F1158+F1216</f>
        <v>-220389.28000000003</v>
      </c>
      <c r="G1142" s="5">
        <f t="shared" si="591"/>
        <v>415165.33999999997</v>
      </c>
      <c r="I1142" s="2"/>
    </row>
    <row r="1143" spans="1:9" x14ac:dyDescent="0.25">
      <c r="A1143" s="3"/>
      <c r="B1143" s="3" t="s">
        <v>120</v>
      </c>
      <c r="C1143" s="3"/>
      <c r="D1143" s="5">
        <f>D1179+D1201</f>
        <v>-3782416</v>
      </c>
      <c r="E1143" s="5">
        <f>E1179+E1201</f>
        <v>-5241532.5199999996</v>
      </c>
      <c r="F1143" s="5">
        <f>F1179+F1201</f>
        <v>-3552645.25</v>
      </c>
      <c r="G1143" s="5">
        <f t="shared" si="591"/>
        <v>1688887.2699999996</v>
      </c>
      <c r="I1143" s="2"/>
    </row>
    <row r="1144" spans="1:9" x14ac:dyDescent="0.25">
      <c r="A1144" s="3"/>
      <c r="B1144" s="3" t="s">
        <v>121</v>
      </c>
      <c r="C1144" s="3"/>
      <c r="D1144" s="5">
        <f>D1163+D1184</f>
        <v>-447781</v>
      </c>
      <c r="E1144" s="5">
        <f t="shared" ref="E1144" si="602">E1163+E1184</f>
        <v>-447781</v>
      </c>
      <c r="F1144" s="5">
        <f>F1163+F1184+F1220</f>
        <v>-513548.63999999996</v>
      </c>
      <c r="G1144" s="5">
        <f t="shared" si="591"/>
        <v>-65767.639999999956</v>
      </c>
      <c r="I1144" s="2"/>
    </row>
    <row r="1145" spans="1:9" x14ac:dyDescent="0.25">
      <c r="A1145" s="41"/>
      <c r="B1145" s="41" t="s">
        <v>87</v>
      </c>
      <c r="C1145" s="41"/>
      <c r="D1145" s="42">
        <f>SUM(D1147:D1150)</f>
        <v>-1987981</v>
      </c>
      <c r="E1145" s="42">
        <f>SUM(E1146:E1150)</f>
        <v>-2670097.2499999995</v>
      </c>
      <c r="F1145" s="42">
        <f t="shared" ref="F1145" si="603">SUM(F1147:F1150)</f>
        <v>-2224785.17</v>
      </c>
      <c r="G1145" s="42">
        <f>F1145-E1145</f>
        <v>445312.07999999961</v>
      </c>
      <c r="I1145" s="2"/>
    </row>
    <row r="1146" spans="1:9" x14ac:dyDescent="0.25">
      <c r="A1146" s="41"/>
      <c r="B1146" s="41"/>
      <c r="C1146" s="3" t="s">
        <v>193</v>
      </c>
      <c r="D1146" s="5">
        <v>0</v>
      </c>
      <c r="E1146" s="5">
        <f>E1159</f>
        <v>-463693.4</v>
      </c>
      <c r="F1146" s="5">
        <v>0</v>
      </c>
      <c r="G1146" s="5">
        <f t="shared" ref="G1146" si="604">F1146-E1146</f>
        <v>463693.4</v>
      </c>
      <c r="I1146" s="2"/>
    </row>
    <row r="1147" spans="1:9" x14ac:dyDescent="0.25">
      <c r="A1147" s="3"/>
      <c r="B1147" s="3"/>
      <c r="C1147" s="3" t="s">
        <v>52</v>
      </c>
      <c r="D1147" s="5">
        <f>D1152</f>
        <v>-1201898</v>
      </c>
      <c r="E1147" s="5">
        <f t="shared" ref="E1147" si="605">E1152</f>
        <v>-1271538.8700000001</v>
      </c>
      <c r="F1147" s="5">
        <f>F1152+F1160</f>
        <v>-1301823.9099999999</v>
      </c>
      <c r="G1147" s="5">
        <f t="shared" ref="G1147:G1150" si="606">F1147-E1147</f>
        <v>-30285.039999999804</v>
      </c>
      <c r="I1147" s="2"/>
    </row>
    <row r="1148" spans="1:9" x14ac:dyDescent="0.25">
      <c r="A1148" s="3"/>
      <c r="B1148" s="3"/>
      <c r="C1148" s="3" t="s">
        <v>53</v>
      </c>
      <c r="D1148" s="5">
        <f>D1153</f>
        <v>-528075</v>
      </c>
      <c r="E1148" s="5">
        <f t="shared" ref="E1148" si="607">E1153</f>
        <v>-635883.44999999995</v>
      </c>
      <c r="F1148" s="5">
        <f>F1153+F1161</f>
        <v>-618284.22</v>
      </c>
      <c r="G1148" s="5">
        <f t="shared" si="606"/>
        <v>17599.229999999981</v>
      </c>
      <c r="I1148" s="2"/>
    </row>
    <row r="1149" spans="1:9" x14ac:dyDescent="0.25">
      <c r="A1149" s="3"/>
      <c r="B1149" s="3"/>
      <c r="C1149" s="3" t="s">
        <v>113</v>
      </c>
      <c r="D1149" s="5">
        <f>D1154</f>
        <v>-34400</v>
      </c>
      <c r="E1149" s="5">
        <f t="shared" ref="E1149:F1149" si="608">E1154</f>
        <v>-75373.53</v>
      </c>
      <c r="F1149" s="5">
        <f t="shared" si="608"/>
        <v>-70197.03</v>
      </c>
      <c r="G1149" s="5">
        <f t="shared" si="606"/>
        <v>5176.5</v>
      </c>
      <c r="I1149" s="2"/>
    </row>
    <row r="1150" spans="1:9" x14ac:dyDescent="0.25">
      <c r="A1150" s="3"/>
      <c r="B1150" s="3"/>
      <c r="C1150" s="3" t="s">
        <v>114</v>
      </c>
      <c r="D1150" s="5">
        <f>D1163</f>
        <v>-223608</v>
      </c>
      <c r="E1150" s="5">
        <f t="shared" ref="E1150" si="609">E1163</f>
        <v>-223608</v>
      </c>
      <c r="F1150" s="5">
        <f>F1163+F1155+F1157+F1162</f>
        <v>-234480.00999999998</v>
      </c>
      <c r="G1150" s="5">
        <f t="shared" si="606"/>
        <v>-10872.00999999998</v>
      </c>
      <c r="I1150" s="2"/>
    </row>
    <row r="1151" spans="1:9" x14ac:dyDescent="0.25">
      <c r="A1151" s="41"/>
      <c r="B1151" s="41"/>
      <c r="C1151" s="41" t="s">
        <v>117</v>
      </c>
      <c r="D1151" s="42">
        <f>SUM(D1152:D1154)</f>
        <v>-1764373</v>
      </c>
      <c r="E1151" s="42">
        <f t="shared" ref="E1151" si="610">SUM(E1152:E1154)</f>
        <v>-1982795.85</v>
      </c>
      <c r="F1151" s="42">
        <f>SUM(F1152:F1155)</f>
        <v>-1924131.8399999999</v>
      </c>
      <c r="G1151" s="42">
        <f>F1151-E1151</f>
        <v>58664.010000000242</v>
      </c>
      <c r="I1151" s="2"/>
    </row>
    <row r="1152" spans="1:9" x14ac:dyDescent="0.25">
      <c r="A1152" s="3"/>
      <c r="B1152" s="3"/>
      <c r="C1152" s="3" t="s">
        <v>52</v>
      </c>
      <c r="D1152" s="5">
        <v>-1201898</v>
      </c>
      <c r="E1152" s="5">
        <v>-1271538.8700000001</v>
      </c>
      <c r="F1152" s="5">
        <v>-1246121.5</v>
      </c>
      <c r="G1152" s="5">
        <f t="shared" ref="G1152:G1155" si="611">F1152-E1152</f>
        <v>25417.370000000112</v>
      </c>
      <c r="I1152" s="2"/>
    </row>
    <row r="1153" spans="1:9" x14ac:dyDescent="0.25">
      <c r="A1153" s="3"/>
      <c r="B1153" s="3"/>
      <c r="C1153" s="3" t="s">
        <v>53</v>
      </c>
      <c r="D1153" s="5">
        <v>-528075</v>
      </c>
      <c r="E1153" s="5">
        <f>-625472.13-10411.32</f>
        <v>-635883.44999999995</v>
      </c>
      <c r="F1153" s="5">
        <v>-607674.59</v>
      </c>
      <c r="G1153" s="5">
        <f t="shared" si="611"/>
        <v>28208.859999999986</v>
      </c>
      <c r="I1153" s="2"/>
    </row>
    <row r="1154" spans="1:9" x14ac:dyDescent="0.25">
      <c r="A1154" s="3"/>
      <c r="B1154" s="3"/>
      <c r="C1154" s="3" t="s">
        <v>113</v>
      </c>
      <c r="D1154" s="5">
        <v>-34400</v>
      </c>
      <c r="E1154" s="5">
        <v>-75373.53</v>
      </c>
      <c r="F1154" s="5">
        <v>-70197.03</v>
      </c>
      <c r="G1154" s="5">
        <f t="shared" si="611"/>
        <v>5176.5</v>
      </c>
      <c r="I1154" s="2"/>
    </row>
    <row r="1155" spans="1:9" x14ac:dyDescent="0.25">
      <c r="A1155" s="3"/>
      <c r="B1155" s="3"/>
      <c r="C1155" s="3" t="s">
        <v>54</v>
      </c>
      <c r="D1155" s="5">
        <v>0</v>
      </c>
      <c r="E1155" s="5">
        <v>0</v>
      </c>
      <c r="F1155" s="5">
        <v>-138.72</v>
      </c>
      <c r="G1155" s="5">
        <f t="shared" si="611"/>
        <v>-138.72</v>
      </c>
      <c r="I1155" s="2"/>
    </row>
    <row r="1156" spans="1:9" x14ac:dyDescent="0.25">
      <c r="A1156" s="3"/>
      <c r="B1156" s="3"/>
      <c r="C1156" s="41" t="s">
        <v>118</v>
      </c>
      <c r="D1156" s="42">
        <v>0</v>
      </c>
      <c r="E1156" s="42">
        <v>0</v>
      </c>
      <c r="F1156" s="42">
        <f>F1157</f>
        <v>-102.15</v>
      </c>
      <c r="G1156" s="42">
        <f>F1156-E1156</f>
        <v>-102.15</v>
      </c>
      <c r="I1156" s="2"/>
    </row>
    <row r="1157" spans="1:9" x14ac:dyDescent="0.25">
      <c r="A1157" s="3"/>
      <c r="B1157" s="3"/>
      <c r="C1157" s="3" t="s">
        <v>114</v>
      </c>
      <c r="D1157" s="5">
        <v>0</v>
      </c>
      <c r="E1157" s="5">
        <v>0</v>
      </c>
      <c r="F1157" s="5">
        <v>-102.15</v>
      </c>
      <c r="G1157" s="5">
        <f t="shared" ref="G1157" si="612">F1157-E1157</f>
        <v>-102.15</v>
      </c>
      <c r="I1157" s="2"/>
    </row>
    <row r="1158" spans="1:9" x14ac:dyDescent="0.25">
      <c r="A1158" s="3"/>
      <c r="B1158" s="3"/>
      <c r="C1158" s="41" t="s">
        <v>119</v>
      </c>
      <c r="D1158" s="42">
        <f>SUM(D1160:D1161)</f>
        <v>0</v>
      </c>
      <c r="E1158" s="42">
        <f>E1159</f>
        <v>-463693.4</v>
      </c>
      <c r="F1158" s="42">
        <f>SUM(F1160:F1162)</f>
        <v>-74525.62000000001</v>
      </c>
      <c r="G1158" s="42">
        <f>F1158-E1158</f>
        <v>389167.78</v>
      </c>
      <c r="I1158" s="2"/>
    </row>
    <row r="1159" spans="1:9" x14ac:dyDescent="0.25">
      <c r="A1159" s="3"/>
      <c r="B1159" s="3"/>
      <c r="C1159" s="3" t="s">
        <v>193</v>
      </c>
      <c r="D1159" s="5">
        <v>0</v>
      </c>
      <c r="E1159" s="5">
        <v>-463693.4</v>
      </c>
      <c r="F1159" s="5">
        <v>0</v>
      </c>
      <c r="G1159" s="5">
        <f t="shared" ref="G1159:G1162" si="613">F1159-E1159</f>
        <v>463693.4</v>
      </c>
      <c r="I1159" s="2"/>
    </row>
    <row r="1160" spans="1:9" x14ac:dyDescent="0.25">
      <c r="A1160" s="3"/>
      <c r="B1160" s="3"/>
      <c r="C1160" s="3" t="s">
        <v>52</v>
      </c>
      <c r="D1160" s="5">
        <v>0</v>
      </c>
      <c r="E1160" s="5">
        <v>0</v>
      </c>
      <c r="F1160" s="5">
        <v>-55702.41</v>
      </c>
      <c r="G1160" s="5">
        <f t="shared" si="613"/>
        <v>-55702.41</v>
      </c>
      <c r="I1160" s="2"/>
    </row>
    <row r="1161" spans="1:9" x14ac:dyDescent="0.25">
      <c r="A1161" s="3"/>
      <c r="B1161" s="3"/>
      <c r="C1161" s="3" t="s">
        <v>53</v>
      </c>
      <c r="D1161" s="5">
        <v>0</v>
      </c>
      <c r="E1161" s="5">
        <v>0</v>
      </c>
      <c r="F1161" s="5">
        <v>-10609.63</v>
      </c>
      <c r="G1161" s="5">
        <f t="shared" si="613"/>
        <v>-10609.63</v>
      </c>
      <c r="I1161" s="2"/>
    </row>
    <row r="1162" spans="1:9" x14ac:dyDescent="0.25">
      <c r="A1162" s="3"/>
      <c r="B1162" s="3"/>
      <c r="C1162" s="3" t="s">
        <v>54</v>
      </c>
      <c r="D1162" s="5">
        <v>0</v>
      </c>
      <c r="E1162" s="5">
        <v>0</v>
      </c>
      <c r="F1162" s="5">
        <v>-8213.58</v>
      </c>
      <c r="G1162" s="5">
        <f t="shared" si="613"/>
        <v>-8213.58</v>
      </c>
      <c r="I1162" s="2"/>
    </row>
    <row r="1163" spans="1:9" s="39" customFormat="1" x14ac:dyDescent="0.25">
      <c r="A1163" s="41"/>
      <c r="B1163" s="41"/>
      <c r="C1163" s="41" t="s">
        <v>121</v>
      </c>
      <c r="D1163" s="42">
        <v>-223608</v>
      </c>
      <c r="E1163" s="42">
        <f>D1163</f>
        <v>-223608</v>
      </c>
      <c r="F1163" s="5">
        <v>-226025.56</v>
      </c>
      <c r="G1163" s="42">
        <f>F1163-E1163</f>
        <v>-2417.5599999999977</v>
      </c>
      <c r="H1163" s="25"/>
      <c r="I1163" s="2"/>
    </row>
    <row r="1164" spans="1:9" x14ac:dyDescent="0.25">
      <c r="A1164" s="41"/>
      <c r="B1164" s="41" t="s">
        <v>196</v>
      </c>
      <c r="C1164" s="41"/>
      <c r="D1164" s="42">
        <f>SUM(D1166:D1168)</f>
        <v>-4462994</v>
      </c>
      <c r="E1164" s="42">
        <f>SUM(E1165:E1168)</f>
        <v>-5658576.7000000002</v>
      </c>
      <c r="F1164" s="42">
        <f>SUM(F1166:F1168)</f>
        <v>-4336324.3099999996</v>
      </c>
      <c r="G1164" s="42">
        <f>F1164-E1164</f>
        <v>1322252.3900000006</v>
      </c>
      <c r="I1164" s="2"/>
    </row>
    <row r="1165" spans="1:9" x14ac:dyDescent="0.25">
      <c r="A1165" s="41"/>
      <c r="B1165" s="41"/>
      <c r="C1165" s="3" t="s">
        <v>193</v>
      </c>
      <c r="D1165" s="5">
        <v>0</v>
      </c>
      <c r="E1165" s="5">
        <f>E1176+E1180</f>
        <v>-2828414.66</v>
      </c>
      <c r="F1165" s="5">
        <v>0</v>
      </c>
      <c r="G1165" s="5">
        <f t="shared" ref="G1165" si="614">F1165-E1165</f>
        <v>2828414.66</v>
      </c>
      <c r="I1165" s="2"/>
    </row>
    <row r="1166" spans="1:9" x14ac:dyDescent="0.25">
      <c r="A1166" s="3"/>
      <c r="B1166" s="3"/>
      <c r="C1166" s="3" t="s">
        <v>52</v>
      </c>
      <c r="D1166" s="5">
        <f>D1170+D1177+D1181</f>
        <v>-2544365</v>
      </c>
      <c r="E1166" s="5">
        <f t="shared" ref="E1166:F1166" si="615">E1170+E1177+E1181</f>
        <v>-1398495.3</v>
      </c>
      <c r="F1166" s="5">
        <f t="shared" si="615"/>
        <v>-2742796.84</v>
      </c>
      <c r="G1166" s="5">
        <f t="shared" ref="G1166:G1168" si="616">F1166-E1166</f>
        <v>-1344301.5399999998</v>
      </c>
      <c r="I1166" s="2"/>
    </row>
    <row r="1167" spans="1:9" x14ac:dyDescent="0.25">
      <c r="A1167" s="3"/>
      <c r="B1167" s="3"/>
      <c r="C1167" s="3" t="s">
        <v>53</v>
      </c>
      <c r="D1167" s="5">
        <f>D1171+D1178+D1182</f>
        <v>-1694456</v>
      </c>
      <c r="E1167" s="5">
        <f t="shared" ref="E1167:F1167" si="617">E1171+E1178+E1182</f>
        <v>-1207493.74</v>
      </c>
      <c r="F1167" s="5">
        <f t="shared" si="617"/>
        <v>-1345297.37</v>
      </c>
      <c r="G1167" s="5">
        <f t="shared" si="616"/>
        <v>-137803.63000000012</v>
      </c>
      <c r="I1167" s="2"/>
    </row>
    <row r="1168" spans="1:9" x14ac:dyDescent="0.25">
      <c r="A1168" s="3"/>
      <c r="B1168" s="3"/>
      <c r="C1168" s="3" t="s">
        <v>114</v>
      </c>
      <c r="D1168" s="5">
        <f>D1184</f>
        <v>-224173</v>
      </c>
      <c r="E1168" s="5">
        <f>E1184</f>
        <v>-224173</v>
      </c>
      <c r="F1168" s="5">
        <f>F1184+F1172+F1174+F1183</f>
        <v>-248230.09999999998</v>
      </c>
      <c r="G1168" s="5">
        <f t="shared" si="616"/>
        <v>-24057.099999999977</v>
      </c>
      <c r="I1168" s="2"/>
    </row>
    <row r="1169" spans="1:9" x14ac:dyDescent="0.25">
      <c r="A1169" s="41"/>
      <c r="B1169" s="41"/>
      <c r="C1169" s="41" t="s">
        <v>117</v>
      </c>
      <c r="D1169" s="42">
        <f>SUM(D1170:D1171)</f>
        <v>-2314854</v>
      </c>
      <c r="E1169" s="42">
        <f>SUM(E1170:E1171)</f>
        <v>-2605989.04</v>
      </c>
      <c r="F1169" s="42">
        <f>SUM(F1170:F1172)</f>
        <v>-2329032.15</v>
      </c>
      <c r="G1169" s="42">
        <f>F1169-E1169</f>
        <v>276956.89000000013</v>
      </c>
      <c r="I1169" s="2"/>
    </row>
    <row r="1170" spans="1:9" x14ac:dyDescent="0.25">
      <c r="A1170" s="3"/>
      <c r="B1170" s="3"/>
      <c r="C1170" s="3" t="s">
        <v>52</v>
      </c>
      <c r="D1170" s="5">
        <v>-1211773</v>
      </c>
      <c r="E1170" s="5">
        <v>-1398495.3</v>
      </c>
      <c r="F1170" s="5">
        <v>-1398495.29</v>
      </c>
      <c r="G1170" s="5">
        <f t="shared" ref="G1170:G1172" si="618">F1170-E1170</f>
        <v>1.0000000009313226E-2</v>
      </c>
      <c r="I1170" s="2"/>
    </row>
    <row r="1171" spans="1:9" x14ac:dyDescent="0.25">
      <c r="A1171" s="3"/>
      <c r="B1171" s="3"/>
      <c r="C1171" s="3" t="s">
        <v>53</v>
      </c>
      <c r="D1171" s="5">
        <v>-1103081</v>
      </c>
      <c r="E1171" s="5">
        <f>-1195181.46-12312.28</f>
        <v>-1207493.74</v>
      </c>
      <c r="F1171" s="5">
        <v>-928470.75</v>
      </c>
      <c r="G1171" s="5">
        <f t="shared" si="618"/>
        <v>279022.99</v>
      </c>
      <c r="I1171" s="2"/>
    </row>
    <row r="1172" spans="1:9" x14ac:dyDescent="0.25">
      <c r="A1172" s="3"/>
      <c r="B1172" s="3"/>
      <c r="C1172" s="3" t="s">
        <v>54</v>
      </c>
      <c r="D1172" s="5">
        <v>0</v>
      </c>
      <c r="E1172" s="5">
        <v>0</v>
      </c>
      <c r="F1172" s="5">
        <v>-2066.11</v>
      </c>
      <c r="G1172" s="5">
        <f t="shared" si="618"/>
        <v>-2066.11</v>
      </c>
      <c r="I1172" s="2"/>
    </row>
    <row r="1173" spans="1:9" x14ac:dyDescent="0.25">
      <c r="A1173" s="3"/>
      <c r="B1173" s="3"/>
      <c r="C1173" s="41" t="s">
        <v>118</v>
      </c>
      <c r="D1173" s="42">
        <v>0</v>
      </c>
      <c r="E1173" s="42">
        <v>0</v>
      </c>
      <c r="F1173" s="42">
        <f>F1174</f>
        <v>-0.83</v>
      </c>
      <c r="G1173" s="42">
        <f>F1173-E1173</f>
        <v>-0.83</v>
      </c>
      <c r="I1173" s="2"/>
    </row>
    <row r="1174" spans="1:9" x14ac:dyDescent="0.25">
      <c r="A1174" s="3"/>
      <c r="B1174" s="3"/>
      <c r="C1174" s="3" t="s">
        <v>114</v>
      </c>
      <c r="D1174" s="5">
        <v>0</v>
      </c>
      <c r="E1174" s="5">
        <v>0</v>
      </c>
      <c r="F1174" s="5">
        <v>-0.83</v>
      </c>
      <c r="G1174" s="5">
        <f t="shared" ref="G1174" si="619">F1174-E1174</f>
        <v>-0.83</v>
      </c>
      <c r="I1174" s="2"/>
    </row>
    <row r="1175" spans="1:9" x14ac:dyDescent="0.25">
      <c r="A1175" s="41"/>
      <c r="B1175" s="41"/>
      <c r="C1175" s="41" t="s">
        <v>119</v>
      </c>
      <c r="D1175" s="42">
        <f>SUM(D1177:D1178)</f>
        <v>-166574</v>
      </c>
      <c r="E1175" s="42">
        <f>E1176</f>
        <v>-101580.98</v>
      </c>
      <c r="F1175" s="42">
        <f t="shared" ref="F1175" si="620">SUM(F1177:F1178)</f>
        <v>-91449.05</v>
      </c>
      <c r="G1175" s="42">
        <f>F1175-E1175</f>
        <v>10131.929999999993</v>
      </c>
      <c r="I1175" s="2"/>
    </row>
    <row r="1176" spans="1:9" x14ac:dyDescent="0.25">
      <c r="A1176" s="41"/>
      <c r="B1176" s="41"/>
      <c r="C1176" s="3" t="s">
        <v>193</v>
      </c>
      <c r="D1176" s="5">
        <v>0</v>
      </c>
      <c r="E1176" s="5">
        <v>-101580.98</v>
      </c>
      <c r="F1176" s="5">
        <v>0</v>
      </c>
      <c r="G1176" s="5">
        <f t="shared" ref="G1176" si="621">F1176-E1176</f>
        <v>101580.98</v>
      </c>
      <c r="I1176" s="2"/>
    </row>
    <row r="1177" spans="1:9" x14ac:dyDescent="0.25">
      <c r="A1177" s="3"/>
      <c r="B1177" s="3"/>
      <c r="C1177" s="3" t="s">
        <v>52</v>
      </c>
      <c r="D1177" s="5">
        <v>-70417</v>
      </c>
      <c r="E1177" s="5">
        <v>0</v>
      </c>
      <c r="F1177" s="5">
        <v>-44850.04</v>
      </c>
      <c r="G1177" s="5">
        <f t="shared" ref="G1177:G1178" si="622">F1177-E1177</f>
        <v>-44850.04</v>
      </c>
      <c r="I1177" s="2"/>
    </row>
    <row r="1178" spans="1:9" x14ac:dyDescent="0.25">
      <c r="A1178" s="3"/>
      <c r="B1178" s="3"/>
      <c r="C1178" s="3" t="s">
        <v>53</v>
      </c>
      <c r="D1178" s="5">
        <v>-96157</v>
      </c>
      <c r="E1178" s="5">
        <v>0</v>
      </c>
      <c r="F1178" s="5">
        <v>-46599.01</v>
      </c>
      <c r="G1178" s="5">
        <f t="shared" si="622"/>
        <v>-46599.01</v>
      </c>
      <c r="I1178" s="2"/>
    </row>
    <row r="1179" spans="1:9" x14ac:dyDescent="0.25">
      <c r="A1179" s="41"/>
      <c r="B1179" s="41"/>
      <c r="C1179" s="41" t="s">
        <v>120</v>
      </c>
      <c r="D1179" s="42">
        <f>SUM(D1181:D1182)</f>
        <v>-1757393</v>
      </c>
      <c r="E1179" s="42">
        <f>E1180</f>
        <v>-2726833.68</v>
      </c>
      <c r="F1179" s="42">
        <f>SUM(F1181:F1183)</f>
        <v>-1669685.2400000002</v>
      </c>
      <c r="G1179" s="42">
        <f>F1179-E1179</f>
        <v>1057148.44</v>
      </c>
      <c r="I1179" s="2"/>
    </row>
    <row r="1180" spans="1:9" x14ac:dyDescent="0.25">
      <c r="A1180" s="41"/>
      <c r="B1180" s="41"/>
      <c r="C1180" s="3" t="s">
        <v>193</v>
      </c>
      <c r="D1180" s="5">
        <v>0</v>
      </c>
      <c r="E1180" s="5">
        <v>-2726833.68</v>
      </c>
      <c r="F1180" s="5">
        <v>0</v>
      </c>
      <c r="G1180" s="5">
        <f t="shared" ref="G1180" si="623">F1180-E1180</f>
        <v>2726833.68</v>
      </c>
      <c r="I1180" s="2"/>
    </row>
    <row r="1181" spans="1:9" x14ac:dyDescent="0.25">
      <c r="A1181" s="3"/>
      <c r="B1181" s="3"/>
      <c r="C1181" s="3" t="s">
        <v>52</v>
      </c>
      <c r="D1181" s="5">
        <v>-1262175</v>
      </c>
      <c r="E1181" s="5">
        <v>0</v>
      </c>
      <c r="F1181" s="5">
        <v>-1299451.51</v>
      </c>
      <c r="G1181" s="5">
        <f t="shared" ref="G1181:G1183" si="624">F1181-E1181</f>
        <v>-1299451.51</v>
      </c>
      <c r="I1181" s="2"/>
    </row>
    <row r="1182" spans="1:9" x14ac:dyDescent="0.25">
      <c r="A1182" s="41"/>
      <c r="B1182" s="41"/>
      <c r="C1182" s="3" t="s">
        <v>53</v>
      </c>
      <c r="D1182" s="5">
        <v>-495218</v>
      </c>
      <c r="E1182" s="5">
        <v>0</v>
      </c>
      <c r="F1182" s="5">
        <v>-370227.61</v>
      </c>
      <c r="G1182" s="5">
        <f t="shared" si="624"/>
        <v>-370227.61</v>
      </c>
      <c r="I1182" s="2"/>
    </row>
    <row r="1183" spans="1:9" x14ac:dyDescent="0.25">
      <c r="A1183" s="41"/>
      <c r="B1183" s="41"/>
      <c r="C1183" s="3" t="s">
        <v>54</v>
      </c>
      <c r="D1183" s="5">
        <v>0</v>
      </c>
      <c r="E1183" s="5">
        <v>0</v>
      </c>
      <c r="F1183" s="5">
        <v>-6.12</v>
      </c>
      <c r="G1183" s="5">
        <f t="shared" si="624"/>
        <v>-6.12</v>
      </c>
      <c r="I1183" s="2"/>
    </row>
    <row r="1184" spans="1:9" s="39" customFormat="1" x14ac:dyDescent="0.25">
      <c r="A1184" s="41"/>
      <c r="B1184" s="41"/>
      <c r="C1184" s="41" t="s">
        <v>121</v>
      </c>
      <c r="D1184" s="42">
        <v>-224173</v>
      </c>
      <c r="E1184" s="42">
        <f>D1184</f>
        <v>-224173</v>
      </c>
      <c r="F1184" s="5">
        <v>-246157.04</v>
      </c>
      <c r="G1184" s="42">
        <f>F1184-E1184</f>
        <v>-21984.040000000008</v>
      </c>
      <c r="H1184" s="25"/>
      <c r="I1184" s="2"/>
    </row>
    <row r="1185" spans="1:9" x14ac:dyDescent="0.25">
      <c r="A1185" s="41"/>
      <c r="B1185" s="41" t="s">
        <v>143</v>
      </c>
      <c r="C1185" s="41"/>
      <c r="D1185" s="42">
        <f>SUM(D1187:D1188)</f>
        <v>-6802879</v>
      </c>
      <c r="E1185" s="42">
        <f>SUM(E1186:E1189)</f>
        <v>-7011344.1299999999</v>
      </c>
      <c r="F1185" s="42">
        <f>SUM(F1187:F1190)</f>
        <v>-6351924.8300000001</v>
      </c>
      <c r="G1185" s="42">
        <f>F1185-E1185</f>
        <v>659419.29999999981</v>
      </c>
      <c r="I1185" s="2"/>
    </row>
    <row r="1186" spans="1:9" x14ac:dyDescent="0.25">
      <c r="A1186" s="41"/>
      <c r="B1186" s="41"/>
      <c r="C1186" s="3" t="s">
        <v>193</v>
      </c>
      <c r="D1186" s="5">
        <v>0</v>
      </c>
      <c r="E1186" s="5">
        <f>E1198+E1202</f>
        <v>-2581832.36</v>
      </c>
      <c r="F1186" s="5">
        <v>0</v>
      </c>
      <c r="G1186" s="5">
        <f t="shared" ref="G1186" si="625">F1186-E1186</f>
        <v>2581832.36</v>
      </c>
      <c r="I1186" s="2"/>
    </row>
    <row r="1187" spans="1:9" x14ac:dyDescent="0.25">
      <c r="A1187" s="3"/>
      <c r="B1187" s="3"/>
      <c r="C1187" s="3" t="s">
        <v>52</v>
      </c>
      <c r="D1187" s="5">
        <f t="shared" ref="D1187:F1188" si="626">D1192+D1199+D1203</f>
        <v>-5441198</v>
      </c>
      <c r="E1187" s="5">
        <f t="shared" si="626"/>
        <v>-3361324.81</v>
      </c>
      <c r="F1187" s="5">
        <f t="shared" si="626"/>
        <v>-5238634</v>
      </c>
      <c r="G1187" s="5">
        <f t="shared" ref="G1187:G1190" si="627">F1187-E1187</f>
        <v>-1877309.19</v>
      </c>
      <c r="I1187" s="2"/>
    </row>
    <row r="1188" spans="1:9" x14ac:dyDescent="0.25">
      <c r="A1188" s="3"/>
      <c r="B1188" s="3"/>
      <c r="C1188" s="3" t="s">
        <v>53</v>
      </c>
      <c r="D1188" s="5">
        <f t="shared" si="626"/>
        <v>-1361681</v>
      </c>
      <c r="E1188" s="5">
        <f t="shared" si="626"/>
        <v>-1036645.5399999999</v>
      </c>
      <c r="F1188" s="5">
        <f t="shared" si="626"/>
        <v>-1082979.3700000001</v>
      </c>
      <c r="G1188" s="5">
        <f t="shared" si="627"/>
        <v>-46333.830000000191</v>
      </c>
      <c r="I1188" s="2"/>
    </row>
    <row r="1189" spans="1:9" x14ac:dyDescent="0.25">
      <c r="A1189" s="3"/>
      <c r="B1189" s="3"/>
      <c r="C1189" s="3" t="s">
        <v>113</v>
      </c>
      <c r="D1189" s="5">
        <f>D1194</f>
        <v>0</v>
      </c>
      <c r="E1189" s="5">
        <f t="shared" ref="E1189:F1189" si="628">E1194</f>
        <v>-31541.42</v>
      </c>
      <c r="F1189" s="5">
        <f t="shared" si="628"/>
        <v>-31541.42</v>
      </c>
      <c r="G1189" s="5">
        <f t="shared" si="627"/>
        <v>0</v>
      </c>
      <c r="I1189" s="2"/>
    </row>
    <row r="1190" spans="1:9" x14ac:dyDescent="0.25">
      <c r="A1190" s="3"/>
      <c r="B1190" s="3"/>
      <c r="C1190" s="3" t="s">
        <v>114</v>
      </c>
      <c r="D1190" s="5">
        <v>0</v>
      </c>
      <c r="E1190" s="5">
        <v>0</v>
      </c>
      <c r="F1190" s="5">
        <f>F1205+F1196</f>
        <v>1229.9599999999991</v>
      </c>
      <c r="G1190" s="5">
        <f t="shared" si="627"/>
        <v>1229.9599999999991</v>
      </c>
      <c r="I1190" s="2"/>
    </row>
    <row r="1191" spans="1:9" x14ac:dyDescent="0.25">
      <c r="A1191" s="41"/>
      <c r="B1191" s="41"/>
      <c r="C1191" s="41" t="s">
        <v>117</v>
      </c>
      <c r="D1191" s="42">
        <f>SUM(D1192:D1193)</f>
        <v>-4551129</v>
      </c>
      <c r="E1191" s="42">
        <f>SUM(E1192:E1194)</f>
        <v>-4429511.7699999996</v>
      </c>
      <c r="F1191" s="42">
        <f>SUM(F1192:F1194)</f>
        <v>-4428626.24</v>
      </c>
      <c r="G1191" s="42">
        <f>F1191-E1191</f>
        <v>885.52999999932945</v>
      </c>
      <c r="I1191" s="2"/>
    </row>
    <row r="1192" spans="1:9" x14ac:dyDescent="0.25">
      <c r="A1192" s="3"/>
      <c r="B1192" s="3"/>
      <c r="C1192" s="3" t="s">
        <v>52</v>
      </c>
      <c r="D1192" s="5">
        <v>-3355321</v>
      </c>
      <c r="E1192" s="5">
        <v>-3361324.81</v>
      </c>
      <c r="F1192" s="5">
        <v>-3499635.79</v>
      </c>
      <c r="G1192" s="5">
        <f t="shared" ref="G1192:G1194" si="629">F1192-E1192</f>
        <v>-138310.97999999998</v>
      </c>
      <c r="I1192" s="2"/>
    </row>
    <row r="1193" spans="1:9" x14ac:dyDescent="0.25">
      <c r="A1193" s="3"/>
      <c r="B1193" s="3"/>
      <c r="C1193" s="3" t="s">
        <v>53</v>
      </c>
      <c r="D1193" s="5">
        <v>-1195808</v>
      </c>
      <c r="E1193" s="5">
        <f>-1026053.7-10591.84</f>
        <v>-1036645.5399999999</v>
      </c>
      <c r="F1193" s="5">
        <v>-897449.03</v>
      </c>
      <c r="G1193" s="5">
        <f t="shared" si="629"/>
        <v>139196.50999999989</v>
      </c>
      <c r="I1193" s="2"/>
    </row>
    <row r="1194" spans="1:9" x14ac:dyDescent="0.25">
      <c r="A1194" s="3"/>
      <c r="B1194" s="3"/>
      <c r="C1194" s="3" t="s">
        <v>113</v>
      </c>
      <c r="D1194" s="5">
        <v>0</v>
      </c>
      <c r="E1194" s="5">
        <v>-31541.42</v>
      </c>
      <c r="F1194" s="5">
        <v>-31541.42</v>
      </c>
      <c r="G1194" s="5">
        <f t="shared" si="629"/>
        <v>0</v>
      </c>
      <c r="I1194" s="2"/>
    </row>
    <row r="1195" spans="1:9" x14ac:dyDescent="0.25">
      <c r="A1195" s="3"/>
      <c r="B1195" s="3"/>
      <c r="C1195" s="41" t="s">
        <v>118</v>
      </c>
      <c r="D1195" s="42">
        <v>0</v>
      </c>
      <c r="E1195" s="42">
        <v>0</v>
      </c>
      <c r="F1195" s="42">
        <f>F1196</f>
        <v>11969.14</v>
      </c>
      <c r="G1195" s="42">
        <f>F1195-E1195</f>
        <v>11969.14</v>
      </c>
      <c r="I1195" s="2"/>
    </row>
    <row r="1196" spans="1:9" x14ac:dyDescent="0.25">
      <c r="A1196" s="3"/>
      <c r="B1196" s="3"/>
      <c r="C1196" s="3" t="s">
        <v>114</v>
      </c>
      <c r="D1196" s="5">
        <v>0</v>
      </c>
      <c r="E1196" s="5">
        <v>0</v>
      </c>
      <c r="F1196" s="5">
        <v>11969.14</v>
      </c>
      <c r="G1196" s="5">
        <f t="shared" ref="G1196" si="630">F1196-E1196</f>
        <v>11969.14</v>
      </c>
      <c r="I1196" s="2"/>
    </row>
    <row r="1197" spans="1:9" x14ac:dyDescent="0.25">
      <c r="A1197" s="41"/>
      <c r="B1197" s="41"/>
      <c r="C1197" s="41" t="s">
        <v>119</v>
      </c>
      <c r="D1197" s="42">
        <f>SUM(D1199:D1200)</f>
        <v>-226727</v>
      </c>
      <c r="E1197" s="42">
        <f>E1198</f>
        <v>-67133.52</v>
      </c>
      <c r="F1197" s="42">
        <f t="shared" ref="F1197" si="631">SUM(F1199:F1200)</f>
        <v>-52307.72</v>
      </c>
      <c r="G1197" s="42">
        <f>F1197-E1197</f>
        <v>14825.800000000003</v>
      </c>
      <c r="I1197" s="2"/>
    </row>
    <row r="1198" spans="1:9" x14ac:dyDescent="0.25">
      <c r="A1198" s="41"/>
      <c r="B1198" s="41"/>
      <c r="C1198" s="3" t="s">
        <v>193</v>
      </c>
      <c r="D1198" s="5">
        <v>0</v>
      </c>
      <c r="E1198" s="5">
        <v>-67133.52</v>
      </c>
      <c r="F1198" s="5">
        <v>0</v>
      </c>
      <c r="G1198" s="5">
        <f t="shared" ref="G1198" si="632">F1198-E1198</f>
        <v>67133.52</v>
      </c>
      <c r="I1198" s="2"/>
    </row>
    <row r="1199" spans="1:9" x14ac:dyDescent="0.25">
      <c r="A1199" s="3"/>
      <c r="B1199" s="3"/>
      <c r="C1199" s="3" t="s">
        <v>52</v>
      </c>
      <c r="D1199" s="5">
        <v>-225087</v>
      </c>
      <c r="E1199" s="5">
        <v>0</v>
      </c>
      <c r="F1199" s="5">
        <v>-27241.86</v>
      </c>
      <c r="G1199" s="5">
        <f t="shared" ref="G1199:G1200" si="633">F1199-E1199</f>
        <v>-27241.86</v>
      </c>
      <c r="I1199" s="2"/>
    </row>
    <row r="1200" spans="1:9" x14ac:dyDescent="0.25">
      <c r="A1200" s="41"/>
      <c r="B1200" s="41"/>
      <c r="C1200" s="3" t="s">
        <v>53</v>
      </c>
      <c r="D1200" s="5">
        <v>-1640</v>
      </c>
      <c r="E1200" s="5">
        <v>0</v>
      </c>
      <c r="F1200" s="5">
        <v>-25065.86</v>
      </c>
      <c r="G1200" s="5">
        <f t="shared" si="633"/>
        <v>-25065.86</v>
      </c>
      <c r="I1200" s="2"/>
    </row>
    <row r="1201" spans="1:9" x14ac:dyDescent="0.25">
      <c r="A1201" s="41"/>
      <c r="B1201" s="41"/>
      <c r="C1201" s="41" t="s">
        <v>120</v>
      </c>
      <c r="D1201" s="42">
        <f>SUM(D1203:D1204)</f>
        <v>-2025023</v>
      </c>
      <c r="E1201" s="42">
        <f>E1202</f>
        <v>-2514698.84</v>
      </c>
      <c r="F1201" s="42">
        <f>SUM(F1203:F1205)</f>
        <v>-1882960.01</v>
      </c>
      <c r="G1201" s="42">
        <f>F1201-E1201</f>
        <v>631738.82999999984</v>
      </c>
      <c r="I1201" s="2"/>
    </row>
    <row r="1202" spans="1:9" x14ac:dyDescent="0.25">
      <c r="A1202" s="41"/>
      <c r="B1202" s="41"/>
      <c r="C1202" s="3" t="s">
        <v>193</v>
      </c>
      <c r="D1202" s="5">
        <v>0</v>
      </c>
      <c r="E1202" s="5">
        <v>-2514698.84</v>
      </c>
      <c r="F1202" s="5">
        <v>0</v>
      </c>
      <c r="G1202" s="5">
        <f t="shared" ref="G1202" si="634">F1202-E1202</f>
        <v>2514698.84</v>
      </c>
      <c r="I1202" s="2"/>
    </row>
    <row r="1203" spans="1:9" x14ac:dyDescent="0.25">
      <c r="A1203" s="3"/>
      <c r="B1203" s="3"/>
      <c r="C1203" s="3" t="s">
        <v>52</v>
      </c>
      <c r="D1203" s="5">
        <v>-1860790</v>
      </c>
      <c r="E1203" s="5">
        <v>0</v>
      </c>
      <c r="F1203" s="5">
        <v>-1711756.35</v>
      </c>
      <c r="G1203" s="5">
        <f t="shared" ref="G1203:G1226" si="635">F1203-E1203</f>
        <v>-1711756.35</v>
      </c>
      <c r="I1203" s="2"/>
    </row>
    <row r="1204" spans="1:9" x14ac:dyDescent="0.25">
      <c r="A1204" s="41"/>
      <c r="B1204" s="41"/>
      <c r="C1204" s="3" t="s">
        <v>53</v>
      </c>
      <c r="D1204" s="5">
        <v>-164233</v>
      </c>
      <c r="E1204" s="5">
        <v>0</v>
      </c>
      <c r="F1204" s="5">
        <v>-160464.48000000001</v>
      </c>
      <c r="G1204" s="5">
        <f t="shared" si="635"/>
        <v>-160464.48000000001</v>
      </c>
      <c r="I1204" s="2"/>
    </row>
    <row r="1205" spans="1:9" x14ac:dyDescent="0.25">
      <c r="A1205" s="41"/>
      <c r="B1205" s="41"/>
      <c r="C1205" s="3" t="s">
        <v>54</v>
      </c>
      <c r="D1205" s="5">
        <v>0</v>
      </c>
      <c r="E1205" s="5">
        <v>0</v>
      </c>
      <c r="F1205" s="5">
        <v>-10739.18</v>
      </c>
      <c r="G1205" s="5">
        <f t="shared" si="635"/>
        <v>-10739.18</v>
      </c>
      <c r="I1205" s="2"/>
    </row>
    <row r="1206" spans="1:9" x14ac:dyDescent="0.25">
      <c r="A1206" s="41"/>
      <c r="B1206" s="39" t="s">
        <v>195</v>
      </c>
      <c r="C1206" s="41"/>
      <c r="D1206" s="42">
        <f>SUM(D1207:D1210)</f>
        <v>0</v>
      </c>
      <c r="E1206" s="42">
        <f t="shared" ref="E1206:F1206" si="636">SUM(E1207:E1210)</f>
        <v>-329552.85000000003</v>
      </c>
      <c r="F1206" s="42">
        <f t="shared" si="636"/>
        <v>-107101.45999999999</v>
      </c>
      <c r="G1206" s="42">
        <f>F1206-E1206</f>
        <v>222451.39000000004</v>
      </c>
      <c r="I1206" s="2"/>
    </row>
    <row r="1207" spans="1:9" x14ac:dyDescent="0.25">
      <c r="A1207" s="41"/>
      <c r="B1207" s="41"/>
      <c r="C1207" s="3" t="s">
        <v>193</v>
      </c>
      <c r="D1207" s="42">
        <v>0</v>
      </c>
      <c r="E1207" s="5">
        <f>E1217</f>
        <v>-3146.72</v>
      </c>
      <c r="F1207" s="5">
        <v>0</v>
      </c>
      <c r="G1207" s="5">
        <f t="shared" ref="G1207:G1210" si="637">F1207-E1207</f>
        <v>3146.72</v>
      </c>
      <c r="I1207" s="2"/>
    </row>
    <row r="1208" spans="1:9" x14ac:dyDescent="0.25">
      <c r="A1208" s="41"/>
      <c r="B1208" s="3"/>
      <c r="C1208" s="3" t="s">
        <v>52</v>
      </c>
      <c r="D1208" s="5">
        <f>D1212+D1218</f>
        <v>0</v>
      </c>
      <c r="E1208" s="5">
        <f t="shared" ref="E1208:F1208" si="638">E1212+E1218</f>
        <v>-59383.93</v>
      </c>
      <c r="F1208" s="5">
        <f t="shared" si="638"/>
        <v>-58429.34</v>
      </c>
      <c r="G1208" s="5">
        <f t="shared" si="637"/>
        <v>954.59000000000378</v>
      </c>
      <c r="I1208" s="2"/>
    </row>
    <row r="1209" spans="1:9" x14ac:dyDescent="0.25">
      <c r="A1209" s="41"/>
      <c r="B1209" s="3"/>
      <c r="C1209" s="3" t="s">
        <v>53</v>
      </c>
      <c r="D1209" s="5">
        <f>D1213+D1219</f>
        <v>0</v>
      </c>
      <c r="E1209" s="5">
        <f t="shared" ref="E1209:F1209" si="639">E1213+E1219</f>
        <v>-267022.2</v>
      </c>
      <c r="F1209" s="5">
        <f t="shared" si="639"/>
        <v>-7306.11</v>
      </c>
      <c r="G1209" s="5">
        <f t="shared" si="637"/>
        <v>259716.09000000003</v>
      </c>
      <c r="I1209" s="2"/>
    </row>
    <row r="1210" spans="1:9" x14ac:dyDescent="0.25">
      <c r="A1210" s="41"/>
      <c r="B1210" s="3"/>
      <c r="C1210" s="3" t="s">
        <v>114</v>
      </c>
      <c r="D1210" s="5">
        <f>D1220+D1215</f>
        <v>0</v>
      </c>
      <c r="E1210" s="5">
        <f t="shared" ref="E1210:F1210" si="640">E1220+E1215</f>
        <v>0</v>
      </c>
      <c r="F1210" s="5">
        <f t="shared" si="640"/>
        <v>-41366.01</v>
      </c>
      <c r="G1210" s="5">
        <f t="shared" si="637"/>
        <v>-41366.01</v>
      </c>
      <c r="I1210" s="2"/>
    </row>
    <row r="1211" spans="1:9" x14ac:dyDescent="0.25">
      <c r="A1211" s="41"/>
      <c r="B1211" s="41"/>
      <c r="C1211" s="41" t="s">
        <v>117</v>
      </c>
      <c r="D1211" s="42">
        <f>SUM(D1212:D1213)</f>
        <v>0</v>
      </c>
      <c r="E1211" s="42">
        <f>SUM(E1212:E1213)</f>
        <v>-326406.13</v>
      </c>
      <c r="F1211" s="42">
        <f>SUM(F1212:F1213)</f>
        <v>-63628.56</v>
      </c>
      <c r="G1211" s="42">
        <f>F1211-E1211</f>
        <v>262777.57</v>
      </c>
      <c r="I1211" s="2"/>
    </row>
    <row r="1212" spans="1:9" x14ac:dyDescent="0.25">
      <c r="A1212" s="41"/>
      <c r="B1212" s="3"/>
      <c r="C1212" s="3" t="s">
        <v>52</v>
      </c>
      <c r="D1212" s="5">
        <v>0</v>
      </c>
      <c r="E1212" s="5">
        <v>-59383.93</v>
      </c>
      <c r="F1212" s="5">
        <v>-56439.53</v>
      </c>
      <c r="G1212" s="5">
        <f t="shared" ref="G1212:G1215" si="641">F1212-E1212</f>
        <v>2944.4000000000015</v>
      </c>
      <c r="I1212" s="2"/>
    </row>
    <row r="1213" spans="1:9" x14ac:dyDescent="0.25">
      <c r="A1213" s="41"/>
      <c r="B1213" s="3"/>
      <c r="C1213" s="3" t="s">
        <v>53</v>
      </c>
      <c r="D1213" s="5">
        <v>0</v>
      </c>
      <c r="E1213" s="5">
        <v>-267022.2</v>
      </c>
      <c r="F1213" s="5">
        <v>-7189.03</v>
      </c>
      <c r="G1213" s="5">
        <f t="shared" si="641"/>
        <v>259833.17</v>
      </c>
      <c r="I1213" s="2"/>
    </row>
    <row r="1214" spans="1:9" x14ac:dyDescent="0.25">
      <c r="A1214" s="41"/>
      <c r="B1214" s="41"/>
      <c r="C1214" s="41" t="s">
        <v>118</v>
      </c>
      <c r="D1214" s="42">
        <f>D1215</f>
        <v>0</v>
      </c>
      <c r="E1214" s="42">
        <f t="shared" ref="E1214:F1214" si="642">E1215</f>
        <v>0</v>
      </c>
      <c r="F1214" s="42">
        <f t="shared" si="642"/>
        <v>0.03</v>
      </c>
      <c r="G1214" s="42">
        <f t="shared" si="641"/>
        <v>0.03</v>
      </c>
      <c r="I1214" s="2"/>
    </row>
    <row r="1215" spans="1:9" x14ac:dyDescent="0.25">
      <c r="A1215" s="41"/>
      <c r="B1215" s="3"/>
      <c r="C1215" s="3" t="s">
        <v>54</v>
      </c>
      <c r="D1215" s="5">
        <v>0</v>
      </c>
      <c r="E1215" s="5">
        <v>0</v>
      </c>
      <c r="F1215" s="5">
        <v>0.03</v>
      </c>
      <c r="G1215" s="5">
        <f t="shared" si="641"/>
        <v>0.03</v>
      </c>
      <c r="I1215" s="2"/>
    </row>
    <row r="1216" spans="1:9" x14ac:dyDescent="0.25">
      <c r="A1216" s="41"/>
      <c r="B1216" s="41"/>
      <c r="C1216" s="41" t="s">
        <v>119</v>
      </c>
      <c r="D1216" s="42">
        <f>SUM(D1217:D1219)</f>
        <v>0</v>
      </c>
      <c r="E1216" s="42">
        <f t="shared" ref="E1216:F1216" si="643">SUM(E1217:E1219)</f>
        <v>-3146.72</v>
      </c>
      <c r="F1216" s="42">
        <f t="shared" si="643"/>
        <v>-2106.89</v>
      </c>
      <c r="G1216" s="42">
        <f>F1216-E1216</f>
        <v>1039.83</v>
      </c>
      <c r="I1216" s="2"/>
    </row>
    <row r="1217" spans="1:9" x14ac:dyDescent="0.25">
      <c r="A1217" s="41"/>
      <c r="B1217" s="41"/>
      <c r="C1217" s="3" t="s">
        <v>193</v>
      </c>
      <c r="D1217" s="42">
        <v>0</v>
      </c>
      <c r="E1217" s="5">
        <v>-3146.72</v>
      </c>
      <c r="F1217" s="5">
        <v>0</v>
      </c>
      <c r="G1217" s="5">
        <f t="shared" ref="G1217:G1219" si="644">F1217-E1217</f>
        <v>3146.72</v>
      </c>
      <c r="I1217" s="2"/>
    </row>
    <row r="1218" spans="1:9" x14ac:dyDescent="0.25">
      <c r="A1218" s="41"/>
      <c r="B1218" s="3"/>
      <c r="C1218" s="3" t="s">
        <v>52</v>
      </c>
      <c r="D1218" s="5">
        <v>0</v>
      </c>
      <c r="E1218" s="5">
        <v>0</v>
      </c>
      <c r="F1218" s="5">
        <v>-1989.81</v>
      </c>
      <c r="G1218" s="5">
        <f t="shared" si="644"/>
        <v>-1989.81</v>
      </c>
      <c r="I1218" s="2"/>
    </row>
    <row r="1219" spans="1:9" x14ac:dyDescent="0.25">
      <c r="A1219" s="41"/>
      <c r="B1219" s="41"/>
      <c r="C1219" s="3" t="s">
        <v>53</v>
      </c>
      <c r="D1219" s="5">
        <v>0</v>
      </c>
      <c r="E1219" s="5">
        <v>0</v>
      </c>
      <c r="F1219" s="5">
        <v>-117.08</v>
      </c>
      <c r="G1219" s="5">
        <f t="shared" si="644"/>
        <v>-117.08</v>
      </c>
      <c r="I1219" s="2"/>
    </row>
    <row r="1220" spans="1:9" x14ac:dyDescent="0.25">
      <c r="A1220" s="41"/>
      <c r="B1220" s="41"/>
      <c r="C1220" s="41" t="s">
        <v>121</v>
      </c>
      <c r="D1220" s="42">
        <v>0</v>
      </c>
      <c r="E1220" s="42">
        <f>D1220</f>
        <v>0</v>
      </c>
      <c r="F1220" s="5">
        <v>-41366.04</v>
      </c>
      <c r="G1220" s="42">
        <f>F1220-E1220</f>
        <v>-41366.04</v>
      </c>
      <c r="I1220" s="2"/>
    </row>
    <row r="1221" spans="1:9" s="39" customFormat="1" ht="15.75" x14ac:dyDescent="0.25">
      <c r="A1221" s="71" t="s">
        <v>202</v>
      </c>
      <c r="B1221" s="41"/>
      <c r="C1221" s="41"/>
      <c r="D1221" s="42">
        <f>SUM(D1222:D1226)</f>
        <v>-11551685</v>
      </c>
      <c r="E1221" s="42">
        <f t="shared" ref="E1221:F1221" si="645">SUM(E1222:E1226)</f>
        <v>-16772652.75</v>
      </c>
      <c r="F1221" s="42">
        <f t="shared" si="645"/>
        <v>-14360855.599999998</v>
      </c>
      <c r="G1221" s="42">
        <f t="shared" si="635"/>
        <v>2411797.1500000022</v>
      </c>
      <c r="H1221" s="25"/>
      <c r="I1221" s="2"/>
    </row>
    <row r="1222" spans="1:9" x14ac:dyDescent="0.25">
      <c r="A1222" s="3"/>
      <c r="B1222" s="3" t="s">
        <v>117</v>
      </c>
      <c r="C1222" s="3"/>
      <c r="D1222" s="5">
        <f>D1234+D1263+D1287</f>
        <v>-7885782</v>
      </c>
      <c r="E1222" s="5">
        <f>E1234+E1263+E1287+E1253+E1308</f>
        <v>-9199515.5700000003</v>
      </c>
      <c r="F1222" s="5">
        <f>F1234+F1263+F1287+F1253+F1308</f>
        <v>-8038460.919999999</v>
      </c>
      <c r="G1222" s="5">
        <f t="shared" si="635"/>
        <v>1161054.6500000013</v>
      </c>
      <c r="I1222" s="2"/>
    </row>
    <row r="1223" spans="1:9" x14ac:dyDescent="0.25">
      <c r="A1223" s="3"/>
      <c r="B1223" s="3" t="s">
        <v>118</v>
      </c>
      <c r="C1223" s="3"/>
      <c r="D1223" s="5">
        <v>0</v>
      </c>
      <c r="E1223" s="5">
        <v>0</v>
      </c>
      <c r="F1223" s="5">
        <f>F1239+F1268+F1291</f>
        <v>396.71000000000004</v>
      </c>
      <c r="G1223" s="5">
        <f t="shared" si="635"/>
        <v>396.71000000000004</v>
      </c>
      <c r="I1223" s="2"/>
    </row>
    <row r="1224" spans="1:9" x14ac:dyDescent="0.25">
      <c r="A1224" s="3"/>
      <c r="B1224" s="3" t="s">
        <v>119</v>
      </c>
      <c r="C1224" s="3"/>
      <c r="D1224" s="5">
        <f>D1241+D1293</f>
        <v>-75842</v>
      </c>
      <c r="E1224" s="5">
        <f>E1241+E1270+E1293+E1313</f>
        <v>-652610.74999999988</v>
      </c>
      <c r="F1224" s="5">
        <f>F1241+F1293+F1270+F1313</f>
        <v>-565176.27</v>
      </c>
      <c r="G1224" s="5">
        <f t="shared" si="635"/>
        <v>87434.479999999865</v>
      </c>
      <c r="I1224" s="2"/>
    </row>
    <row r="1225" spans="1:9" x14ac:dyDescent="0.25">
      <c r="A1225" s="3"/>
      <c r="B1225" s="3" t="s">
        <v>120</v>
      </c>
      <c r="C1225" s="3"/>
      <c r="D1225" s="5">
        <f>D1274+D1297</f>
        <v>-2707191</v>
      </c>
      <c r="E1225" s="5">
        <f>E1274+E1297+E1245</f>
        <v>-6037656.4300000006</v>
      </c>
      <c r="F1225" s="5">
        <f>F1274+F1297+F1245</f>
        <v>-4555412.0699999994</v>
      </c>
      <c r="G1225" s="5">
        <f t="shared" si="635"/>
        <v>1482244.3600000013</v>
      </c>
      <c r="I1225" s="2"/>
    </row>
    <row r="1226" spans="1:9" x14ac:dyDescent="0.25">
      <c r="A1226" s="3"/>
      <c r="B1226" s="3" t="s">
        <v>121</v>
      </c>
      <c r="C1226" s="3"/>
      <c r="D1226" s="5">
        <f>D1248+D1280</f>
        <v>-882870</v>
      </c>
      <c r="E1226" s="5">
        <f t="shared" ref="E1226" si="646">E1248+E1280</f>
        <v>-882870</v>
      </c>
      <c r="F1226" s="5">
        <f>F1248+F1280+F1317</f>
        <v>-1202203.0499999998</v>
      </c>
      <c r="G1226" s="5">
        <f t="shared" si="635"/>
        <v>-319333.04999999981</v>
      </c>
      <c r="I1226" s="2"/>
    </row>
    <row r="1227" spans="1:9" x14ac:dyDescent="0.25">
      <c r="A1227" s="41"/>
      <c r="B1227" s="41" t="s">
        <v>87</v>
      </c>
      <c r="C1227" s="41"/>
      <c r="D1227" s="42">
        <f>SUM(D1229:D1233)</f>
        <v>-1366247</v>
      </c>
      <c r="E1227" s="42">
        <f>SUM(E1228:E1233)</f>
        <v>-2363951.42</v>
      </c>
      <c r="F1227" s="42">
        <f>SUM(F1229:F1233)</f>
        <v>-1902816.5</v>
      </c>
      <c r="G1227" s="42">
        <f>F1227-E1227</f>
        <v>461134.91999999993</v>
      </c>
      <c r="I1227" s="2"/>
    </row>
    <row r="1228" spans="1:9" x14ac:dyDescent="0.25">
      <c r="A1228" s="41"/>
      <c r="B1228" s="41"/>
      <c r="C1228" s="3" t="s">
        <v>193</v>
      </c>
      <c r="D1228" s="5">
        <v>0</v>
      </c>
      <c r="E1228" s="5">
        <f>E1242+E1246</f>
        <v>-552645.37</v>
      </c>
      <c r="F1228" s="5">
        <v>0</v>
      </c>
      <c r="G1228" s="5">
        <f t="shared" ref="G1228" si="647">F1228-E1228</f>
        <v>552645.37</v>
      </c>
      <c r="I1228" s="2"/>
    </row>
    <row r="1229" spans="1:9" x14ac:dyDescent="0.25">
      <c r="A1229" s="3"/>
      <c r="B1229" s="3"/>
      <c r="C1229" s="3" t="s">
        <v>52</v>
      </c>
      <c r="D1229" s="5">
        <f>D1235+D1243</f>
        <v>-423892</v>
      </c>
      <c r="E1229" s="5">
        <f>E1235+E1243</f>
        <v>-549709.30000000005</v>
      </c>
      <c r="F1229" s="5">
        <f>F1235+F1243</f>
        <v>-462339.31999999995</v>
      </c>
      <c r="G1229" s="5">
        <f t="shared" ref="G1229:G1233" si="648">F1229-E1229</f>
        <v>87369.980000000098</v>
      </c>
      <c r="I1229" s="2"/>
    </row>
    <row r="1230" spans="1:9" x14ac:dyDescent="0.25">
      <c r="A1230" s="3"/>
      <c r="B1230" s="3"/>
      <c r="C1230" s="3" t="s">
        <v>53</v>
      </c>
      <c r="D1230" s="5">
        <f>D1236+D1244</f>
        <v>-835939</v>
      </c>
      <c r="E1230" s="5">
        <f t="shared" ref="E1230:F1230" si="649">E1236+E1244</f>
        <v>-1039655.75</v>
      </c>
      <c r="F1230" s="5">
        <f t="shared" si="649"/>
        <v>-734619.04</v>
      </c>
      <c r="G1230" s="5">
        <f t="shared" si="648"/>
        <v>305036.70999999996</v>
      </c>
      <c r="I1230" s="2"/>
    </row>
    <row r="1231" spans="1:9" x14ac:dyDescent="0.25">
      <c r="A1231" s="3"/>
      <c r="B1231" s="3"/>
      <c r="C1231" s="3" t="s">
        <v>122</v>
      </c>
      <c r="D1231" s="5">
        <v>0</v>
      </c>
      <c r="E1231" s="5">
        <v>0</v>
      </c>
      <c r="F1231" s="5">
        <f>F1247</f>
        <v>-501807.26</v>
      </c>
      <c r="G1231" s="5">
        <f t="shared" si="648"/>
        <v>-501807.26</v>
      </c>
      <c r="I1231" s="2"/>
    </row>
    <row r="1232" spans="1:9" x14ac:dyDescent="0.25">
      <c r="A1232" s="3"/>
      <c r="B1232" s="3"/>
      <c r="C1232" s="3" t="s">
        <v>113</v>
      </c>
      <c r="D1232" s="5">
        <f>D1237</f>
        <v>-4000</v>
      </c>
      <c r="E1232" s="5">
        <f t="shared" ref="E1232:F1232" si="650">E1237</f>
        <v>-119525</v>
      </c>
      <c r="F1232" s="5">
        <f t="shared" si="650"/>
        <v>-106131.83</v>
      </c>
      <c r="G1232" s="5">
        <f t="shared" si="648"/>
        <v>13393.169999999998</v>
      </c>
      <c r="I1232" s="2"/>
    </row>
    <row r="1233" spans="1:9" x14ac:dyDescent="0.25">
      <c r="A1233" s="3"/>
      <c r="B1233" s="3"/>
      <c r="C1233" s="3" t="s">
        <v>114</v>
      </c>
      <c r="D1233" s="5">
        <f>D1248</f>
        <v>-102416</v>
      </c>
      <c r="E1233" s="5">
        <f t="shared" ref="E1233" si="651">E1248</f>
        <v>-102416</v>
      </c>
      <c r="F1233" s="5">
        <f>F1248+F1238+F1240</f>
        <v>-97919.05</v>
      </c>
      <c r="G1233" s="5">
        <f t="shared" si="648"/>
        <v>4496.9499999999971</v>
      </c>
      <c r="I1233" s="2"/>
    </row>
    <row r="1234" spans="1:9" x14ac:dyDescent="0.25">
      <c r="A1234" s="41"/>
      <c r="B1234" s="41"/>
      <c r="C1234" s="41" t="s">
        <v>117</v>
      </c>
      <c r="D1234" s="42">
        <f>SUM(D1235:D1237)</f>
        <v>-1190446</v>
      </c>
      <c r="E1234" s="42">
        <f t="shared" ref="E1234" si="652">SUM(E1235:E1237)</f>
        <v>-1708890.05</v>
      </c>
      <c r="F1234" s="42">
        <f>SUM(F1235:F1238)</f>
        <v>-1266911.5</v>
      </c>
      <c r="G1234" s="42">
        <f>F1234-E1234</f>
        <v>441978.55000000005</v>
      </c>
      <c r="I1234" s="2"/>
    </row>
    <row r="1235" spans="1:9" x14ac:dyDescent="0.25">
      <c r="A1235" s="3"/>
      <c r="B1235" s="3"/>
      <c r="C1235" s="3" t="s">
        <v>52</v>
      </c>
      <c r="D1235" s="5">
        <v>-367384</v>
      </c>
      <c r="E1235" s="5">
        <v>-549709.30000000005</v>
      </c>
      <c r="F1235" s="5">
        <v>-429601.72</v>
      </c>
      <c r="G1235" s="5">
        <f t="shared" ref="G1235:G1238" si="653">F1235-E1235</f>
        <v>120107.58000000007</v>
      </c>
      <c r="I1235" s="2"/>
    </row>
    <row r="1236" spans="1:9" x14ac:dyDescent="0.25">
      <c r="A1236" s="3"/>
      <c r="B1236" s="3"/>
      <c r="C1236" s="3" t="s">
        <v>53</v>
      </c>
      <c r="D1236" s="5">
        <v>-819062</v>
      </c>
      <c r="E1236" s="5">
        <f>-1034796.43-4859.32</f>
        <v>-1039655.75</v>
      </c>
      <c r="F1236" s="5">
        <v>-731155.39</v>
      </c>
      <c r="G1236" s="5">
        <f t="shared" si="653"/>
        <v>308500.36</v>
      </c>
      <c r="I1236" s="2"/>
    </row>
    <row r="1237" spans="1:9" x14ac:dyDescent="0.25">
      <c r="A1237" s="3"/>
      <c r="B1237" s="3"/>
      <c r="C1237" s="3" t="s">
        <v>113</v>
      </c>
      <c r="D1237" s="5">
        <v>-4000</v>
      </c>
      <c r="E1237" s="5">
        <v>-119525</v>
      </c>
      <c r="F1237" s="5">
        <v>-106131.83</v>
      </c>
      <c r="G1237" s="5">
        <f t="shared" si="653"/>
        <v>13393.169999999998</v>
      </c>
      <c r="I1237" s="2"/>
    </row>
    <row r="1238" spans="1:9" x14ac:dyDescent="0.25">
      <c r="A1238" s="3"/>
      <c r="B1238" s="3"/>
      <c r="C1238" s="3" t="s">
        <v>54</v>
      </c>
      <c r="D1238" s="5">
        <v>0</v>
      </c>
      <c r="E1238" s="5">
        <v>0</v>
      </c>
      <c r="F1238" s="5">
        <v>-22.56</v>
      </c>
      <c r="G1238" s="5">
        <f t="shared" si="653"/>
        <v>-22.56</v>
      </c>
      <c r="I1238" s="2"/>
    </row>
    <row r="1239" spans="1:9" x14ac:dyDescent="0.25">
      <c r="A1239" s="3"/>
      <c r="B1239" s="3"/>
      <c r="C1239" s="41" t="s">
        <v>118</v>
      </c>
      <c r="D1239" s="42">
        <v>0</v>
      </c>
      <c r="E1239" s="42">
        <v>0</v>
      </c>
      <c r="F1239" s="42">
        <f>F1240</f>
        <v>-16.61</v>
      </c>
      <c r="G1239" s="42">
        <f>F1239-E1239</f>
        <v>-16.61</v>
      </c>
      <c r="I1239" s="2"/>
    </row>
    <row r="1240" spans="1:9" x14ac:dyDescent="0.25">
      <c r="A1240" s="3"/>
      <c r="B1240" s="3"/>
      <c r="C1240" s="3" t="s">
        <v>114</v>
      </c>
      <c r="D1240" s="5">
        <v>0</v>
      </c>
      <c r="E1240" s="5">
        <v>0</v>
      </c>
      <c r="F1240" s="5">
        <v>-16.61</v>
      </c>
      <c r="G1240" s="5">
        <f t="shared" ref="G1240" si="654">F1240-E1240</f>
        <v>-16.61</v>
      </c>
      <c r="I1240" s="2"/>
    </row>
    <row r="1241" spans="1:9" x14ac:dyDescent="0.25">
      <c r="A1241" s="41"/>
      <c r="B1241" s="41"/>
      <c r="C1241" s="41" t="s">
        <v>119</v>
      </c>
      <c r="D1241" s="42">
        <f>SUM(D1243:D1244)</f>
        <v>-73385</v>
      </c>
      <c r="E1241" s="42">
        <f>E1242</f>
        <v>-50838.11</v>
      </c>
      <c r="F1241" s="42">
        <f t="shared" ref="F1241" si="655">SUM(F1243:F1244)</f>
        <v>-36201.25</v>
      </c>
      <c r="G1241" s="42">
        <f>F1241-E1241</f>
        <v>14636.86</v>
      </c>
      <c r="I1241" s="2"/>
    </row>
    <row r="1242" spans="1:9" x14ac:dyDescent="0.25">
      <c r="A1242" s="41"/>
      <c r="B1242" s="41"/>
      <c r="C1242" s="3" t="s">
        <v>193</v>
      </c>
      <c r="D1242" s="5">
        <v>0</v>
      </c>
      <c r="E1242" s="5">
        <v>-50838.11</v>
      </c>
      <c r="F1242" s="5">
        <v>0</v>
      </c>
      <c r="G1242" s="5">
        <f t="shared" ref="G1242" si="656">F1242-E1242</f>
        <v>50838.11</v>
      </c>
      <c r="I1242" s="2"/>
    </row>
    <row r="1243" spans="1:9" x14ac:dyDescent="0.25">
      <c r="A1243" s="3"/>
      <c r="B1243" s="3"/>
      <c r="C1243" s="3" t="s">
        <v>52</v>
      </c>
      <c r="D1243" s="5">
        <v>-56508</v>
      </c>
      <c r="E1243" s="5">
        <v>0</v>
      </c>
      <c r="F1243" s="5">
        <v>-32737.599999999999</v>
      </c>
      <c r="G1243" s="5">
        <f t="shared" ref="G1243:G1244" si="657">F1243-E1243</f>
        <v>-32737.599999999999</v>
      </c>
      <c r="I1243" s="2"/>
    </row>
    <row r="1244" spans="1:9" x14ac:dyDescent="0.25">
      <c r="A1244" s="3"/>
      <c r="B1244" s="3"/>
      <c r="C1244" s="3" t="s">
        <v>53</v>
      </c>
      <c r="D1244" s="5">
        <v>-16877</v>
      </c>
      <c r="E1244" s="5">
        <v>0</v>
      </c>
      <c r="F1244" s="5">
        <v>-3463.65</v>
      </c>
      <c r="G1244" s="5">
        <f t="shared" si="657"/>
        <v>-3463.65</v>
      </c>
      <c r="I1244" s="2"/>
    </row>
    <row r="1245" spans="1:9" x14ac:dyDescent="0.25">
      <c r="A1245" s="3"/>
      <c r="B1245" s="3"/>
      <c r="C1245" s="41" t="s">
        <v>120</v>
      </c>
      <c r="D1245" s="42">
        <v>0</v>
      </c>
      <c r="E1245" s="42">
        <f>E1246</f>
        <v>-501807.26</v>
      </c>
      <c r="F1245" s="42">
        <f>SUM(F1247:F1247)</f>
        <v>-501807.26</v>
      </c>
      <c r="G1245" s="42">
        <f>F1245-E1245</f>
        <v>0</v>
      </c>
      <c r="I1245" s="2"/>
    </row>
    <row r="1246" spans="1:9" x14ac:dyDescent="0.25">
      <c r="A1246" s="3"/>
      <c r="B1246" s="3"/>
      <c r="C1246" s="3" t="s">
        <v>193</v>
      </c>
      <c r="D1246" s="5">
        <v>0</v>
      </c>
      <c r="E1246" s="5">
        <v>-501807.26</v>
      </c>
      <c r="F1246" s="5">
        <v>0</v>
      </c>
      <c r="G1246" s="5">
        <f t="shared" ref="G1246:G1247" si="658">F1246-E1246</f>
        <v>501807.26</v>
      </c>
      <c r="I1246" s="2"/>
    </row>
    <row r="1247" spans="1:9" x14ac:dyDescent="0.25">
      <c r="A1247" s="3"/>
      <c r="B1247" s="3"/>
      <c r="C1247" s="3" t="s">
        <v>122</v>
      </c>
      <c r="D1247" s="5">
        <v>0</v>
      </c>
      <c r="E1247" s="5">
        <v>0</v>
      </c>
      <c r="F1247" s="5">
        <v>-501807.26</v>
      </c>
      <c r="G1247" s="5">
        <f t="shared" si="658"/>
        <v>-501807.26</v>
      </c>
      <c r="I1247" s="2"/>
    </row>
    <row r="1248" spans="1:9" s="39" customFormat="1" x14ac:dyDescent="0.25">
      <c r="A1248" s="41"/>
      <c r="B1248" s="41"/>
      <c r="C1248" s="41" t="s">
        <v>121</v>
      </c>
      <c r="D1248" s="42">
        <v>-102416</v>
      </c>
      <c r="E1248" s="42">
        <f>D1248</f>
        <v>-102416</v>
      </c>
      <c r="F1248" s="5">
        <v>-97879.88</v>
      </c>
      <c r="G1248" s="42">
        <f>F1248-E1248</f>
        <v>4536.1199999999953</v>
      </c>
      <c r="H1248" s="25"/>
      <c r="I1248" s="2"/>
    </row>
    <row r="1249" spans="1:9" s="39" customFormat="1" x14ac:dyDescent="0.25">
      <c r="A1249" s="41"/>
      <c r="B1249" s="41" t="s">
        <v>129</v>
      </c>
      <c r="C1249" s="41"/>
      <c r="D1249" s="42">
        <v>0</v>
      </c>
      <c r="E1249" s="42">
        <f>SUM(E1250:E1252)</f>
        <v>-186726.52000000002</v>
      </c>
      <c r="F1249" s="42">
        <f>SUM(F1250:F1252)</f>
        <v>-186726.51</v>
      </c>
      <c r="G1249" s="42">
        <f>F1249-E1249</f>
        <v>1.0000000009313226E-2</v>
      </c>
      <c r="H1249" s="25"/>
      <c r="I1249" s="2"/>
    </row>
    <row r="1250" spans="1:9" s="39" customFormat="1" x14ac:dyDescent="0.25">
      <c r="A1250" s="41"/>
      <c r="B1250" s="3"/>
      <c r="C1250" s="3" t="s">
        <v>52</v>
      </c>
      <c r="D1250" s="5">
        <v>0</v>
      </c>
      <c r="E1250" s="5">
        <f t="shared" ref="E1250:F1252" si="659">E1254</f>
        <v>-158466.92000000001</v>
      </c>
      <c r="F1250" s="5">
        <f t="shared" si="659"/>
        <v>-158466.92000000001</v>
      </c>
      <c r="G1250" s="5">
        <f t="shared" ref="G1250:G1252" si="660">F1250-E1250</f>
        <v>0</v>
      </c>
      <c r="H1250" s="25"/>
      <c r="I1250" s="2"/>
    </row>
    <row r="1251" spans="1:9" s="39" customFormat="1" x14ac:dyDescent="0.25">
      <c r="A1251" s="41"/>
      <c r="B1251" s="3"/>
      <c r="C1251" s="3" t="s">
        <v>53</v>
      </c>
      <c r="D1251" s="5">
        <v>0</v>
      </c>
      <c r="E1251" s="5">
        <f t="shared" si="659"/>
        <v>-28250.29</v>
      </c>
      <c r="F1251" s="5">
        <f t="shared" si="659"/>
        <v>-28250.29</v>
      </c>
      <c r="G1251" s="5">
        <f t="shared" si="660"/>
        <v>0</v>
      </c>
      <c r="H1251" s="25"/>
      <c r="I1251" s="2"/>
    </row>
    <row r="1252" spans="1:9" s="39" customFormat="1" x14ac:dyDescent="0.25">
      <c r="A1252" s="41"/>
      <c r="B1252" s="3"/>
      <c r="C1252" s="3" t="s">
        <v>113</v>
      </c>
      <c r="D1252" s="5">
        <v>0</v>
      </c>
      <c r="E1252" s="5">
        <f t="shared" si="659"/>
        <v>-9.31</v>
      </c>
      <c r="F1252" s="5">
        <f t="shared" si="659"/>
        <v>-9.3000000000000007</v>
      </c>
      <c r="G1252" s="5">
        <f t="shared" si="660"/>
        <v>9.9999999999997868E-3</v>
      </c>
      <c r="H1252" s="25"/>
      <c r="I1252" s="2"/>
    </row>
    <row r="1253" spans="1:9" s="39" customFormat="1" x14ac:dyDescent="0.25">
      <c r="A1253" s="41"/>
      <c r="B1253" s="41"/>
      <c r="C1253" s="41" t="s">
        <v>117</v>
      </c>
      <c r="D1253" s="42">
        <f>SUM(D1254:D1255)</f>
        <v>0</v>
      </c>
      <c r="E1253" s="42">
        <f>SUM(E1254:E1256)</f>
        <v>-186726.52000000002</v>
      </c>
      <c r="F1253" s="42">
        <f>SUM(F1254:F1256)</f>
        <v>-186726.51</v>
      </c>
      <c r="G1253" s="42">
        <f>F1253-E1253</f>
        <v>1.0000000009313226E-2</v>
      </c>
      <c r="H1253" s="25"/>
      <c r="I1253" s="2"/>
    </row>
    <row r="1254" spans="1:9" s="39" customFormat="1" x14ac:dyDescent="0.25">
      <c r="A1254" s="41"/>
      <c r="B1254" s="3"/>
      <c r="C1254" s="3" t="s">
        <v>52</v>
      </c>
      <c r="D1254" s="5">
        <v>0</v>
      </c>
      <c r="E1254" s="5">
        <v>-158466.92000000001</v>
      </c>
      <c r="F1254" s="5">
        <v>-158466.92000000001</v>
      </c>
      <c r="G1254" s="5">
        <f t="shared" ref="G1254:G1256" si="661">F1254-E1254</f>
        <v>0</v>
      </c>
      <c r="H1254" s="25"/>
      <c r="I1254" s="2"/>
    </row>
    <row r="1255" spans="1:9" s="39" customFormat="1" x14ac:dyDescent="0.25">
      <c r="A1255" s="41"/>
      <c r="B1255" s="3"/>
      <c r="C1255" s="3" t="s">
        <v>53</v>
      </c>
      <c r="D1255" s="5">
        <v>0</v>
      </c>
      <c r="E1255" s="5">
        <v>-28250.29</v>
      </c>
      <c r="F1255" s="5">
        <v>-28250.29</v>
      </c>
      <c r="G1255" s="5">
        <f t="shared" si="661"/>
        <v>0</v>
      </c>
      <c r="H1255" s="25"/>
      <c r="I1255" s="2"/>
    </row>
    <row r="1256" spans="1:9" s="39" customFormat="1" x14ac:dyDescent="0.25">
      <c r="A1256" s="41"/>
      <c r="B1256" s="3"/>
      <c r="C1256" s="3" t="s">
        <v>113</v>
      </c>
      <c r="D1256" s="5">
        <v>0</v>
      </c>
      <c r="E1256" s="5">
        <v>-9.31</v>
      </c>
      <c r="F1256" s="5">
        <v>-9.3000000000000007</v>
      </c>
      <c r="G1256" s="5">
        <f t="shared" si="661"/>
        <v>9.9999999999997868E-3</v>
      </c>
      <c r="H1256" s="25"/>
      <c r="I1256" s="2"/>
    </row>
    <row r="1257" spans="1:9" x14ac:dyDescent="0.25">
      <c r="A1257" s="41"/>
      <c r="B1257" s="41" t="s">
        <v>130</v>
      </c>
      <c r="C1257" s="41"/>
      <c r="D1257" s="42">
        <f>SUM(D1259:D1262)</f>
        <v>-9660142</v>
      </c>
      <c r="E1257" s="42">
        <f>SUM(E1258:E1262)</f>
        <v>-13227991.220000003</v>
      </c>
      <c r="F1257" s="42">
        <f>SUM(F1259:F1262)</f>
        <v>-11739873.140000001</v>
      </c>
      <c r="G1257" s="42">
        <f>F1257-E1257</f>
        <v>1488118.0800000019</v>
      </c>
      <c r="I1257" s="2"/>
    </row>
    <row r="1258" spans="1:9" x14ac:dyDescent="0.25">
      <c r="A1258" s="41"/>
      <c r="B1258" s="41"/>
      <c r="C1258" s="3" t="s">
        <v>193</v>
      </c>
      <c r="D1258" s="5">
        <v>0</v>
      </c>
      <c r="E1258" s="5">
        <f>E1271+E1275</f>
        <v>-6103469.5500000007</v>
      </c>
      <c r="F1258" s="5"/>
      <c r="G1258" s="5">
        <f t="shared" ref="G1258" si="662">F1258-E1258</f>
        <v>6103469.5500000007</v>
      </c>
      <c r="I1258" s="2"/>
    </row>
    <row r="1259" spans="1:9" x14ac:dyDescent="0.25">
      <c r="A1259" s="3"/>
      <c r="B1259" s="3"/>
      <c r="C1259" s="3" t="s">
        <v>52</v>
      </c>
      <c r="D1259" s="5">
        <f>D1264+D1276</f>
        <v>-4180868</v>
      </c>
      <c r="E1259" s="5">
        <f t="shared" ref="E1259" si="663">E1264+E1276</f>
        <v>-2824719.96</v>
      </c>
      <c r="F1259" s="5">
        <f>F1264+F1276+F1272</f>
        <v>-5331611.43</v>
      </c>
      <c r="G1259" s="5">
        <f t="shared" ref="G1259:G1262" si="664">F1259-E1259</f>
        <v>-2506891.4699999997</v>
      </c>
      <c r="I1259" s="2"/>
    </row>
    <row r="1260" spans="1:9" x14ac:dyDescent="0.25">
      <c r="A1260" s="3"/>
      <c r="B1260" s="3"/>
      <c r="C1260" s="3" t="s">
        <v>53</v>
      </c>
      <c r="D1260" s="5">
        <f>D1265+D1277</f>
        <v>-4680485</v>
      </c>
      <c r="E1260" s="5">
        <f t="shared" ref="E1260" si="665">E1265+E1277</f>
        <v>-3514122.71</v>
      </c>
      <c r="F1260" s="5">
        <f>F1265+F1277+F1273</f>
        <v>-4960265.03</v>
      </c>
      <c r="G1260" s="5">
        <f t="shared" si="664"/>
        <v>-1446142.3200000003</v>
      </c>
      <c r="I1260" s="2"/>
    </row>
    <row r="1261" spans="1:9" x14ac:dyDescent="0.25">
      <c r="A1261" s="3"/>
      <c r="B1261" s="3"/>
      <c r="C1261" s="3" t="s">
        <v>113</v>
      </c>
      <c r="D1261" s="5">
        <f>D1266+D1278</f>
        <v>-6600</v>
      </c>
      <c r="E1261" s="5">
        <f t="shared" ref="E1261:F1261" si="666">E1266+E1278</f>
        <v>-4725</v>
      </c>
      <c r="F1261" s="5">
        <f t="shared" si="666"/>
        <v>-329901.26</v>
      </c>
      <c r="G1261" s="5">
        <f t="shared" si="664"/>
        <v>-325176.26</v>
      </c>
      <c r="I1261" s="2"/>
    </row>
    <row r="1262" spans="1:9" x14ac:dyDescent="0.25">
      <c r="A1262" s="3"/>
      <c r="B1262" s="3"/>
      <c r="C1262" s="3" t="s">
        <v>114</v>
      </c>
      <c r="D1262" s="5">
        <f>D1280+D1267+D1279</f>
        <v>-792189</v>
      </c>
      <c r="E1262" s="5">
        <f t="shared" ref="E1262" si="667">E1280+E1267+E1279</f>
        <v>-780954</v>
      </c>
      <c r="F1262" s="5">
        <f>F1280+F1267+F1279+F1269</f>
        <v>-1118095.42</v>
      </c>
      <c r="G1262" s="5">
        <f t="shared" si="664"/>
        <v>-337141.41999999993</v>
      </c>
      <c r="I1262" s="2"/>
    </row>
    <row r="1263" spans="1:9" x14ac:dyDescent="0.25">
      <c r="A1263" s="41"/>
      <c r="B1263" s="41"/>
      <c r="C1263" s="41" t="s">
        <v>117</v>
      </c>
      <c r="D1263" s="42">
        <f>SUM(D1264:D1267)</f>
        <v>-6200374</v>
      </c>
      <c r="E1263" s="42">
        <f t="shared" ref="E1263:F1263" si="668">SUM(E1264:E1267)</f>
        <v>-6344067.6699999999</v>
      </c>
      <c r="F1263" s="42">
        <f t="shared" si="668"/>
        <v>-6088277.6899999995</v>
      </c>
      <c r="G1263" s="42">
        <f>F1263-E1263</f>
        <v>255789.98000000045</v>
      </c>
      <c r="I1263" s="2"/>
    </row>
    <row r="1264" spans="1:9" x14ac:dyDescent="0.25">
      <c r="A1264" s="3"/>
      <c r="B1264" s="3"/>
      <c r="C1264" s="3" t="s">
        <v>52</v>
      </c>
      <c r="D1264" s="5">
        <v>-2749323</v>
      </c>
      <c r="E1264" s="5">
        <v>-2824719.96</v>
      </c>
      <c r="F1264" s="5">
        <v>-2757896.38</v>
      </c>
      <c r="G1264" s="5">
        <f t="shared" ref="G1264:G1266" si="669">F1264-E1264</f>
        <v>66823.580000000075</v>
      </c>
      <c r="I1264" s="2"/>
    </row>
    <row r="1265" spans="1:9" x14ac:dyDescent="0.25">
      <c r="A1265" s="3"/>
      <c r="B1265" s="3"/>
      <c r="C1265" s="3" t="s">
        <v>53</v>
      </c>
      <c r="D1265" s="5">
        <v>-3444801</v>
      </c>
      <c r="E1265" s="5">
        <f>-3509442.63-4680.08</f>
        <v>-3514122.71</v>
      </c>
      <c r="F1265" s="5">
        <v>-3318089.15</v>
      </c>
      <c r="G1265" s="5">
        <f t="shared" si="669"/>
        <v>196033.56000000006</v>
      </c>
      <c r="I1265" s="2"/>
    </row>
    <row r="1266" spans="1:9" x14ac:dyDescent="0.25">
      <c r="A1266" s="3"/>
      <c r="B1266" s="3"/>
      <c r="C1266" s="3" t="s">
        <v>113</v>
      </c>
      <c r="D1266" s="5">
        <v>-5750</v>
      </c>
      <c r="E1266" s="5">
        <v>-4725</v>
      </c>
      <c r="F1266" s="5">
        <v>-4725</v>
      </c>
      <c r="G1266" s="5">
        <f t="shared" si="669"/>
        <v>0</v>
      </c>
      <c r="I1266" s="2"/>
    </row>
    <row r="1267" spans="1:9" x14ac:dyDescent="0.25">
      <c r="A1267" s="3"/>
      <c r="B1267" s="3"/>
      <c r="C1267" s="3" t="s">
        <v>54</v>
      </c>
      <c r="D1267" s="5">
        <v>-500</v>
      </c>
      <c r="E1267" s="5">
        <v>-500</v>
      </c>
      <c r="F1267" s="5">
        <v>-7567.16</v>
      </c>
      <c r="G1267" s="5">
        <f t="shared" ref="G1267" si="670">F1267-E1267</f>
        <v>-7067.16</v>
      </c>
      <c r="I1267" s="2"/>
    </row>
    <row r="1268" spans="1:9" x14ac:dyDescent="0.25">
      <c r="A1268" s="3"/>
      <c r="B1268" s="3"/>
      <c r="C1268" s="41" t="s">
        <v>118</v>
      </c>
      <c r="D1268" s="42">
        <v>0</v>
      </c>
      <c r="E1268" s="42">
        <v>0</v>
      </c>
      <c r="F1268" s="42">
        <f>F1269</f>
        <v>-310.26</v>
      </c>
      <c r="G1268" s="42">
        <f>F1268-E1268</f>
        <v>-310.26</v>
      </c>
      <c r="I1268" s="2"/>
    </row>
    <row r="1269" spans="1:9" x14ac:dyDescent="0.25">
      <c r="A1269" s="3"/>
      <c r="B1269" s="3"/>
      <c r="C1269" s="3" t="s">
        <v>114</v>
      </c>
      <c r="D1269" s="5">
        <v>0</v>
      </c>
      <c r="E1269" s="5">
        <v>0</v>
      </c>
      <c r="F1269" s="5">
        <v>-310.26</v>
      </c>
      <c r="G1269" s="5">
        <f t="shared" ref="G1269" si="671">F1269-E1269</f>
        <v>-310.26</v>
      </c>
      <c r="I1269" s="2"/>
    </row>
    <row r="1270" spans="1:9" x14ac:dyDescent="0.25">
      <c r="A1270" s="3"/>
      <c r="B1270" s="3"/>
      <c r="C1270" s="41" t="s">
        <v>119</v>
      </c>
      <c r="D1270" s="90">
        <v>0</v>
      </c>
      <c r="E1270" s="42">
        <f>E1271</f>
        <v>-597791.11</v>
      </c>
      <c r="F1270" s="42">
        <f t="shared" ref="F1270" si="672">SUM(F1272:F1273)</f>
        <v>-525793.97</v>
      </c>
      <c r="G1270" s="42">
        <f>F1270-E1270</f>
        <v>71997.140000000014</v>
      </c>
      <c r="I1270" s="2"/>
    </row>
    <row r="1271" spans="1:9" x14ac:dyDescent="0.25">
      <c r="A1271" s="3"/>
      <c r="B1271" s="3"/>
      <c r="C1271" s="3" t="s">
        <v>193</v>
      </c>
      <c r="D1271" s="91">
        <v>0</v>
      </c>
      <c r="E1271" s="5">
        <v>-597791.11</v>
      </c>
      <c r="F1271" s="5">
        <v>0</v>
      </c>
      <c r="G1271" s="5">
        <f t="shared" ref="G1271:G1273" si="673">F1271-E1271</f>
        <v>597791.11</v>
      </c>
      <c r="I1271" s="2"/>
    </row>
    <row r="1272" spans="1:9" x14ac:dyDescent="0.25">
      <c r="A1272" s="3"/>
      <c r="B1272" s="3"/>
      <c r="C1272" s="3" t="s">
        <v>52</v>
      </c>
      <c r="D1272" s="91">
        <v>0</v>
      </c>
      <c r="E1272" s="5">
        <v>0</v>
      </c>
      <c r="F1272" s="5">
        <v>-122881.27</v>
      </c>
      <c r="G1272" s="5">
        <f t="shared" si="673"/>
        <v>-122881.27</v>
      </c>
      <c r="I1272" s="2"/>
    </row>
    <row r="1273" spans="1:9" x14ac:dyDescent="0.25">
      <c r="A1273" s="3"/>
      <c r="B1273" s="3"/>
      <c r="C1273" s="3" t="s">
        <v>53</v>
      </c>
      <c r="D1273" s="91">
        <v>0</v>
      </c>
      <c r="E1273" s="5">
        <v>0</v>
      </c>
      <c r="F1273" s="5">
        <v>-402912.7</v>
      </c>
      <c r="G1273" s="5">
        <f t="shared" si="673"/>
        <v>-402912.7</v>
      </c>
      <c r="I1273" s="2"/>
    </row>
    <row r="1274" spans="1:9" x14ac:dyDescent="0.25">
      <c r="A1274" s="41"/>
      <c r="B1274" s="41"/>
      <c r="C1274" s="41" t="s">
        <v>120</v>
      </c>
      <c r="D1274" s="42">
        <f>SUM(D1276:D1279)</f>
        <v>-2679314</v>
      </c>
      <c r="E1274" s="42">
        <f>E1275</f>
        <v>-5505678.4400000004</v>
      </c>
      <c r="F1274" s="42">
        <f t="shared" ref="F1274" si="674">SUM(F1276:F1279)</f>
        <v>-4033267.9899999998</v>
      </c>
      <c r="G1274" s="42">
        <f>F1274-E1274</f>
        <v>1472410.4500000007</v>
      </c>
      <c r="I1274" s="2"/>
    </row>
    <row r="1275" spans="1:9" x14ac:dyDescent="0.25">
      <c r="A1275" s="41"/>
      <c r="B1275" s="41"/>
      <c r="C1275" s="3" t="s">
        <v>193</v>
      </c>
      <c r="D1275" s="5">
        <v>0</v>
      </c>
      <c r="E1275" s="5">
        <v>-5505678.4400000004</v>
      </c>
      <c r="F1275" s="5"/>
      <c r="G1275" s="5">
        <f t="shared" ref="G1275" si="675">F1275-E1275</f>
        <v>5505678.4400000004</v>
      </c>
      <c r="I1275" s="2"/>
    </row>
    <row r="1276" spans="1:9" x14ac:dyDescent="0.25">
      <c r="A1276" s="3"/>
      <c r="B1276" s="3"/>
      <c r="C1276" s="3" t="s">
        <v>52</v>
      </c>
      <c r="D1276" s="5">
        <v>-1431545</v>
      </c>
      <c r="E1276" s="5">
        <v>0</v>
      </c>
      <c r="F1276" s="5">
        <v>-2450833.7799999998</v>
      </c>
      <c r="G1276" s="5">
        <f t="shared" ref="G1276:G1279" si="676">F1276-E1276</f>
        <v>-2450833.7799999998</v>
      </c>
      <c r="I1276" s="2"/>
    </row>
    <row r="1277" spans="1:9" x14ac:dyDescent="0.25">
      <c r="A1277" s="41"/>
      <c r="B1277" s="41"/>
      <c r="C1277" s="3" t="s">
        <v>53</v>
      </c>
      <c r="D1277" s="5">
        <v>-1235684</v>
      </c>
      <c r="E1277" s="5">
        <v>0</v>
      </c>
      <c r="F1277" s="5">
        <v>-1239263.18</v>
      </c>
      <c r="G1277" s="5">
        <f t="shared" si="676"/>
        <v>-1239263.18</v>
      </c>
      <c r="I1277" s="2"/>
    </row>
    <row r="1278" spans="1:9" x14ac:dyDescent="0.25">
      <c r="A1278" s="3"/>
      <c r="B1278" s="3"/>
      <c r="C1278" s="3" t="s">
        <v>113</v>
      </c>
      <c r="D1278" s="5">
        <v>-850</v>
      </c>
      <c r="E1278" s="5">
        <v>0</v>
      </c>
      <c r="F1278" s="5">
        <v>-325176.26</v>
      </c>
      <c r="G1278" s="5">
        <f t="shared" si="676"/>
        <v>-325176.26</v>
      </c>
      <c r="I1278" s="2"/>
    </row>
    <row r="1279" spans="1:9" x14ac:dyDescent="0.25">
      <c r="A1279" s="3"/>
      <c r="B1279" s="3"/>
      <c r="C1279" s="3" t="s">
        <v>54</v>
      </c>
      <c r="D1279" s="5">
        <v>-11235</v>
      </c>
      <c r="E1279" s="5">
        <v>0</v>
      </c>
      <c r="F1279" s="5">
        <v>-17994.77</v>
      </c>
      <c r="G1279" s="5">
        <f t="shared" si="676"/>
        <v>-17994.77</v>
      </c>
      <c r="I1279" s="2"/>
    </row>
    <row r="1280" spans="1:9" s="39" customFormat="1" x14ac:dyDescent="0.25">
      <c r="A1280" s="41"/>
      <c r="B1280" s="41"/>
      <c r="C1280" s="41" t="s">
        <v>121</v>
      </c>
      <c r="D1280" s="42">
        <v>-780454</v>
      </c>
      <c r="E1280" s="42">
        <f>D1280</f>
        <v>-780454</v>
      </c>
      <c r="F1280" s="5">
        <v>-1092223.23</v>
      </c>
      <c r="G1280" s="42">
        <f>F1280-E1280</f>
        <v>-311769.23</v>
      </c>
      <c r="H1280" s="25"/>
      <c r="I1280" s="2"/>
    </row>
    <row r="1281" spans="1:9" x14ac:dyDescent="0.25">
      <c r="A1281" s="41"/>
      <c r="B1281" s="41" t="s">
        <v>143</v>
      </c>
      <c r="C1281" s="41"/>
      <c r="D1281" s="42">
        <f>SUM(D1283:D1285)</f>
        <v>-525296</v>
      </c>
      <c r="E1281" s="42">
        <f>SUM(E1282:E1285)</f>
        <v>-532309.34</v>
      </c>
      <c r="F1281" s="42">
        <f>SUM(F1283:F1286)</f>
        <v>-500111.31</v>
      </c>
      <c r="G1281" s="42">
        <f>F1281-E1281</f>
        <v>32198.02999999997</v>
      </c>
      <c r="I1281" s="2"/>
    </row>
    <row r="1282" spans="1:9" x14ac:dyDescent="0.25">
      <c r="A1282" s="41"/>
      <c r="B1282" s="41"/>
      <c r="C1282" s="3" t="s">
        <v>193</v>
      </c>
      <c r="D1282" s="5">
        <v>0</v>
      </c>
      <c r="E1282" s="5">
        <f>E1294+E1298</f>
        <v>-33231.82</v>
      </c>
      <c r="F1282" s="5">
        <v>0</v>
      </c>
      <c r="G1282" s="5">
        <f t="shared" ref="G1282" si="677">F1282-E1282</f>
        <v>33231.82</v>
      </c>
      <c r="I1282" s="2"/>
    </row>
    <row r="1283" spans="1:9" x14ac:dyDescent="0.25">
      <c r="A1283" s="3"/>
      <c r="B1283" s="3"/>
      <c r="C1283" s="3" t="s">
        <v>52</v>
      </c>
      <c r="D1283" s="5">
        <f>D1288+D1295+D1299</f>
        <v>-324931</v>
      </c>
      <c r="E1283" s="5">
        <f>E1288+E1295+E1299</f>
        <v>-318874.37</v>
      </c>
      <c r="F1283" s="5">
        <f>F1288+F1295+F1299</f>
        <v>-369107.85</v>
      </c>
      <c r="G1283" s="5">
        <f t="shared" ref="G1283:G1286" si="678">F1283-E1283</f>
        <v>-50233.479999999981</v>
      </c>
      <c r="I1283" s="2"/>
    </row>
    <row r="1284" spans="1:9" x14ac:dyDescent="0.25">
      <c r="A1284" s="3"/>
      <c r="B1284" s="3"/>
      <c r="C1284" s="3" t="s">
        <v>53</v>
      </c>
      <c r="D1284" s="5">
        <f>D1289+D1300</f>
        <v>-185126</v>
      </c>
      <c r="E1284" s="5">
        <f>E1289+E1300</f>
        <v>-164964.15</v>
      </c>
      <c r="F1284" s="5">
        <f>F1289+F1300+F1296</f>
        <v>-115406.36</v>
      </c>
      <c r="G1284" s="5">
        <f t="shared" si="678"/>
        <v>49557.789999999994</v>
      </c>
      <c r="I1284" s="2"/>
    </row>
    <row r="1285" spans="1:9" x14ac:dyDescent="0.25">
      <c r="A1285" s="3"/>
      <c r="B1285" s="3"/>
      <c r="C1285" s="3" t="s">
        <v>113</v>
      </c>
      <c r="D1285" s="5">
        <f>D1290</f>
        <v>-15239</v>
      </c>
      <c r="E1285" s="5">
        <f t="shared" ref="E1285" si="679">E1290</f>
        <v>-15239.000000000004</v>
      </c>
      <c r="F1285" s="5">
        <f>F1290+F1301</f>
        <v>-15671.45</v>
      </c>
      <c r="G1285" s="5">
        <f t="shared" si="678"/>
        <v>-432.44999999999709</v>
      </c>
      <c r="I1285" s="2"/>
    </row>
    <row r="1286" spans="1:9" x14ac:dyDescent="0.25">
      <c r="A1286" s="3"/>
      <c r="B1286" s="3"/>
      <c r="C1286" s="3" t="s">
        <v>114</v>
      </c>
      <c r="D1286" s="5">
        <v>0</v>
      </c>
      <c r="E1286" s="5">
        <v>0</v>
      </c>
      <c r="F1286" s="5">
        <f>F1292+F1302</f>
        <v>74.350000000000023</v>
      </c>
      <c r="G1286" s="5">
        <f t="shared" si="678"/>
        <v>74.350000000000023</v>
      </c>
      <c r="I1286" s="2"/>
    </row>
    <row r="1287" spans="1:9" x14ac:dyDescent="0.25">
      <c r="A1287" s="41"/>
      <c r="B1287" s="41"/>
      <c r="C1287" s="41" t="s">
        <v>117</v>
      </c>
      <c r="D1287" s="42">
        <f>SUM(D1288:D1290)</f>
        <v>-494962</v>
      </c>
      <c r="E1287" s="42">
        <f t="shared" ref="E1287:F1287" si="680">SUM(E1288:E1290)</f>
        <v>-499077.52</v>
      </c>
      <c r="F1287" s="42">
        <f t="shared" si="680"/>
        <v>-477933.31</v>
      </c>
      <c r="G1287" s="42">
        <f>F1287-E1287</f>
        <v>21144.210000000021</v>
      </c>
      <c r="I1287" s="2"/>
    </row>
    <row r="1288" spans="1:9" x14ac:dyDescent="0.25">
      <c r="A1288" s="3"/>
      <c r="B1288" s="3"/>
      <c r="C1288" s="3" t="s">
        <v>52</v>
      </c>
      <c r="D1288" s="5">
        <v>-321302</v>
      </c>
      <c r="E1288" s="5">
        <v>-318874.37</v>
      </c>
      <c r="F1288" s="5">
        <v>-365910.07</v>
      </c>
      <c r="G1288" s="5">
        <f t="shared" ref="G1288:G1290" si="681">F1288-E1288</f>
        <v>-47035.700000000012</v>
      </c>
      <c r="I1288" s="2"/>
    </row>
    <row r="1289" spans="1:9" x14ac:dyDescent="0.25">
      <c r="A1289" s="3"/>
      <c r="B1289" s="3"/>
      <c r="C1289" s="3" t="s">
        <v>53</v>
      </c>
      <c r="D1289" s="5">
        <v>-158421</v>
      </c>
      <c r="E1289" s="5">
        <f>-164323.83-640.32</f>
        <v>-164964.15</v>
      </c>
      <c r="F1289" s="5">
        <v>-96784.24</v>
      </c>
      <c r="G1289" s="5">
        <f t="shared" si="681"/>
        <v>68179.909999999989</v>
      </c>
      <c r="I1289" s="2"/>
    </row>
    <row r="1290" spans="1:9" x14ac:dyDescent="0.25">
      <c r="A1290" s="3"/>
      <c r="B1290" s="3"/>
      <c r="C1290" s="3" t="s">
        <v>113</v>
      </c>
      <c r="D1290" s="5">
        <v>-15239</v>
      </c>
      <c r="E1290" s="5">
        <v>-15239.000000000004</v>
      </c>
      <c r="F1290" s="5">
        <v>-15239</v>
      </c>
      <c r="G1290" s="5">
        <f t="shared" si="681"/>
        <v>0</v>
      </c>
      <c r="I1290" s="2"/>
    </row>
    <row r="1291" spans="1:9" x14ac:dyDescent="0.25">
      <c r="A1291" s="3"/>
      <c r="B1291" s="3"/>
      <c r="C1291" s="41" t="s">
        <v>118</v>
      </c>
      <c r="D1291" s="42">
        <v>0</v>
      </c>
      <c r="E1291" s="42">
        <v>0</v>
      </c>
      <c r="F1291" s="42">
        <f>F1292</f>
        <v>723.58</v>
      </c>
      <c r="G1291" s="42">
        <f>F1291-E1291</f>
        <v>723.58</v>
      </c>
      <c r="I1291" s="2"/>
    </row>
    <row r="1292" spans="1:9" x14ac:dyDescent="0.25">
      <c r="A1292" s="3"/>
      <c r="B1292" s="3"/>
      <c r="C1292" s="3" t="s">
        <v>114</v>
      </c>
      <c r="D1292" s="5">
        <v>0</v>
      </c>
      <c r="E1292" s="5"/>
      <c r="F1292" s="5">
        <v>723.58</v>
      </c>
      <c r="G1292" s="5">
        <f t="shared" ref="G1292" si="682">F1292-E1292</f>
        <v>723.58</v>
      </c>
      <c r="I1292" s="2"/>
    </row>
    <row r="1293" spans="1:9" x14ac:dyDescent="0.25">
      <c r="A1293" s="41"/>
      <c r="B1293" s="41"/>
      <c r="C1293" s="41" t="s">
        <v>119</v>
      </c>
      <c r="D1293" s="42">
        <f>SUM(D1295:D1295)</f>
        <v>-2457</v>
      </c>
      <c r="E1293" s="42">
        <f>E1294</f>
        <v>-3061.09</v>
      </c>
      <c r="F1293" s="42">
        <f>SUM(F1295:F1296)</f>
        <v>-2564.7600000000002</v>
      </c>
      <c r="G1293" s="42">
        <f>F1293-E1293</f>
        <v>496.32999999999993</v>
      </c>
      <c r="I1293" s="2"/>
    </row>
    <row r="1294" spans="1:9" x14ac:dyDescent="0.25">
      <c r="A1294" s="41"/>
      <c r="B1294" s="41"/>
      <c r="C1294" s="3" t="s">
        <v>193</v>
      </c>
      <c r="D1294" s="5">
        <v>0</v>
      </c>
      <c r="E1294" s="5">
        <v>-3061.09</v>
      </c>
      <c r="F1294" s="5">
        <v>0</v>
      </c>
      <c r="G1294" s="5">
        <f t="shared" ref="G1294" si="683">F1294-E1294</f>
        <v>3061.09</v>
      </c>
      <c r="I1294" s="2"/>
    </row>
    <row r="1295" spans="1:9" x14ac:dyDescent="0.25">
      <c r="A1295" s="3"/>
      <c r="B1295" s="3"/>
      <c r="C1295" s="3" t="s">
        <v>52</v>
      </c>
      <c r="D1295" s="5">
        <v>-2457</v>
      </c>
      <c r="E1295" s="5">
        <v>0</v>
      </c>
      <c r="F1295" s="5">
        <v>-1251.67</v>
      </c>
      <c r="G1295" s="5">
        <f t="shared" ref="G1295:G1296" si="684">F1295-E1295</f>
        <v>-1251.67</v>
      </c>
      <c r="I1295" s="2"/>
    </row>
    <row r="1296" spans="1:9" x14ac:dyDescent="0.25">
      <c r="A1296" s="3"/>
      <c r="B1296" s="3"/>
      <c r="C1296" s="3" t="s">
        <v>53</v>
      </c>
      <c r="D1296" s="5">
        <v>0</v>
      </c>
      <c r="E1296" s="5">
        <v>0</v>
      </c>
      <c r="F1296" s="5">
        <v>-1313.09</v>
      </c>
      <c r="G1296" s="5">
        <f t="shared" si="684"/>
        <v>-1313.09</v>
      </c>
      <c r="I1296" s="2"/>
    </row>
    <row r="1297" spans="1:9" x14ac:dyDescent="0.25">
      <c r="A1297" s="41"/>
      <c r="B1297" s="41"/>
      <c r="C1297" s="41" t="s">
        <v>120</v>
      </c>
      <c r="D1297" s="42">
        <f>SUM(D1299:D1300)</f>
        <v>-27877</v>
      </c>
      <c r="E1297" s="42">
        <f>E1298</f>
        <v>-30170.73</v>
      </c>
      <c r="F1297" s="42">
        <f>SUM(F1299:F1302)</f>
        <v>-20336.82</v>
      </c>
      <c r="G1297" s="42">
        <f>F1297-E1297</f>
        <v>9833.91</v>
      </c>
      <c r="I1297" s="2"/>
    </row>
    <row r="1298" spans="1:9" x14ac:dyDescent="0.25">
      <c r="A1298" s="41"/>
      <c r="B1298" s="41"/>
      <c r="C1298" s="3" t="s">
        <v>193</v>
      </c>
      <c r="D1298" s="5">
        <v>0</v>
      </c>
      <c r="E1298" s="5">
        <v>-30170.73</v>
      </c>
      <c r="F1298" s="5">
        <v>0</v>
      </c>
      <c r="G1298" s="5">
        <f t="shared" ref="G1298" si="685">F1298-E1298</f>
        <v>30170.73</v>
      </c>
      <c r="I1298" s="2"/>
    </row>
    <row r="1299" spans="1:9" x14ac:dyDescent="0.25">
      <c r="A1299" s="3"/>
      <c r="B1299" s="3"/>
      <c r="C1299" s="3" t="s">
        <v>52</v>
      </c>
      <c r="D1299" s="5">
        <v>-1172</v>
      </c>
      <c r="E1299" s="5">
        <v>0</v>
      </c>
      <c r="F1299" s="5">
        <v>-1946.11</v>
      </c>
      <c r="G1299" s="5">
        <f t="shared" ref="G1299:G1323" si="686">F1299-E1299</f>
        <v>-1946.11</v>
      </c>
      <c r="I1299" s="2"/>
    </row>
    <row r="1300" spans="1:9" x14ac:dyDescent="0.25">
      <c r="A1300" s="41"/>
      <c r="B1300" s="41"/>
      <c r="C1300" s="3" t="s">
        <v>53</v>
      </c>
      <c r="D1300" s="5">
        <v>-26705</v>
      </c>
      <c r="E1300" s="5">
        <v>0</v>
      </c>
      <c r="F1300" s="5">
        <v>-17309.03</v>
      </c>
      <c r="G1300" s="5">
        <f t="shared" si="686"/>
        <v>-17309.03</v>
      </c>
      <c r="I1300" s="2"/>
    </row>
    <row r="1301" spans="1:9" x14ac:dyDescent="0.25">
      <c r="A1301" s="41"/>
      <c r="B1301" s="41"/>
      <c r="C1301" s="3" t="s">
        <v>113</v>
      </c>
      <c r="D1301" s="5">
        <v>0</v>
      </c>
      <c r="E1301" s="5">
        <v>0</v>
      </c>
      <c r="F1301" s="5">
        <v>-432.45</v>
      </c>
      <c r="G1301" s="5">
        <f t="shared" si="686"/>
        <v>-432.45</v>
      </c>
      <c r="I1301" s="2"/>
    </row>
    <row r="1302" spans="1:9" x14ac:dyDescent="0.25">
      <c r="A1302" s="41"/>
      <c r="B1302" s="41"/>
      <c r="C1302" s="3" t="s">
        <v>54</v>
      </c>
      <c r="D1302" s="5">
        <v>0</v>
      </c>
      <c r="E1302" s="5">
        <v>0</v>
      </c>
      <c r="F1302" s="5">
        <v>-649.23</v>
      </c>
      <c r="G1302" s="5">
        <f t="shared" si="686"/>
        <v>-649.23</v>
      </c>
      <c r="I1302" s="2"/>
    </row>
    <row r="1303" spans="1:9" x14ac:dyDescent="0.25">
      <c r="A1303" s="41"/>
      <c r="B1303" s="39" t="s">
        <v>195</v>
      </c>
      <c r="C1303" s="41"/>
      <c r="D1303" s="42">
        <f>SUM(D1304:D1307)</f>
        <v>0</v>
      </c>
      <c r="E1303" s="42">
        <f t="shared" ref="E1303:F1303" si="687">SUM(E1304:E1307)</f>
        <v>-461674.25</v>
      </c>
      <c r="F1303" s="42">
        <f t="shared" si="687"/>
        <v>-31328.11</v>
      </c>
      <c r="G1303" s="42">
        <f>F1303-E1303</f>
        <v>430346.14</v>
      </c>
      <c r="I1303" s="2"/>
    </row>
    <row r="1304" spans="1:9" x14ac:dyDescent="0.25">
      <c r="A1304" s="41"/>
      <c r="B1304" s="41"/>
      <c r="C1304" s="3" t="s">
        <v>193</v>
      </c>
      <c r="D1304" s="42">
        <v>0</v>
      </c>
      <c r="E1304" s="5">
        <f>E1314</f>
        <v>-920.44</v>
      </c>
      <c r="F1304" s="5">
        <v>0</v>
      </c>
      <c r="G1304" s="5">
        <f t="shared" ref="G1304:G1307" si="688">F1304-E1304</f>
        <v>920.44</v>
      </c>
      <c r="I1304" s="2"/>
    </row>
    <row r="1305" spans="1:9" x14ac:dyDescent="0.25">
      <c r="A1305" s="41"/>
      <c r="B1305" s="3"/>
      <c r="C1305" s="3" t="s">
        <v>52</v>
      </c>
      <c r="D1305" s="5">
        <f>D1309+D1315</f>
        <v>0</v>
      </c>
      <c r="E1305" s="5">
        <f t="shared" ref="E1305:F1305" si="689">E1309+E1315</f>
        <v>-17370.330000000002</v>
      </c>
      <c r="F1305" s="5">
        <f t="shared" si="689"/>
        <v>-17091.100000000002</v>
      </c>
      <c r="G1305" s="5">
        <f t="shared" si="688"/>
        <v>279.22999999999956</v>
      </c>
      <c r="I1305" s="2"/>
    </row>
    <row r="1306" spans="1:9" x14ac:dyDescent="0.25">
      <c r="A1306" s="41"/>
      <c r="B1306" s="3"/>
      <c r="C1306" s="3" t="s">
        <v>53</v>
      </c>
      <c r="D1306" s="5">
        <f>D1310+D1316</f>
        <v>0</v>
      </c>
      <c r="E1306" s="5">
        <f t="shared" ref="E1306:F1306" si="690">E1310+E1316</f>
        <v>-443383.48</v>
      </c>
      <c r="F1306" s="5">
        <f t="shared" si="690"/>
        <v>-2137.1</v>
      </c>
      <c r="G1306" s="5">
        <f t="shared" si="688"/>
        <v>441246.38</v>
      </c>
      <c r="I1306" s="2"/>
    </row>
    <row r="1307" spans="1:9" x14ac:dyDescent="0.25">
      <c r="A1307" s="41"/>
      <c r="B1307" s="3"/>
      <c r="C1307" s="3" t="s">
        <v>114</v>
      </c>
      <c r="D1307" s="5">
        <f>D1317+D1312</f>
        <v>0</v>
      </c>
      <c r="E1307" s="5">
        <f t="shared" ref="E1307:F1307" si="691">E1317+E1312</f>
        <v>0</v>
      </c>
      <c r="F1307" s="5">
        <f t="shared" si="691"/>
        <v>-12099.91</v>
      </c>
      <c r="G1307" s="5">
        <f t="shared" si="688"/>
        <v>-12099.91</v>
      </c>
      <c r="I1307" s="2"/>
    </row>
    <row r="1308" spans="1:9" x14ac:dyDescent="0.25">
      <c r="A1308" s="41"/>
      <c r="B1308" s="41"/>
      <c r="C1308" s="41" t="s">
        <v>117</v>
      </c>
      <c r="D1308" s="42">
        <f>SUM(D1309:D1310)</f>
        <v>0</v>
      </c>
      <c r="E1308" s="42">
        <f>SUM(E1309:E1310)</f>
        <v>-460753.81</v>
      </c>
      <c r="F1308" s="42">
        <f>SUM(F1309:F1310)</f>
        <v>-18611.91</v>
      </c>
      <c r="G1308" s="42">
        <f>F1308-E1308</f>
        <v>442141.9</v>
      </c>
      <c r="I1308" s="2"/>
    </row>
    <row r="1309" spans="1:9" x14ac:dyDescent="0.25">
      <c r="A1309" s="41"/>
      <c r="B1309" s="3"/>
      <c r="C1309" s="3" t="s">
        <v>52</v>
      </c>
      <c r="D1309" s="5">
        <v>0</v>
      </c>
      <c r="E1309" s="5">
        <v>-17370.330000000002</v>
      </c>
      <c r="F1309" s="5">
        <v>-16509.060000000001</v>
      </c>
      <c r="G1309" s="5">
        <f t="shared" ref="G1309:G1312" si="692">F1309-E1309</f>
        <v>861.27000000000044</v>
      </c>
      <c r="I1309" s="2"/>
    </row>
    <row r="1310" spans="1:9" x14ac:dyDescent="0.25">
      <c r="A1310" s="41"/>
      <c r="B1310" s="3"/>
      <c r="C1310" s="3" t="s">
        <v>53</v>
      </c>
      <c r="D1310" s="5">
        <v>0</v>
      </c>
      <c r="E1310" s="5">
        <v>-443383.48</v>
      </c>
      <c r="F1310" s="5">
        <v>-2102.85</v>
      </c>
      <c r="G1310" s="5">
        <f t="shared" si="692"/>
        <v>441280.63</v>
      </c>
      <c r="I1310" s="2"/>
    </row>
    <row r="1311" spans="1:9" x14ac:dyDescent="0.25">
      <c r="A1311" s="41"/>
      <c r="B1311" s="41"/>
      <c r="C1311" s="41" t="s">
        <v>118</v>
      </c>
      <c r="D1311" s="42">
        <f>D1312</f>
        <v>0</v>
      </c>
      <c r="E1311" s="42">
        <f t="shared" ref="E1311:F1311" si="693">E1312</f>
        <v>0</v>
      </c>
      <c r="F1311" s="42">
        <f t="shared" si="693"/>
        <v>0.03</v>
      </c>
      <c r="G1311" s="42">
        <f t="shared" si="692"/>
        <v>0.03</v>
      </c>
      <c r="I1311" s="2"/>
    </row>
    <row r="1312" spans="1:9" x14ac:dyDescent="0.25">
      <c r="A1312" s="41"/>
      <c r="B1312" s="3"/>
      <c r="C1312" s="3" t="s">
        <v>54</v>
      </c>
      <c r="D1312" s="5">
        <v>0</v>
      </c>
      <c r="E1312" s="5">
        <v>0</v>
      </c>
      <c r="F1312" s="5">
        <v>0.03</v>
      </c>
      <c r="G1312" s="5">
        <f t="shared" si="692"/>
        <v>0.03</v>
      </c>
      <c r="I1312" s="2"/>
    </row>
    <row r="1313" spans="1:9" x14ac:dyDescent="0.25">
      <c r="A1313" s="41"/>
      <c r="B1313" s="41"/>
      <c r="C1313" s="41" t="s">
        <v>119</v>
      </c>
      <c r="D1313" s="42">
        <f>SUM(D1314:D1316)</f>
        <v>0</v>
      </c>
      <c r="E1313" s="42">
        <f t="shared" ref="E1313:F1313" si="694">SUM(E1314:E1316)</f>
        <v>-920.44</v>
      </c>
      <c r="F1313" s="42">
        <f t="shared" si="694"/>
        <v>-616.29</v>
      </c>
      <c r="G1313" s="42">
        <f>F1313-E1313</f>
        <v>304.15000000000009</v>
      </c>
      <c r="I1313" s="2"/>
    </row>
    <row r="1314" spans="1:9" x14ac:dyDescent="0.25">
      <c r="A1314" s="41"/>
      <c r="B1314" s="41"/>
      <c r="C1314" s="3" t="s">
        <v>193</v>
      </c>
      <c r="D1314" s="42">
        <v>0</v>
      </c>
      <c r="E1314" s="5">
        <v>-920.44</v>
      </c>
      <c r="F1314" s="5">
        <v>0</v>
      </c>
      <c r="G1314" s="5">
        <f t="shared" ref="G1314:G1316" si="695">F1314-E1314</f>
        <v>920.44</v>
      </c>
      <c r="I1314" s="2"/>
    </row>
    <row r="1315" spans="1:9" x14ac:dyDescent="0.25">
      <c r="A1315" s="41"/>
      <c r="B1315" s="3"/>
      <c r="C1315" s="3" t="s">
        <v>52</v>
      </c>
      <c r="D1315" s="5">
        <v>0</v>
      </c>
      <c r="E1315" s="5">
        <v>0</v>
      </c>
      <c r="F1315" s="5">
        <v>-582.04</v>
      </c>
      <c r="G1315" s="5">
        <f t="shared" si="695"/>
        <v>-582.04</v>
      </c>
      <c r="I1315" s="2"/>
    </row>
    <row r="1316" spans="1:9" x14ac:dyDescent="0.25">
      <c r="A1316" s="41"/>
      <c r="B1316" s="41"/>
      <c r="C1316" s="3" t="s">
        <v>53</v>
      </c>
      <c r="D1316" s="5">
        <v>0</v>
      </c>
      <c r="E1316" s="5">
        <v>0</v>
      </c>
      <c r="F1316" s="5">
        <v>-34.25</v>
      </c>
      <c r="G1316" s="5">
        <f t="shared" si="695"/>
        <v>-34.25</v>
      </c>
      <c r="I1316" s="2"/>
    </row>
    <row r="1317" spans="1:9" x14ac:dyDescent="0.25">
      <c r="A1317" s="41"/>
      <c r="B1317" s="41"/>
      <c r="C1317" s="41" t="s">
        <v>121</v>
      </c>
      <c r="D1317" s="42">
        <v>0</v>
      </c>
      <c r="E1317" s="42">
        <f>D1317</f>
        <v>0</v>
      </c>
      <c r="F1317" s="5">
        <v>-12099.94</v>
      </c>
      <c r="G1317" s="42">
        <f>F1317-E1317</f>
        <v>-12099.94</v>
      </c>
      <c r="I1317" s="2"/>
    </row>
    <row r="1318" spans="1:9" s="39" customFormat="1" ht="15.75" x14ac:dyDescent="0.25">
      <c r="A1318" s="71" t="s">
        <v>174</v>
      </c>
      <c r="B1318" s="41"/>
      <c r="C1318" s="41"/>
      <c r="D1318" s="42">
        <f>SUM(D1319:D1323)</f>
        <v>-3346100</v>
      </c>
      <c r="E1318" s="42">
        <f t="shared" ref="E1318:F1318" si="696">SUM(E1319:E1323)</f>
        <v>-4454441.2</v>
      </c>
      <c r="F1318" s="42">
        <f t="shared" si="696"/>
        <v>-4296335.330022512</v>
      </c>
      <c r="G1318" s="42">
        <f t="shared" si="686"/>
        <v>158105.86997748818</v>
      </c>
      <c r="H1318" s="25"/>
      <c r="I1318" s="2"/>
    </row>
    <row r="1319" spans="1:9" x14ac:dyDescent="0.25">
      <c r="A1319" s="3"/>
      <c r="B1319" s="3" t="s">
        <v>117</v>
      </c>
      <c r="C1319" s="3"/>
      <c r="D1319" s="5">
        <f>D1329+D1348+D1374</f>
        <v>-3256859</v>
      </c>
      <c r="E1319" s="5">
        <f>E1329+E1348+E1374+E1394</f>
        <v>-3358642.35</v>
      </c>
      <c r="F1319" s="5">
        <f>F1329+F1348+F1374+F1394</f>
        <v>-3270712.02</v>
      </c>
      <c r="G1319" s="5">
        <f t="shared" si="686"/>
        <v>87930.330000000075</v>
      </c>
      <c r="I1319" s="2"/>
    </row>
    <row r="1320" spans="1:9" x14ac:dyDescent="0.25">
      <c r="A1320" s="3"/>
      <c r="B1320" s="3" t="s">
        <v>118</v>
      </c>
      <c r="C1320" s="3"/>
      <c r="D1320" s="5">
        <v>0</v>
      </c>
      <c r="E1320" s="5">
        <v>0</v>
      </c>
      <c r="F1320" s="5">
        <f>F1333+F1353+F1378</f>
        <v>-5664.8899999999994</v>
      </c>
      <c r="G1320" s="5">
        <f t="shared" si="686"/>
        <v>-5664.8899999999994</v>
      </c>
      <c r="I1320" s="2"/>
    </row>
    <row r="1321" spans="1:9" x14ac:dyDescent="0.25">
      <c r="A1321" s="3"/>
      <c r="B1321" s="3" t="s">
        <v>119</v>
      </c>
      <c r="C1321" s="3"/>
      <c r="D1321" s="5">
        <f>D1335+D1356+D1380</f>
        <v>-33658</v>
      </c>
      <c r="E1321" s="5">
        <f>E1335+E1356+E1380+E1399</f>
        <v>-1036035.1599999999</v>
      </c>
      <c r="F1321" s="5">
        <f>F1335+F1356+F1380+F1399</f>
        <v>-969567.84002251143</v>
      </c>
      <c r="G1321" s="5">
        <f t="shared" si="686"/>
        <v>66467.319977488485</v>
      </c>
      <c r="I1321" s="2"/>
    </row>
    <row r="1322" spans="1:9" x14ac:dyDescent="0.25">
      <c r="A1322" s="3"/>
      <c r="B1322" s="3" t="s">
        <v>120</v>
      </c>
      <c r="C1322" s="3"/>
      <c r="D1322" s="5">
        <f>D1384</f>
        <v>-10014</v>
      </c>
      <c r="E1322" s="5">
        <f>E1384+E1363</f>
        <v>-14194.689999999999</v>
      </c>
      <c r="F1322" s="5">
        <f>F1384+F1363</f>
        <v>-9173.5099999999984</v>
      </c>
      <c r="G1322" s="5">
        <f t="shared" si="686"/>
        <v>5021.18</v>
      </c>
      <c r="I1322" s="2"/>
    </row>
    <row r="1323" spans="1:9" x14ac:dyDescent="0.25">
      <c r="A1323" s="3"/>
      <c r="B1323" s="3" t="s">
        <v>121</v>
      </c>
      <c r="C1323" s="3"/>
      <c r="D1323" s="5">
        <f>D1339+D1367</f>
        <v>-45569</v>
      </c>
      <c r="E1323" s="5">
        <f>E1339+E1367</f>
        <v>-45569</v>
      </c>
      <c r="F1323" s="5">
        <f>F1339+F1367+F1403</f>
        <v>-41217.07</v>
      </c>
      <c r="G1323" s="5">
        <f t="shared" si="686"/>
        <v>4351.93</v>
      </c>
      <c r="I1323" s="2"/>
    </row>
    <row r="1324" spans="1:9" x14ac:dyDescent="0.25">
      <c r="A1324" s="41"/>
      <c r="B1324" s="41" t="s">
        <v>87</v>
      </c>
      <c r="C1324" s="41"/>
      <c r="D1324" s="42">
        <f>SUM(D1326:D1328)</f>
        <v>-189500</v>
      </c>
      <c r="E1324" s="42">
        <f>SUM(E1325:E1328)</f>
        <v>-274899.15000000002</v>
      </c>
      <c r="F1324" s="42">
        <f>SUM(F1326:F1328)</f>
        <v>-221800.02000000002</v>
      </c>
      <c r="G1324" s="42">
        <f>F1324-E1324</f>
        <v>53099.130000000005</v>
      </c>
      <c r="I1324" s="2"/>
    </row>
    <row r="1325" spans="1:9" x14ac:dyDescent="0.25">
      <c r="A1325" s="41"/>
      <c r="B1325" s="41"/>
      <c r="C1325" s="3" t="s">
        <v>193</v>
      </c>
      <c r="D1325" s="5">
        <v>0</v>
      </c>
      <c r="E1325" s="5">
        <f>E1336</f>
        <v>-33464.46</v>
      </c>
      <c r="F1325" s="5">
        <v>0</v>
      </c>
      <c r="G1325" s="5">
        <f t="shared" ref="G1325" si="697">F1325-E1325</f>
        <v>33464.46</v>
      </c>
      <c r="I1325" s="2"/>
    </row>
    <row r="1326" spans="1:9" x14ac:dyDescent="0.25">
      <c r="A1326" s="3"/>
      <c r="B1326" s="3"/>
      <c r="C1326" s="3" t="s">
        <v>52</v>
      </c>
      <c r="D1326" s="5">
        <f>D1330+D1337</f>
        <v>-139862</v>
      </c>
      <c r="E1326" s="5">
        <f t="shared" ref="E1326:F1326" si="698">E1330+E1337</f>
        <v>-141599.03</v>
      </c>
      <c r="F1326" s="5">
        <f t="shared" si="698"/>
        <v>-138584.98000000001</v>
      </c>
      <c r="G1326" s="5">
        <f t="shared" ref="G1326:G1328" si="699">F1326-E1326</f>
        <v>3014.0499999999884</v>
      </c>
      <c r="I1326" s="2"/>
    </row>
    <row r="1327" spans="1:9" x14ac:dyDescent="0.25">
      <c r="A1327" s="3"/>
      <c r="B1327" s="3"/>
      <c r="C1327" s="3" t="s">
        <v>53</v>
      </c>
      <c r="D1327" s="5">
        <f>D1331+D1338</f>
        <v>-47009</v>
      </c>
      <c r="E1327" s="5">
        <f t="shared" ref="E1327:F1327" si="700">E1331+E1338</f>
        <v>-97206.66</v>
      </c>
      <c r="F1327" s="5">
        <f t="shared" si="700"/>
        <v>-78035.92</v>
      </c>
      <c r="G1327" s="5">
        <f t="shared" si="699"/>
        <v>19170.740000000005</v>
      </c>
      <c r="I1327" s="2"/>
    </row>
    <row r="1328" spans="1:9" x14ac:dyDescent="0.25">
      <c r="A1328" s="3"/>
      <c r="B1328" s="3"/>
      <c r="C1328" s="3" t="s">
        <v>114</v>
      </c>
      <c r="D1328" s="5">
        <f>D1339</f>
        <v>-2629</v>
      </c>
      <c r="E1328" s="5">
        <f t="shared" ref="E1328" si="701">E1339</f>
        <v>-2629</v>
      </c>
      <c r="F1328" s="5">
        <f>F1339+F1332+F1334</f>
        <v>-5179.1200000000008</v>
      </c>
      <c r="G1328" s="5">
        <f t="shared" si="699"/>
        <v>-2550.1200000000008</v>
      </c>
      <c r="I1328" s="2"/>
    </row>
    <row r="1329" spans="1:9" x14ac:dyDescent="0.25">
      <c r="A1329" s="41"/>
      <c r="B1329" s="41"/>
      <c r="C1329" s="41" t="s">
        <v>117</v>
      </c>
      <c r="D1329" s="42">
        <f>SUM(D1330:D1331)</f>
        <v>-162409</v>
      </c>
      <c r="E1329" s="42">
        <f>SUM(E1330:E1331)</f>
        <v>-238805.69</v>
      </c>
      <c r="F1329" s="42">
        <f>SUM(F1330:F1332)</f>
        <v>-192336.19999999998</v>
      </c>
      <c r="G1329" s="42">
        <f>F1329-E1329</f>
        <v>46469.49000000002</v>
      </c>
      <c r="I1329" s="2"/>
    </row>
    <row r="1330" spans="1:9" x14ac:dyDescent="0.25">
      <c r="A1330" s="3"/>
      <c r="B1330" s="3"/>
      <c r="C1330" s="92" t="s">
        <v>52</v>
      </c>
      <c r="D1330" s="5">
        <v>-121026</v>
      </c>
      <c r="E1330" s="91">
        <v>-141599.03</v>
      </c>
      <c r="F1330" s="5">
        <v>-116650.8</v>
      </c>
      <c r="G1330" s="5">
        <f t="shared" ref="G1330:G1332" si="702">F1330-E1330</f>
        <v>24948.229999999996</v>
      </c>
      <c r="I1330" s="2"/>
    </row>
    <row r="1331" spans="1:9" x14ac:dyDescent="0.25">
      <c r="A1331" s="3"/>
      <c r="B1331" s="3"/>
      <c r="C1331" s="92" t="s">
        <v>53</v>
      </c>
      <c r="D1331" s="5">
        <v>-41383</v>
      </c>
      <c r="E1331" s="91">
        <f>-96924.41-282.25</f>
        <v>-97206.66</v>
      </c>
      <c r="F1331" s="5">
        <v>-75670.679999999993</v>
      </c>
      <c r="G1331" s="5">
        <f t="shared" si="702"/>
        <v>21535.98000000001</v>
      </c>
      <c r="I1331" s="2"/>
    </row>
    <row r="1332" spans="1:9" x14ac:dyDescent="0.25">
      <c r="A1332" s="3"/>
      <c r="B1332" s="3"/>
      <c r="C1332" s="3" t="s">
        <v>54</v>
      </c>
      <c r="D1332" s="5">
        <v>0</v>
      </c>
      <c r="E1332" s="5">
        <v>0</v>
      </c>
      <c r="F1332" s="5">
        <v>-14.72</v>
      </c>
      <c r="G1332" s="5">
        <f t="shared" si="702"/>
        <v>-14.72</v>
      </c>
      <c r="I1332" s="2"/>
    </row>
    <row r="1333" spans="1:9" x14ac:dyDescent="0.25">
      <c r="A1333" s="3"/>
      <c r="B1333" s="3"/>
      <c r="C1333" s="41" t="s">
        <v>118</v>
      </c>
      <c r="D1333" s="42">
        <v>0</v>
      </c>
      <c r="E1333" s="42">
        <v>0</v>
      </c>
      <c r="F1333" s="42">
        <f>F1334</f>
        <v>-10.84</v>
      </c>
      <c r="G1333" s="42">
        <f>F1333-E1333</f>
        <v>-10.84</v>
      </c>
      <c r="I1333" s="2"/>
    </row>
    <row r="1334" spans="1:9" x14ac:dyDescent="0.25">
      <c r="A1334" s="3"/>
      <c r="B1334" s="3"/>
      <c r="C1334" s="3" t="s">
        <v>114</v>
      </c>
      <c r="D1334" s="5">
        <v>0</v>
      </c>
      <c r="E1334" s="5">
        <v>0</v>
      </c>
      <c r="F1334" s="5">
        <v>-10.84</v>
      </c>
      <c r="G1334" s="5">
        <f t="shared" ref="G1334" si="703">F1334-E1334</f>
        <v>-10.84</v>
      </c>
      <c r="I1334" s="2"/>
    </row>
    <row r="1335" spans="1:9" x14ac:dyDescent="0.25">
      <c r="A1335" s="41"/>
      <c r="B1335" s="41"/>
      <c r="C1335" s="41" t="s">
        <v>119</v>
      </c>
      <c r="D1335" s="42">
        <f>SUM(D1337:D1338)</f>
        <v>-24462</v>
      </c>
      <c r="E1335" s="42">
        <f>E1336</f>
        <v>-33464.46</v>
      </c>
      <c r="F1335" s="42">
        <f t="shared" ref="F1335" si="704">SUM(F1337:F1338)</f>
        <v>-24299.42</v>
      </c>
      <c r="G1335" s="42">
        <f>F1335-E1335</f>
        <v>9165.0400000000009</v>
      </c>
      <c r="I1335" s="2"/>
    </row>
    <row r="1336" spans="1:9" x14ac:dyDescent="0.25">
      <c r="A1336" s="41"/>
      <c r="B1336" s="41"/>
      <c r="C1336" s="3" t="s">
        <v>193</v>
      </c>
      <c r="D1336" s="5">
        <v>0</v>
      </c>
      <c r="E1336" s="5">
        <v>-33464.46</v>
      </c>
      <c r="F1336" s="5">
        <v>0</v>
      </c>
      <c r="G1336" s="5">
        <f t="shared" ref="G1336" si="705">F1336-E1336</f>
        <v>33464.46</v>
      </c>
      <c r="I1336" s="2"/>
    </row>
    <row r="1337" spans="1:9" x14ac:dyDescent="0.25">
      <c r="A1337" s="3"/>
      <c r="B1337" s="3"/>
      <c r="C1337" s="3" t="s">
        <v>52</v>
      </c>
      <c r="D1337" s="5">
        <v>-18836</v>
      </c>
      <c r="E1337" s="5">
        <v>0</v>
      </c>
      <c r="F1337" s="5">
        <v>-21934.18</v>
      </c>
      <c r="G1337" s="5">
        <f t="shared" ref="G1337:G1338" si="706">F1337-E1337</f>
        <v>-21934.18</v>
      </c>
      <c r="I1337" s="2"/>
    </row>
    <row r="1338" spans="1:9" x14ac:dyDescent="0.25">
      <c r="A1338" s="3"/>
      <c r="B1338" s="3"/>
      <c r="C1338" s="3" t="s">
        <v>53</v>
      </c>
      <c r="D1338" s="5">
        <v>-5626</v>
      </c>
      <c r="E1338" s="5">
        <v>0</v>
      </c>
      <c r="F1338" s="5">
        <v>-2365.2399999999998</v>
      </c>
      <c r="G1338" s="5">
        <f t="shared" si="706"/>
        <v>-2365.2399999999998</v>
      </c>
      <c r="I1338" s="2"/>
    </row>
    <row r="1339" spans="1:9" s="39" customFormat="1" x14ac:dyDescent="0.25">
      <c r="A1339" s="41"/>
      <c r="B1339" s="41"/>
      <c r="C1339" s="41" t="s">
        <v>121</v>
      </c>
      <c r="D1339" s="42">
        <v>-2629</v>
      </c>
      <c r="E1339" s="42">
        <f>D1339</f>
        <v>-2629</v>
      </c>
      <c r="F1339" s="5">
        <v>-5153.5600000000004</v>
      </c>
      <c r="G1339" s="42">
        <f>F1339-E1339</f>
        <v>-2524.5600000000004</v>
      </c>
      <c r="H1339" s="25"/>
      <c r="I1339" s="2"/>
    </row>
    <row r="1340" spans="1:9" x14ac:dyDescent="0.25">
      <c r="A1340" s="41"/>
      <c r="B1340" s="41" t="s">
        <v>129</v>
      </c>
      <c r="C1340" s="41"/>
      <c r="D1340" s="42">
        <f>SUM(D1342:D1346)</f>
        <v>-2945158</v>
      </c>
      <c r="E1340" s="42">
        <f>SUM(E1341:E1346)</f>
        <v>-3943941.35</v>
      </c>
      <c r="F1340" s="42">
        <f>SUM(F1342:F1347)</f>
        <v>-3845389.5700225113</v>
      </c>
      <c r="G1340" s="42">
        <f>F1340-E1340</f>
        <v>98551.779977488797</v>
      </c>
      <c r="I1340" s="2"/>
    </row>
    <row r="1341" spans="1:9" x14ac:dyDescent="0.25">
      <c r="A1341" s="41"/>
      <c r="B1341" s="41"/>
      <c r="C1341" s="3" t="s">
        <v>193</v>
      </c>
      <c r="D1341" s="5">
        <v>0</v>
      </c>
      <c r="E1341" s="5">
        <f>E1357+E1364</f>
        <v>-995352.48</v>
      </c>
      <c r="F1341" s="5">
        <v>0</v>
      </c>
      <c r="G1341" s="5">
        <f t="shared" ref="G1341" si="707">F1341-E1341</f>
        <v>995352.48</v>
      </c>
      <c r="I1341" s="2"/>
    </row>
    <row r="1342" spans="1:9" x14ac:dyDescent="0.25">
      <c r="A1342" s="3"/>
      <c r="B1342" s="3"/>
      <c r="C1342" s="3" t="s">
        <v>52</v>
      </c>
      <c r="D1342" s="5">
        <f>D1349+D1358</f>
        <v>-63283</v>
      </c>
      <c r="E1342" s="5">
        <f>E1349+E1358</f>
        <v>-65220.99</v>
      </c>
      <c r="F1342" s="5">
        <f>F1349+F1358+F1365</f>
        <v>-64025.18</v>
      </c>
      <c r="G1342" s="5">
        <f t="shared" ref="G1342:G1347" si="708">F1342-E1342</f>
        <v>1195.8099999999977</v>
      </c>
      <c r="I1342" s="2"/>
    </row>
    <row r="1343" spans="1:9" x14ac:dyDescent="0.25">
      <c r="A1343" s="3"/>
      <c r="B1343" s="3"/>
      <c r="C1343" s="3" t="s">
        <v>53</v>
      </c>
      <c r="D1343" s="5">
        <f>D1350+D1359</f>
        <v>-13757</v>
      </c>
      <c r="E1343" s="5">
        <f>E1350+E1359</f>
        <v>-15249.49</v>
      </c>
      <c r="F1343" s="5">
        <f>F1350+F1359+F1366</f>
        <v>-11850.369999999999</v>
      </c>
      <c r="G1343" s="5">
        <f t="shared" si="708"/>
        <v>3399.1200000000008</v>
      </c>
      <c r="I1343" s="2"/>
    </row>
    <row r="1344" spans="1:9" x14ac:dyDescent="0.25">
      <c r="A1344" s="3"/>
      <c r="B1344" s="3"/>
      <c r="C1344" s="3" t="s">
        <v>122</v>
      </c>
      <c r="D1344" s="5">
        <f>D1360</f>
        <v>0</v>
      </c>
      <c r="E1344" s="5">
        <f t="shared" ref="E1344:F1344" si="709">E1360</f>
        <v>0</v>
      </c>
      <c r="F1344" s="5">
        <f t="shared" si="709"/>
        <v>2877.2299774886937</v>
      </c>
      <c r="G1344" s="5">
        <f t="shared" si="708"/>
        <v>2877.2299774886937</v>
      </c>
      <c r="I1344" s="2"/>
    </row>
    <row r="1345" spans="1:9" x14ac:dyDescent="0.25">
      <c r="A1345" s="3"/>
      <c r="B1345" s="3"/>
      <c r="C1345" s="3" t="s">
        <v>113</v>
      </c>
      <c r="D1345" s="5">
        <f>D1351</f>
        <v>-2825178</v>
      </c>
      <c r="E1345" s="5">
        <f t="shared" ref="E1345" si="710">E1351</f>
        <v>-2825178.39</v>
      </c>
      <c r="F1345" s="5">
        <f>F1351+F1361</f>
        <v>-3732609.5</v>
      </c>
      <c r="G1345" s="5">
        <f t="shared" si="708"/>
        <v>-907431.10999999987</v>
      </c>
      <c r="I1345" s="2"/>
    </row>
    <row r="1346" spans="1:9" x14ac:dyDescent="0.25">
      <c r="A1346" s="3"/>
      <c r="B1346" s="3"/>
      <c r="C1346" s="3" t="s">
        <v>114</v>
      </c>
      <c r="D1346" s="5">
        <f>D1367</f>
        <v>-42940</v>
      </c>
      <c r="E1346" s="5">
        <f>E1367</f>
        <v>-42940</v>
      </c>
      <c r="F1346" s="5">
        <f>F1367+F1352+F1354+F1362</f>
        <v>-38132.619999999995</v>
      </c>
      <c r="G1346" s="5">
        <f t="shared" si="708"/>
        <v>4807.3800000000047</v>
      </c>
      <c r="I1346" s="2"/>
    </row>
    <row r="1347" spans="1:9" x14ac:dyDescent="0.25">
      <c r="A1347" s="3"/>
      <c r="B1347" s="3"/>
      <c r="C1347" s="3" t="s">
        <v>30</v>
      </c>
      <c r="D1347" s="5">
        <v>0</v>
      </c>
      <c r="E1347" s="5">
        <v>0</v>
      </c>
      <c r="F1347" s="5">
        <f>F1355</f>
        <v>-1649.13</v>
      </c>
      <c r="G1347" s="5">
        <f t="shared" si="708"/>
        <v>-1649.13</v>
      </c>
      <c r="I1347" s="2"/>
    </row>
    <row r="1348" spans="1:9" x14ac:dyDescent="0.25">
      <c r="A1348" s="41"/>
      <c r="B1348" s="41"/>
      <c r="C1348" s="41" t="s">
        <v>117</v>
      </c>
      <c r="D1348" s="42">
        <f>SUM(D1349:D1351)</f>
        <v>-2897953</v>
      </c>
      <c r="E1348" s="42">
        <f>SUM(E1349:E1351)</f>
        <v>-2905648.87</v>
      </c>
      <c r="F1348" s="42">
        <f>SUM(F1349:F1352)</f>
        <v>-2873165.78</v>
      </c>
      <c r="G1348" s="42">
        <f>F1348-E1348</f>
        <v>32483.090000000317</v>
      </c>
      <c r="I1348" s="2"/>
    </row>
    <row r="1349" spans="1:9" x14ac:dyDescent="0.25">
      <c r="A1349" s="3"/>
      <c r="B1349" s="3"/>
      <c r="C1349" s="3" t="s">
        <v>52</v>
      </c>
      <c r="D1349" s="5">
        <v>-59691</v>
      </c>
      <c r="E1349" s="5">
        <v>-65220.99</v>
      </c>
      <c r="F1349" s="5">
        <v>-60732.62</v>
      </c>
      <c r="G1349" s="5">
        <f t="shared" ref="G1349:G1352" si="711">F1349-E1349</f>
        <v>4488.3699999999953</v>
      </c>
      <c r="I1349" s="2"/>
    </row>
    <row r="1350" spans="1:9" x14ac:dyDescent="0.25">
      <c r="A1350" s="3"/>
      <c r="B1350" s="3"/>
      <c r="C1350" s="3" t="s">
        <v>53</v>
      </c>
      <c r="D1350" s="5">
        <v>-13084</v>
      </c>
      <c r="E1350" s="5">
        <f>-15126.39-123.1</f>
        <v>-15249.49</v>
      </c>
      <c r="F1350" s="5">
        <v>-10652.38</v>
      </c>
      <c r="G1350" s="5">
        <f t="shared" si="711"/>
        <v>4597.1100000000006</v>
      </c>
      <c r="I1350" s="2"/>
    </row>
    <row r="1351" spans="1:9" x14ac:dyDescent="0.25">
      <c r="A1351" s="3"/>
      <c r="B1351" s="3"/>
      <c r="C1351" s="3" t="s">
        <v>113</v>
      </c>
      <c r="D1351" s="5">
        <v>-2825178</v>
      </c>
      <c r="E1351" s="5">
        <v>-2825178.39</v>
      </c>
      <c r="F1351" s="5">
        <v>-2801672.65</v>
      </c>
      <c r="G1351" s="5">
        <f t="shared" si="711"/>
        <v>23505.740000000224</v>
      </c>
      <c r="I1351" s="2"/>
    </row>
    <row r="1352" spans="1:9" x14ac:dyDescent="0.25">
      <c r="A1352" s="3"/>
      <c r="B1352" s="3"/>
      <c r="C1352" s="3" t="s">
        <v>54</v>
      </c>
      <c r="D1352" s="5">
        <v>0</v>
      </c>
      <c r="E1352" s="5">
        <v>0</v>
      </c>
      <c r="F1352" s="5">
        <v>-108.13</v>
      </c>
      <c r="G1352" s="5">
        <f t="shared" si="711"/>
        <v>-108.13</v>
      </c>
      <c r="I1352" s="2"/>
    </row>
    <row r="1353" spans="1:9" x14ac:dyDescent="0.25">
      <c r="A1353" s="3"/>
      <c r="B1353" s="3"/>
      <c r="C1353" s="41" t="s">
        <v>118</v>
      </c>
      <c r="D1353" s="42">
        <f>SUM(D1354:D1355)</f>
        <v>0</v>
      </c>
      <c r="E1353" s="42">
        <f t="shared" ref="E1353:F1353" si="712">SUM(E1354:E1355)</f>
        <v>0</v>
      </c>
      <c r="F1353" s="42">
        <f t="shared" si="712"/>
        <v>-6074.28</v>
      </c>
      <c r="G1353" s="42">
        <f>F1353-E1353</f>
        <v>-6074.28</v>
      </c>
      <c r="I1353" s="2"/>
    </row>
    <row r="1354" spans="1:9" x14ac:dyDescent="0.25">
      <c r="A1354" s="3"/>
      <c r="B1354" s="3"/>
      <c r="C1354" s="3" t="s">
        <v>114</v>
      </c>
      <c r="D1354" s="5">
        <v>0</v>
      </c>
      <c r="E1354" s="5">
        <v>0</v>
      </c>
      <c r="F1354" s="5">
        <v>-4425.1499999999996</v>
      </c>
      <c r="G1354" s="5">
        <f t="shared" ref="G1354:G1355" si="713">F1354-E1354</f>
        <v>-4425.1499999999996</v>
      </c>
      <c r="I1354" s="2"/>
    </row>
    <row r="1355" spans="1:9" x14ac:dyDescent="0.25">
      <c r="A1355" s="3"/>
      <c r="B1355" s="3"/>
      <c r="C1355" s="3" t="s">
        <v>30</v>
      </c>
      <c r="D1355" s="5">
        <v>0</v>
      </c>
      <c r="E1355" s="5">
        <v>0</v>
      </c>
      <c r="F1355" s="5">
        <v>-1649.13</v>
      </c>
      <c r="G1355" s="5">
        <f t="shared" si="713"/>
        <v>-1649.13</v>
      </c>
      <c r="I1355" s="2"/>
    </row>
    <row r="1356" spans="1:9" x14ac:dyDescent="0.25">
      <c r="A1356" s="41"/>
      <c r="B1356" s="41"/>
      <c r="C1356" s="41" t="s">
        <v>119</v>
      </c>
      <c r="D1356" s="42">
        <f>SUM(D1358:D1359)</f>
        <v>-4265</v>
      </c>
      <c r="E1356" s="42">
        <f>E1357</f>
        <v>-995303.25</v>
      </c>
      <c r="F1356" s="42">
        <f>SUM(F1358:F1362)</f>
        <v>-938501.99002251134</v>
      </c>
      <c r="G1356" s="42">
        <f>F1356-E1356</f>
        <v>56801.259977488662</v>
      </c>
      <c r="I1356" s="2"/>
    </row>
    <row r="1357" spans="1:9" x14ac:dyDescent="0.25">
      <c r="A1357" s="41"/>
      <c r="B1357" s="41"/>
      <c r="C1357" s="3" t="s">
        <v>193</v>
      </c>
      <c r="D1357" s="5">
        <v>0</v>
      </c>
      <c r="E1357" s="5">
        <v>-995303.25</v>
      </c>
      <c r="F1357" s="5">
        <v>0</v>
      </c>
      <c r="G1357" s="5">
        <f t="shared" ref="G1357" si="714">F1357-E1357</f>
        <v>995303.25</v>
      </c>
      <c r="I1357" s="2"/>
    </row>
    <row r="1358" spans="1:9" x14ac:dyDescent="0.25">
      <c r="A1358" s="3"/>
      <c r="B1358" s="3"/>
      <c r="C1358" s="3" t="s">
        <v>52</v>
      </c>
      <c r="D1358" s="5">
        <v>-3592</v>
      </c>
      <c r="E1358" s="5">
        <v>0</v>
      </c>
      <c r="F1358" s="5">
        <v>-3267.38</v>
      </c>
      <c r="G1358" s="5">
        <f t="shared" ref="G1358:G1362" si="715">F1358-E1358</f>
        <v>-3267.38</v>
      </c>
      <c r="I1358" s="2"/>
    </row>
    <row r="1359" spans="1:9" x14ac:dyDescent="0.25">
      <c r="A1359" s="41"/>
      <c r="B1359" s="41"/>
      <c r="C1359" s="3" t="s">
        <v>53</v>
      </c>
      <c r="D1359" s="5">
        <v>-673</v>
      </c>
      <c r="E1359" s="5">
        <v>0</v>
      </c>
      <c r="F1359" s="5">
        <v>-1173.93</v>
      </c>
      <c r="G1359" s="5">
        <f t="shared" si="715"/>
        <v>-1173.93</v>
      </c>
      <c r="I1359" s="2"/>
    </row>
    <row r="1360" spans="1:9" x14ac:dyDescent="0.25">
      <c r="A1360" s="41"/>
      <c r="B1360" s="41"/>
      <c r="C1360" s="3" t="s">
        <v>122</v>
      </c>
      <c r="D1360" s="5">
        <v>0</v>
      </c>
      <c r="E1360" s="5">
        <v>0</v>
      </c>
      <c r="F1360" s="5">
        <v>2877.2299774886937</v>
      </c>
      <c r="G1360" s="5">
        <f t="shared" si="715"/>
        <v>2877.2299774886937</v>
      </c>
      <c r="I1360" s="2"/>
    </row>
    <row r="1361" spans="1:9" x14ac:dyDescent="0.25">
      <c r="A1361" s="41"/>
      <c r="B1361" s="41"/>
      <c r="C1361" s="3" t="s">
        <v>113</v>
      </c>
      <c r="D1361" s="5">
        <v>0</v>
      </c>
      <c r="E1361" s="5">
        <v>0</v>
      </c>
      <c r="F1361" s="5">
        <v>-930936.85</v>
      </c>
      <c r="G1361" s="5">
        <f t="shared" si="715"/>
        <v>-930936.85</v>
      </c>
      <c r="I1361" s="2"/>
    </row>
    <row r="1362" spans="1:9" x14ac:dyDescent="0.25">
      <c r="A1362" s="41"/>
      <c r="B1362" s="41"/>
      <c r="C1362" s="3" t="s">
        <v>54</v>
      </c>
      <c r="D1362" s="5">
        <v>0</v>
      </c>
      <c r="E1362" s="5">
        <v>0</v>
      </c>
      <c r="F1362" s="5">
        <v>-6001.06</v>
      </c>
      <c r="G1362" s="5">
        <f t="shared" si="715"/>
        <v>-6001.06</v>
      </c>
      <c r="I1362" s="2"/>
    </row>
    <row r="1363" spans="1:9" x14ac:dyDescent="0.25">
      <c r="A1363" s="41"/>
      <c r="B1363" s="41"/>
      <c r="C1363" s="41" t="s">
        <v>120</v>
      </c>
      <c r="D1363" s="42">
        <f>SUM(D1365:D1366)</f>
        <v>0</v>
      </c>
      <c r="E1363" s="42">
        <f>E1364</f>
        <v>-49.23</v>
      </c>
      <c r="F1363" s="42">
        <f>SUM(F1365:F1366)</f>
        <v>-49.239999999999995</v>
      </c>
      <c r="G1363" s="42">
        <f>F1363-E1363</f>
        <v>-9.9999999999980105E-3</v>
      </c>
      <c r="I1363" s="2"/>
    </row>
    <row r="1364" spans="1:9" x14ac:dyDescent="0.25">
      <c r="A1364" s="41"/>
      <c r="B1364" s="41"/>
      <c r="C1364" s="3" t="s">
        <v>193</v>
      </c>
      <c r="D1364" s="5">
        <v>0</v>
      </c>
      <c r="E1364" s="5">
        <v>-49.23</v>
      </c>
      <c r="F1364" s="5">
        <v>0</v>
      </c>
      <c r="G1364" s="5">
        <f t="shared" ref="G1364:G1366" si="716">F1364-E1364</f>
        <v>49.23</v>
      </c>
      <c r="I1364" s="2"/>
    </row>
    <row r="1365" spans="1:9" x14ac:dyDescent="0.25">
      <c r="A1365" s="41"/>
      <c r="B1365" s="41"/>
      <c r="C1365" s="3" t="s">
        <v>52</v>
      </c>
      <c r="D1365" s="5">
        <v>0</v>
      </c>
      <c r="E1365" s="5">
        <v>0</v>
      </c>
      <c r="F1365" s="5">
        <v>-25.18</v>
      </c>
      <c r="G1365" s="5">
        <f t="shared" si="716"/>
        <v>-25.18</v>
      </c>
      <c r="I1365" s="2"/>
    </row>
    <row r="1366" spans="1:9" x14ac:dyDescent="0.25">
      <c r="A1366" s="41"/>
      <c r="B1366" s="41"/>
      <c r="C1366" s="3" t="s">
        <v>53</v>
      </c>
      <c r="D1366" s="5">
        <v>0</v>
      </c>
      <c r="E1366" s="5">
        <v>0</v>
      </c>
      <c r="F1366" s="5">
        <v>-24.06</v>
      </c>
      <c r="G1366" s="5">
        <f t="shared" si="716"/>
        <v>-24.06</v>
      </c>
      <c r="I1366" s="2"/>
    </row>
    <row r="1367" spans="1:9" s="39" customFormat="1" x14ac:dyDescent="0.25">
      <c r="A1367" s="41"/>
      <c r="B1367" s="41"/>
      <c r="C1367" s="41" t="s">
        <v>121</v>
      </c>
      <c r="D1367" s="42">
        <v>-42940</v>
      </c>
      <c r="E1367" s="42">
        <f>D1367</f>
        <v>-42940</v>
      </c>
      <c r="F1367" s="5">
        <v>-27598.28</v>
      </c>
      <c r="G1367" s="42">
        <f>F1367-E1367</f>
        <v>15341.720000000001</v>
      </c>
      <c r="H1367" s="25"/>
      <c r="I1367" s="2"/>
    </row>
    <row r="1368" spans="1:9" x14ac:dyDescent="0.25">
      <c r="A1368" s="41"/>
      <c r="B1368" s="41" t="s">
        <v>143</v>
      </c>
      <c r="C1368" s="41"/>
      <c r="D1368" s="42">
        <f>SUM(D1370:D1372)</f>
        <v>-211442</v>
      </c>
      <c r="E1368" s="42">
        <f>SUM(E1369:E1372)</f>
        <v>-220036.55</v>
      </c>
      <c r="F1368" s="42">
        <f>SUM(F1370:F1373)</f>
        <v>-207228.27000000002</v>
      </c>
      <c r="G1368" s="42">
        <f>F1368-E1368</f>
        <v>12808.27999999997</v>
      </c>
      <c r="I1368" s="2"/>
    </row>
    <row r="1369" spans="1:9" x14ac:dyDescent="0.25">
      <c r="A1369" s="41"/>
      <c r="B1369" s="41"/>
      <c r="C1369" s="3" t="s">
        <v>193</v>
      </c>
      <c r="D1369" s="5">
        <v>0</v>
      </c>
      <c r="E1369" s="5">
        <f>E1381+E1385</f>
        <v>-20768.96</v>
      </c>
      <c r="F1369" s="5">
        <v>0</v>
      </c>
      <c r="G1369" s="5">
        <f t="shared" ref="G1369" si="717">F1369-E1369</f>
        <v>20768.96</v>
      </c>
      <c r="I1369" s="2"/>
    </row>
    <row r="1370" spans="1:9" x14ac:dyDescent="0.25">
      <c r="A1370" s="3"/>
      <c r="B1370" s="3"/>
      <c r="C1370" s="3" t="s">
        <v>52</v>
      </c>
      <c r="D1370" s="5">
        <f>D1375+D1382+D1386</f>
        <v>-150965</v>
      </c>
      <c r="E1370" s="5">
        <f>E1375+E1382+E1386</f>
        <v>-144519.59</v>
      </c>
      <c r="F1370" s="5">
        <f>F1375+F1382+F1386</f>
        <v>-152533.08000000002</v>
      </c>
      <c r="G1370" s="5">
        <f t="shared" ref="G1370:G1373" si="718">F1370-E1370</f>
        <v>-8013.4900000000198</v>
      </c>
      <c r="I1370" s="2"/>
    </row>
    <row r="1371" spans="1:9" x14ac:dyDescent="0.25">
      <c r="A1371" s="3"/>
      <c r="B1371" s="3"/>
      <c r="C1371" s="3" t="s">
        <v>53</v>
      </c>
      <c r="D1371" s="5">
        <f>D1376+D1387</f>
        <v>-56817</v>
      </c>
      <c r="E1371" s="5">
        <f>E1376+E1387</f>
        <v>-51088</v>
      </c>
      <c r="F1371" s="5">
        <f>F1376+F1387+F1383</f>
        <v>-51078.369999999995</v>
      </c>
      <c r="G1371" s="5">
        <f t="shared" si="718"/>
        <v>9.6300000000046566</v>
      </c>
      <c r="I1371" s="2"/>
    </row>
    <row r="1372" spans="1:9" x14ac:dyDescent="0.25">
      <c r="A1372" s="3"/>
      <c r="B1372" s="3"/>
      <c r="C1372" s="3" t="s">
        <v>113</v>
      </c>
      <c r="D1372" s="5">
        <f>D1377</f>
        <v>-3660</v>
      </c>
      <c r="E1372" s="5">
        <f t="shared" ref="E1372:F1372" si="719">E1377</f>
        <v>-3660.0000000000041</v>
      </c>
      <c r="F1372" s="5">
        <f t="shared" si="719"/>
        <v>-3660</v>
      </c>
      <c r="G1372" s="5">
        <f t="shared" si="718"/>
        <v>4.0927261579781771E-12</v>
      </c>
      <c r="I1372" s="2"/>
    </row>
    <row r="1373" spans="1:9" x14ac:dyDescent="0.25">
      <c r="A1373" s="3"/>
      <c r="B1373" s="3"/>
      <c r="C1373" s="3" t="s">
        <v>114</v>
      </c>
      <c r="D1373" s="5">
        <v>0</v>
      </c>
      <c r="E1373" s="5">
        <v>0</v>
      </c>
      <c r="F1373" s="5">
        <f>F1379+F1388</f>
        <v>43.180000000000007</v>
      </c>
      <c r="G1373" s="5">
        <f t="shared" si="718"/>
        <v>43.180000000000007</v>
      </c>
      <c r="I1373" s="2"/>
    </row>
    <row r="1374" spans="1:9" x14ac:dyDescent="0.25">
      <c r="A1374" s="41"/>
      <c r="B1374" s="41"/>
      <c r="C1374" s="41" t="s">
        <v>117</v>
      </c>
      <c r="D1374" s="42">
        <f>SUM(D1375:D1377)</f>
        <v>-196497</v>
      </c>
      <c r="E1374" s="42">
        <f t="shared" ref="E1374" si="720">SUM(E1375:E1377)</f>
        <v>-199267.59</v>
      </c>
      <c r="F1374" s="42">
        <f t="shared" ref="F1374" si="721">SUM(F1375:F1377)</f>
        <v>-192188.96</v>
      </c>
      <c r="G1374" s="42">
        <f>F1374-E1374</f>
        <v>7078.6300000000047</v>
      </c>
      <c r="I1374" s="2"/>
    </row>
    <row r="1375" spans="1:9" x14ac:dyDescent="0.25">
      <c r="A1375" s="3"/>
      <c r="B1375" s="3"/>
      <c r="C1375" s="3" t="s">
        <v>52</v>
      </c>
      <c r="D1375" s="5">
        <v>-145541</v>
      </c>
      <c r="E1375" s="5">
        <v>-144519.59</v>
      </c>
      <c r="F1375" s="5">
        <v>-145830.18</v>
      </c>
      <c r="G1375" s="5">
        <f t="shared" ref="G1375:G1377" si="722">F1375-E1375</f>
        <v>-1310.5899999999965</v>
      </c>
      <c r="I1375" s="2"/>
    </row>
    <row r="1376" spans="1:9" x14ac:dyDescent="0.25">
      <c r="A1376" s="3"/>
      <c r="B1376" s="3"/>
      <c r="C1376" s="3" t="s">
        <v>53</v>
      </c>
      <c r="D1376" s="5">
        <v>-47296</v>
      </c>
      <c r="E1376" s="5">
        <f>-50716.13-371.87</f>
        <v>-51088</v>
      </c>
      <c r="F1376" s="5">
        <v>-42698.78</v>
      </c>
      <c r="G1376" s="5">
        <f t="shared" si="722"/>
        <v>8389.2200000000012</v>
      </c>
      <c r="I1376" s="2"/>
    </row>
    <row r="1377" spans="1:9" x14ac:dyDescent="0.25">
      <c r="A1377" s="3"/>
      <c r="B1377" s="3"/>
      <c r="C1377" s="3" t="s">
        <v>113</v>
      </c>
      <c r="D1377" s="5">
        <v>-3660</v>
      </c>
      <c r="E1377" s="5">
        <v>-3660.0000000000041</v>
      </c>
      <c r="F1377" s="5">
        <v>-3660</v>
      </c>
      <c r="G1377" s="5">
        <f t="shared" si="722"/>
        <v>4.0927261579781771E-12</v>
      </c>
      <c r="I1377" s="2"/>
    </row>
    <row r="1378" spans="1:9" x14ac:dyDescent="0.25">
      <c r="A1378" s="3"/>
      <c r="B1378" s="3"/>
      <c r="C1378" s="41" t="s">
        <v>118</v>
      </c>
      <c r="D1378" s="42">
        <v>0</v>
      </c>
      <c r="E1378" s="42">
        <v>0</v>
      </c>
      <c r="F1378" s="42">
        <f>F1379</f>
        <v>420.23</v>
      </c>
      <c r="G1378" s="42">
        <f>F1378-E1378</f>
        <v>420.23</v>
      </c>
      <c r="I1378" s="2"/>
    </row>
    <row r="1379" spans="1:9" x14ac:dyDescent="0.25">
      <c r="A1379" s="3"/>
      <c r="B1379" s="3"/>
      <c r="C1379" s="3" t="s">
        <v>114</v>
      </c>
      <c r="D1379" s="5">
        <v>0</v>
      </c>
      <c r="E1379" s="5">
        <v>0</v>
      </c>
      <c r="F1379" s="5">
        <v>420.23</v>
      </c>
      <c r="G1379" s="5">
        <f t="shared" ref="G1379" si="723">F1379-E1379</f>
        <v>420.23</v>
      </c>
      <c r="I1379" s="2"/>
    </row>
    <row r="1380" spans="1:9" x14ac:dyDescent="0.25">
      <c r="A1380" s="41"/>
      <c r="B1380" s="41"/>
      <c r="C1380" s="41" t="s">
        <v>119</v>
      </c>
      <c r="D1380" s="42">
        <f>SUM(D1382:D1382)</f>
        <v>-4931</v>
      </c>
      <c r="E1380" s="42">
        <f>E1381</f>
        <v>-6623.5</v>
      </c>
      <c r="F1380" s="42">
        <f>SUM(F1382:F1383)</f>
        <v>-6335.27</v>
      </c>
      <c r="G1380" s="42">
        <f>F1380-E1380</f>
        <v>288.22999999999956</v>
      </c>
      <c r="I1380" s="2"/>
    </row>
    <row r="1381" spans="1:9" x14ac:dyDescent="0.25">
      <c r="A1381" s="41"/>
      <c r="B1381" s="41"/>
      <c r="C1381" s="3" t="s">
        <v>193</v>
      </c>
      <c r="D1381" s="5">
        <v>0</v>
      </c>
      <c r="E1381" s="5">
        <v>-6623.5</v>
      </c>
      <c r="F1381" s="5">
        <v>0</v>
      </c>
      <c r="G1381" s="5">
        <f t="shared" ref="G1381" si="724">F1381-E1381</f>
        <v>6623.5</v>
      </c>
      <c r="I1381" s="2"/>
    </row>
    <row r="1382" spans="1:9" x14ac:dyDescent="0.25">
      <c r="A1382" s="3"/>
      <c r="B1382" s="3"/>
      <c r="C1382" s="3" t="s">
        <v>52</v>
      </c>
      <c r="D1382" s="5">
        <v>-4931</v>
      </c>
      <c r="E1382" s="5">
        <v>0</v>
      </c>
      <c r="F1382" s="5">
        <v>-5572.67</v>
      </c>
      <c r="G1382" s="5">
        <f t="shared" ref="G1382:G1383" si="725">F1382-E1382</f>
        <v>-5572.67</v>
      </c>
      <c r="I1382" s="2"/>
    </row>
    <row r="1383" spans="1:9" x14ac:dyDescent="0.25">
      <c r="A1383" s="3"/>
      <c r="B1383" s="3"/>
      <c r="C1383" s="3" t="s">
        <v>53</v>
      </c>
      <c r="D1383" s="5">
        <v>0</v>
      </c>
      <c r="E1383" s="25">
        <v>0</v>
      </c>
      <c r="F1383" s="5">
        <v>-762.6</v>
      </c>
      <c r="G1383" s="5">
        <f t="shared" si="725"/>
        <v>-762.6</v>
      </c>
      <c r="I1383" s="2"/>
    </row>
    <row r="1384" spans="1:9" x14ac:dyDescent="0.25">
      <c r="A1384" s="41"/>
      <c r="B1384" s="41"/>
      <c r="C1384" s="41" t="s">
        <v>120</v>
      </c>
      <c r="D1384" s="42">
        <f>SUM(D1386:D1387)</f>
        <v>-10014</v>
      </c>
      <c r="E1384" s="42">
        <f>E1385</f>
        <v>-14145.46</v>
      </c>
      <c r="F1384" s="42">
        <f>SUM(F1386:F1388)</f>
        <v>-9124.2699999999986</v>
      </c>
      <c r="G1384" s="42">
        <f>F1384-E1384</f>
        <v>5021.1900000000005</v>
      </c>
      <c r="I1384" s="2"/>
    </row>
    <row r="1385" spans="1:9" x14ac:dyDescent="0.25">
      <c r="A1385" s="41"/>
      <c r="B1385" s="41"/>
      <c r="C1385" s="3" t="s">
        <v>193</v>
      </c>
      <c r="D1385" s="5">
        <v>0</v>
      </c>
      <c r="E1385" s="5">
        <v>-14145.46</v>
      </c>
      <c r="F1385" s="5">
        <v>0</v>
      </c>
      <c r="G1385" s="5">
        <f t="shared" ref="G1385" si="726">F1385-E1385</f>
        <v>14145.46</v>
      </c>
      <c r="I1385" s="2"/>
    </row>
    <row r="1386" spans="1:9" x14ac:dyDescent="0.25">
      <c r="A1386" s="3"/>
      <c r="B1386" s="3"/>
      <c r="C1386" s="3" t="s">
        <v>52</v>
      </c>
      <c r="D1386" s="5">
        <v>-493</v>
      </c>
      <c r="E1386" s="5">
        <v>0</v>
      </c>
      <c r="F1386" s="5">
        <v>-1130.23</v>
      </c>
      <c r="G1386" s="5">
        <f t="shared" ref="G1386:G1409" si="727">F1386-E1386</f>
        <v>-1130.23</v>
      </c>
      <c r="I1386" s="2"/>
    </row>
    <row r="1387" spans="1:9" x14ac:dyDescent="0.25">
      <c r="A1387" s="41"/>
      <c r="B1387" s="41"/>
      <c r="C1387" s="3" t="s">
        <v>53</v>
      </c>
      <c r="D1387" s="5">
        <v>-9521</v>
      </c>
      <c r="E1387" s="5">
        <v>0</v>
      </c>
      <c r="F1387" s="5">
        <v>-7616.99</v>
      </c>
      <c r="G1387" s="5">
        <f t="shared" si="727"/>
        <v>-7616.99</v>
      </c>
      <c r="I1387" s="2"/>
    </row>
    <row r="1388" spans="1:9" x14ac:dyDescent="0.25">
      <c r="A1388" s="41"/>
      <c r="B1388" s="41"/>
      <c r="C1388" s="3" t="s">
        <v>54</v>
      </c>
      <c r="D1388" s="5">
        <v>0</v>
      </c>
      <c r="E1388" s="5">
        <v>0</v>
      </c>
      <c r="F1388" s="5">
        <v>-377.05</v>
      </c>
      <c r="G1388" s="5">
        <f t="shared" si="727"/>
        <v>-377.05</v>
      </c>
      <c r="I1388" s="2"/>
    </row>
    <row r="1389" spans="1:9" x14ac:dyDescent="0.25">
      <c r="A1389" s="41"/>
      <c r="B1389" s="39" t="s">
        <v>195</v>
      </c>
      <c r="C1389" s="41"/>
      <c r="D1389" s="42">
        <f>SUM(D1390:D1393)</f>
        <v>0</v>
      </c>
      <c r="E1389" s="42">
        <f t="shared" ref="E1389:F1389" si="728">SUM(E1390:E1393)</f>
        <v>-15564.15</v>
      </c>
      <c r="F1389" s="42">
        <f t="shared" si="728"/>
        <v>-21917.439999999999</v>
      </c>
      <c r="G1389" s="42">
        <f>F1389-E1389</f>
        <v>-6353.2899999999991</v>
      </c>
      <c r="I1389" s="2"/>
    </row>
    <row r="1390" spans="1:9" x14ac:dyDescent="0.25">
      <c r="A1390" s="41"/>
      <c r="B1390" s="41"/>
      <c r="C1390" s="3" t="s">
        <v>193</v>
      </c>
      <c r="D1390" s="42">
        <v>0</v>
      </c>
      <c r="E1390" s="5">
        <f>E1400</f>
        <v>-643.95000000000005</v>
      </c>
      <c r="F1390" s="5">
        <v>0</v>
      </c>
      <c r="G1390" s="5">
        <f t="shared" ref="G1390:G1393" si="729">F1390-E1390</f>
        <v>643.95000000000005</v>
      </c>
      <c r="I1390" s="2"/>
    </row>
    <row r="1391" spans="1:9" x14ac:dyDescent="0.25">
      <c r="A1391" s="41"/>
      <c r="B1391" s="3"/>
      <c r="C1391" s="3" t="s">
        <v>52</v>
      </c>
      <c r="D1391" s="5">
        <f>D1395+D1401</f>
        <v>0</v>
      </c>
      <c r="E1391" s="5">
        <f t="shared" ref="E1391:F1391" si="730">E1395+E1401</f>
        <v>-12383.97</v>
      </c>
      <c r="F1391" s="5">
        <f t="shared" si="730"/>
        <v>-11957.1</v>
      </c>
      <c r="G1391" s="5">
        <f t="shared" si="729"/>
        <v>426.86999999999898</v>
      </c>
      <c r="I1391" s="2"/>
    </row>
    <row r="1392" spans="1:9" x14ac:dyDescent="0.25">
      <c r="A1392" s="41"/>
      <c r="B1392" s="3"/>
      <c r="C1392" s="3" t="s">
        <v>53</v>
      </c>
      <c r="D1392" s="5">
        <f>D1396+D1402</f>
        <v>0</v>
      </c>
      <c r="E1392" s="5">
        <f t="shared" ref="E1392:F1392" si="731">E1396+E1402</f>
        <v>-2536.23</v>
      </c>
      <c r="F1392" s="5">
        <f t="shared" si="731"/>
        <v>-1495.14</v>
      </c>
      <c r="G1392" s="5">
        <f t="shared" si="729"/>
        <v>1041.0899999999999</v>
      </c>
      <c r="I1392" s="2"/>
    </row>
    <row r="1393" spans="1:9" x14ac:dyDescent="0.25">
      <c r="A1393" s="41"/>
      <c r="B1393" s="3"/>
      <c r="C1393" s="3" t="s">
        <v>114</v>
      </c>
      <c r="D1393" s="5">
        <f>D1403+D1398</f>
        <v>0</v>
      </c>
      <c r="E1393" s="5">
        <f t="shared" ref="E1393:F1393" si="732">E1403+E1398</f>
        <v>0</v>
      </c>
      <c r="F1393" s="5">
        <f t="shared" si="732"/>
        <v>-8465.1999999999989</v>
      </c>
      <c r="G1393" s="5">
        <f t="shared" si="729"/>
        <v>-8465.1999999999989</v>
      </c>
      <c r="I1393" s="2"/>
    </row>
    <row r="1394" spans="1:9" x14ac:dyDescent="0.25">
      <c r="A1394" s="41"/>
      <c r="B1394" s="41"/>
      <c r="C1394" s="41" t="s">
        <v>117</v>
      </c>
      <c r="D1394" s="42">
        <f>SUM(D1395:D1396)</f>
        <v>0</v>
      </c>
      <c r="E1394" s="42">
        <f>SUM(E1395:E1396)</f>
        <v>-14920.199999999999</v>
      </c>
      <c r="F1394" s="42">
        <f>SUM(F1395:F1396)</f>
        <v>-13021.08</v>
      </c>
      <c r="G1394" s="42">
        <f>F1394-E1394</f>
        <v>1899.119999999999</v>
      </c>
      <c r="I1394" s="2"/>
    </row>
    <row r="1395" spans="1:9" x14ac:dyDescent="0.25">
      <c r="A1395" s="41"/>
      <c r="B1395" s="3"/>
      <c r="C1395" s="3" t="s">
        <v>52</v>
      </c>
      <c r="D1395" s="5">
        <v>0</v>
      </c>
      <c r="E1395" s="5">
        <v>-12383.97</v>
      </c>
      <c r="F1395" s="5">
        <v>-11549.9</v>
      </c>
      <c r="G1395" s="5">
        <f t="shared" ref="G1395:G1398" si="733">F1395-E1395</f>
        <v>834.06999999999971</v>
      </c>
      <c r="I1395" s="2"/>
    </row>
    <row r="1396" spans="1:9" x14ac:dyDescent="0.25">
      <c r="A1396" s="41"/>
      <c r="B1396" s="3"/>
      <c r="C1396" s="3" t="s">
        <v>53</v>
      </c>
      <c r="D1396" s="5">
        <v>0</v>
      </c>
      <c r="E1396" s="5">
        <v>-2536.23</v>
      </c>
      <c r="F1396" s="5">
        <v>-1471.18</v>
      </c>
      <c r="G1396" s="5">
        <f t="shared" si="733"/>
        <v>1065.05</v>
      </c>
      <c r="I1396" s="2"/>
    </row>
    <row r="1397" spans="1:9" x14ac:dyDescent="0.25">
      <c r="A1397" s="41"/>
      <c r="B1397" s="41"/>
      <c r="C1397" s="41" t="s">
        <v>118</v>
      </c>
      <c r="D1397" s="42">
        <f>D1398</f>
        <v>0</v>
      </c>
      <c r="E1397" s="42">
        <f t="shared" ref="E1397:F1397" si="734">E1398</f>
        <v>0</v>
      </c>
      <c r="F1397" s="42">
        <f t="shared" si="734"/>
        <v>0.03</v>
      </c>
      <c r="G1397" s="42">
        <f t="shared" si="733"/>
        <v>0.03</v>
      </c>
      <c r="I1397" s="2"/>
    </row>
    <row r="1398" spans="1:9" x14ac:dyDescent="0.25">
      <c r="A1398" s="41"/>
      <c r="B1398" s="3"/>
      <c r="C1398" s="3" t="s">
        <v>54</v>
      </c>
      <c r="D1398" s="5">
        <v>0</v>
      </c>
      <c r="E1398" s="5">
        <v>0</v>
      </c>
      <c r="F1398" s="5">
        <v>0.03</v>
      </c>
      <c r="G1398" s="5">
        <f t="shared" si="733"/>
        <v>0.03</v>
      </c>
      <c r="I1398" s="2"/>
    </row>
    <row r="1399" spans="1:9" x14ac:dyDescent="0.25">
      <c r="A1399" s="41"/>
      <c r="B1399" s="41"/>
      <c r="C1399" s="41" t="s">
        <v>119</v>
      </c>
      <c r="D1399" s="42">
        <f>SUM(D1400:D1402)</f>
        <v>0</v>
      </c>
      <c r="E1399" s="42">
        <f t="shared" ref="E1399:F1399" si="735">SUM(E1400:E1402)</f>
        <v>-643.95000000000005</v>
      </c>
      <c r="F1399" s="42">
        <f t="shared" si="735"/>
        <v>-431.15999999999997</v>
      </c>
      <c r="G1399" s="42">
        <f>F1399-E1399</f>
        <v>212.79000000000008</v>
      </c>
      <c r="I1399" s="2"/>
    </row>
    <row r="1400" spans="1:9" x14ac:dyDescent="0.25">
      <c r="A1400" s="41"/>
      <c r="B1400" s="41"/>
      <c r="C1400" s="3" t="s">
        <v>193</v>
      </c>
      <c r="D1400" s="42">
        <v>0</v>
      </c>
      <c r="E1400" s="5">
        <v>-643.95000000000005</v>
      </c>
      <c r="F1400" s="5">
        <v>0</v>
      </c>
      <c r="G1400" s="5">
        <f t="shared" ref="G1400:G1402" si="736">F1400-E1400</f>
        <v>643.95000000000005</v>
      </c>
      <c r="I1400" s="2"/>
    </row>
    <row r="1401" spans="1:9" x14ac:dyDescent="0.25">
      <c r="A1401" s="41"/>
      <c r="B1401" s="3"/>
      <c r="C1401" s="3" t="s">
        <v>52</v>
      </c>
      <c r="D1401" s="5">
        <v>0</v>
      </c>
      <c r="E1401" s="5">
        <v>0</v>
      </c>
      <c r="F1401" s="5">
        <v>-407.2</v>
      </c>
      <c r="G1401" s="5">
        <f t="shared" si="736"/>
        <v>-407.2</v>
      </c>
      <c r="I1401" s="2"/>
    </row>
    <row r="1402" spans="1:9" x14ac:dyDescent="0.25">
      <c r="A1402" s="41"/>
      <c r="B1402" s="41"/>
      <c r="C1402" s="3" t="s">
        <v>53</v>
      </c>
      <c r="D1402" s="5">
        <v>0</v>
      </c>
      <c r="E1402" s="5">
        <v>0</v>
      </c>
      <c r="F1402" s="5">
        <v>-23.96</v>
      </c>
      <c r="G1402" s="5">
        <f t="shared" si="736"/>
        <v>-23.96</v>
      </c>
      <c r="I1402" s="2"/>
    </row>
    <row r="1403" spans="1:9" x14ac:dyDescent="0.25">
      <c r="A1403" s="41"/>
      <c r="B1403" s="41"/>
      <c r="C1403" s="41" t="s">
        <v>121</v>
      </c>
      <c r="D1403" s="42">
        <v>0</v>
      </c>
      <c r="E1403" s="42">
        <f>D1403</f>
        <v>0</v>
      </c>
      <c r="F1403" s="5">
        <v>-8465.23</v>
      </c>
      <c r="G1403" s="42">
        <f>F1403-E1403</f>
        <v>-8465.23</v>
      </c>
      <c r="I1403" s="2"/>
    </row>
    <row r="1404" spans="1:9" s="39" customFormat="1" ht="15.75" x14ac:dyDescent="0.25">
      <c r="A1404" s="71" t="s">
        <v>176</v>
      </c>
      <c r="B1404" s="41"/>
      <c r="C1404" s="41"/>
      <c r="D1404" s="42">
        <f>SUM(D1405:D1409)</f>
        <v>-27941295</v>
      </c>
      <c r="E1404" s="42">
        <f t="shared" ref="E1404:F1404" si="737">SUM(E1405:E1409)</f>
        <v>-27959442.329999998</v>
      </c>
      <c r="F1404" s="42">
        <f t="shared" si="737"/>
        <v>-26313051.830000002</v>
      </c>
      <c r="G1404" s="42">
        <f t="shared" si="727"/>
        <v>1646390.4999999963</v>
      </c>
      <c r="H1404" s="25"/>
      <c r="I1404" s="2"/>
    </row>
    <row r="1405" spans="1:9" x14ac:dyDescent="0.25">
      <c r="A1405" s="3"/>
      <c r="B1405" s="3" t="s">
        <v>117</v>
      </c>
      <c r="C1405" s="3"/>
      <c r="D1405" s="5">
        <f>D1415+D1434+D1459</f>
        <v>-4381460</v>
      </c>
      <c r="E1405" s="5">
        <f>E1415+E1434+E1459+E1478</f>
        <v>-5879888.79</v>
      </c>
      <c r="F1405" s="5">
        <f>F1415+F1434+F1459+F1478</f>
        <v>-4348634.1999999993</v>
      </c>
      <c r="G1405" s="5">
        <f t="shared" si="727"/>
        <v>1531254.5900000008</v>
      </c>
      <c r="I1405" s="2"/>
    </row>
    <row r="1406" spans="1:9" x14ac:dyDescent="0.25">
      <c r="A1406" s="3"/>
      <c r="B1406" s="3" t="s">
        <v>118</v>
      </c>
      <c r="C1406" s="3"/>
      <c r="D1406" s="5">
        <v>0</v>
      </c>
      <c r="E1406" s="5">
        <v>0</v>
      </c>
      <c r="F1406" s="5">
        <f>F1419+F1439+F1462</f>
        <v>-9914.84</v>
      </c>
      <c r="G1406" s="5">
        <f t="shared" si="727"/>
        <v>-9914.84</v>
      </c>
      <c r="I1406" s="2"/>
    </row>
    <row r="1407" spans="1:9" x14ac:dyDescent="0.25">
      <c r="A1407" s="3"/>
      <c r="B1407" s="3" t="s">
        <v>119</v>
      </c>
      <c r="C1407" s="3"/>
      <c r="D1407" s="5">
        <f>D1442+D1464</f>
        <v>-23321872</v>
      </c>
      <c r="E1407" s="5">
        <f>E1442+E1464+E1421+E1483</f>
        <v>-21855490.219999999</v>
      </c>
      <c r="F1407" s="5">
        <f>F1442+F1464+F1421+F1483</f>
        <v>-21764891.840000004</v>
      </c>
      <c r="G1407" s="5">
        <f t="shared" si="727"/>
        <v>90598.379999995232</v>
      </c>
      <c r="I1407" s="2"/>
    </row>
    <row r="1408" spans="1:9" x14ac:dyDescent="0.25">
      <c r="A1408" s="3"/>
      <c r="B1408" s="3" t="s">
        <v>120</v>
      </c>
      <c r="C1408" s="3"/>
      <c r="D1408" s="5">
        <f>D1468</f>
        <v>-63062</v>
      </c>
      <c r="E1408" s="5">
        <f>E1468+E1449</f>
        <v>-49162.32</v>
      </c>
      <c r="F1408" s="5">
        <f>F1468+F1449</f>
        <v>-49162.250000000007</v>
      </c>
      <c r="G1408" s="5">
        <f t="shared" si="727"/>
        <v>6.9999999992433004E-2</v>
      </c>
      <c r="I1408" s="2"/>
    </row>
    <row r="1409" spans="1:9" x14ac:dyDescent="0.25">
      <c r="A1409" s="3"/>
      <c r="B1409" s="3" t="s">
        <v>121</v>
      </c>
      <c r="C1409" s="3"/>
      <c r="D1409" s="5">
        <f>D1425+D1453</f>
        <v>-174901</v>
      </c>
      <c r="E1409" s="5">
        <f>E1425+E1453</f>
        <v>-174901</v>
      </c>
      <c r="F1409" s="5">
        <f>F1425+F1453+F1487</f>
        <v>-140448.69999999998</v>
      </c>
      <c r="G1409" s="5">
        <f t="shared" si="727"/>
        <v>34452.300000000017</v>
      </c>
      <c r="I1409" s="2"/>
    </row>
    <row r="1410" spans="1:9" x14ac:dyDescent="0.25">
      <c r="A1410" s="41"/>
      <c r="B1410" s="41" t="s">
        <v>87</v>
      </c>
      <c r="C1410" s="41"/>
      <c r="D1410" s="42">
        <f>SUM(D1412:D1414)</f>
        <v>-357353</v>
      </c>
      <c r="E1410" s="42">
        <f>SUM(E1411:E1414)</f>
        <v>-666019.04999999993</v>
      </c>
      <c r="F1410" s="42">
        <f>SUM(F1412:F1414)</f>
        <v>-400606.9</v>
      </c>
      <c r="G1410" s="42">
        <f>F1410-E1410</f>
        <v>265412.14999999991</v>
      </c>
      <c r="I1410" s="2"/>
    </row>
    <row r="1411" spans="1:9" x14ac:dyDescent="0.25">
      <c r="A1411" s="41"/>
      <c r="B1411" s="41"/>
      <c r="C1411" s="3" t="s">
        <v>193</v>
      </c>
      <c r="D1411" s="5">
        <v>0</v>
      </c>
      <c r="E1411" s="5">
        <f>E1422</f>
        <v>-133777.72</v>
      </c>
      <c r="F1411" s="5">
        <v>0</v>
      </c>
      <c r="G1411" s="5">
        <f t="shared" ref="G1411" si="738">F1411-E1411</f>
        <v>133777.72</v>
      </c>
      <c r="I1411" s="2"/>
    </row>
    <row r="1412" spans="1:9" x14ac:dyDescent="0.25">
      <c r="A1412" s="3"/>
      <c r="B1412" s="3"/>
      <c r="C1412" s="3" t="s">
        <v>52</v>
      </c>
      <c r="D1412" s="5">
        <f>D1416</f>
        <v>-109620</v>
      </c>
      <c r="E1412" s="5">
        <f t="shared" ref="E1412" si="739">E1416</f>
        <v>-263122.46999999997</v>
      </c>
      <c r="F1412" s="5">
        <f>F1416+F1423</f>
        <v>-315189.25</v>
      </c>
      <c r="G1412" s="5">
        <f t="shared" ref="G1412:G1414" si="740">F1412-E1412</f>
        <v>-52066.780000000028</v>
      </c>
      <c r="I1412" s="2"/>
    </row>
    <row r="1413" spans="1:9" x14ac:dyDescent="0.25">
      <c r="A1413" s="3"/>
      <c r="B1413" s="3"/>
      <c r="C1413" s="3" t="s">
        <v>53</v>
      </c>
      <c r="D1413" s="5">
        <f>D1417</f>
        <v>-226851</v>
      </c>
      <c r="E1413" s="5">
        <f t="shared" ref="E1413" si="741">E1417</f>
        <v>-248236.86</v>
      </c>
      <c r="F1413" s="5">
        <f>F1417+F1424</f>
        <v>-59315.5</v>
      </c>
      <c r="G1413" s="5">
        <f t="shared" si="740"/>
        <v>188921.36</v>
      </c>
      <c r="I1413" s="2"/>
    </row>
    <row r="1414" spans="1:9" x14ac:dyDescent="0.25">
      <c r="A1414" s="3"/>
      <c r="B1414" s="3"/>
      <c r="C1414" s="3" t="s">
        <v>114</v>
      </c>
      <c r="D1414" s="5">
        <f>D1425</f>
        <v>-20882</v>
      </c>
      <c r="E1414" s="5">
        <f t="shared" ref="E1414" si="742">E1425</f>
        <v>-20882</v>
      </c>
      <c r="F1414" s="5">
        <f>F1425+F1418+F1420</f>
        <v>-26102.15</v>
      </c>
      <c r="G1414" s="5">
        <f t="shared" si="740"/>
        <v>-5220.1500000000015</v>
      </c>
      <c r="I1414" s="2"/>
    </row>
    <row r="1415" spans="1:9" x14ac:dyDescent="0.25">
      <c r="A1415" s="41"/>
      <c r="B1415" s="41"/>
      <c r="C1415" s="41" t="s">
        <v>117</v>
      </c>
      <c r="D1415" s="42">
        <f>SUM(D1416:D1417)</f>
        <v>-336471</v>
      </c>
      <c r="E1415" s="42">
        <f>SUM(E1416:E1417)</f>
        <v>-511359.32999999996</v>
      </c>
      <c r="F1415" s="42">
        <f>SUM(F1416:F1418)</f>
        <v>-274791.24000000005</v>
      </c>
      <c r="G1415" s="42">
        <f>F1415-E1415</f>
        <v>236568.08999999991</v>
      </c>
      <c r="I1415" s="2"/>
    </row>
    <row r="1416" spans="1:9" x14ac:dyDescent="0.25">
      <c r="A1416" s="3"/>
      <c r="B1416" s="3"/>
      <c r="C1416" s="3" t="s">
        <v>52</v>
      </c>
      <c r="D1416" s="5">
        <v>-109620</v>
      </c>
      <c r="E1416" s="5">
        <v>-263122.46999999997</v>
      </c>
      <c r="F1416" s="5">
        <v>-217687.41</v>
      </c>
      <c r="G1416" s="5">
        <f t="shared" ref="G1416:G1418" si="743">F1416-E1416</f>
        <v>45435.059999999969</v>
      </c>
      <c r="I1416" s="2"/>
    </row>
    <row r="1417" spans="1:9" x14ac:dyDescent="0.25">
      <c r="A1417" s="3"/>
      <c r="B1417" s="3"/>
      <c r="C1417" s="3" t="s">
        <v>53</v>
      </c>
      <c r="D1417" s="5">
        <v>-226851</v>
      </c>
      <c r="E1417" s="5">
        <f>-245800.36-2436.5</f>
        <v>-248236.86</v>
      </c>
      <c r="F1417" s="5">
        <v>-57081.75</v>
      </c>
      <c r="G1417" s="5">
        <f t="shared" si="743"/>
        <v>191155.11</v>
      </c>
      <c r="I1417" s="2"/>
    </row>
    <row r="1418" spans="1:9" x14ac:dyDescent="0.25">
      <c r="A1418" s="3"/>
      <c r="B1418" s="3"/>
      <c r="C1418" s="3" t="s">
        <v>54</v>
      </c>
      <c r="D1418" s="42">
        <v>0</v>
      </c>
      <c r="E1418" s="5">
        <v>0</v>
      </c>
      <c r="F1418" s="5">
        <v>-22.08</v>
      </c>
      <c r="G1418" s="5">
        <f t="shared" si="743"/>
        <v>-22.08</v>
      </c>
      <c r="I1418" s="2"/>
    </row>
    <row r="1419" spans="1:9" x14ac:dyDescent="0.25">
      <c r="A1419" s="3"/>
      <c r="B1419" s="3"/>
      <c r="C1419" s="41" t="s">
        <v>118</v>
      </c>
      <c r="D1419" s="2">
        <v>0</v>
      </c>
      <c r="E1419" s="42">
        <v>0</v>
      </c>
      <c r="F1419" s="42">
        <f>F1420</f>
        <v>-16.260000000000002</v>
      </c>
      <c r="G1419" s="42">
        <f>F1419-E1419</f>
        <v>-16.260000000000002</v>
      </c>
      <c r="I1419" s="2"/>
    </row>
    <row r="1420" spans="1:9" x14ac:dyDescent="0.25">
      <c r="A1420" s="3"/>
      <c r="B1420" s="3"/>
      <c r="C1420" s="3" t="s">
        <v>114</v>
      </c>
      <c r="D1420" s="5">
        <v>0</v>
      </c>
      <c r="E1420" s="5">
        <v>0</v>
      </c>
      <c r="F1420" s="5">
        <v>-16.260000000000002</v>
      </c>
      <c r="G1420" s="5">
        <f t="shared" ref="G1420" si="744">F1420-E1420</f>
        <v>-16.260000000000002</v>
      </c>
      <c r="I1420" s="2"/>
    </row>
    <row r="1421" spans="1:9" x14ac:dyDescent="0.25">
      <c r="A1421" s="3"/>
      <c r="B1421" s="3"/>
      <c r="C1421" s="41" t="s">
        <v>119</v>
      </c>
      <c r="D1421" s="90">
        <v>0</v>
      </c>
      <c r="E1421" s="42">
        <f>E1422</f>
        <v>-133777.72</v>
      </c>
      <c r="F1421" s="42">
        <f t="shared" ref="F1421" si="745">SUM(F1423:F1424)</f>
        <v>-99735.59</v>
      </c>
      <c r="G1421" s="42">
        <f>F1421-E1421</f>
        <v>34042.130000000005</v>
      </c>
      <c r="I1421" s="2"/>
    </row>
    <row r="1422" spans="1:9" x14ac:dyDescent="0.25">
      <c r="A1422" s="3"/>
      <c r="B1422" s="3"/>
      <c r="C1422" s="3" t="s">
        <v>193</v>
      </c>
      <c r="D1422" s="91">
        <v>0</v>
      </c>
      <c r="E1422" s="5">
        <v>-133777.72</v>
      </c>
      <c r="F1422" s="5">
        <v>0</v>
      </c>
      <c r="G1422" s="5">
        <f t="shared" ref="G1422:G1424" si="746">F1422-E1422</f>
        <v>133777.72</v>
      </c>
      <c r="I1422" s="2"/>
    </row>
    <row r="1423" spans="1:9" x14ac:dyDescent="0.25">
      <c r="A1423" s="3"/>
      <c r="B1423" s="3"/>
      <c r="C1423" s="3" t="s">
        <v>52</v>
      </c>
      <c r="D1423" s="91">
        <v>0</v>
      </c>
      <c r="E1423" s="5">
        <v>0</v>
      </c>
      <c r="F1423" s="5">
        <v>-97501.84</v>
      </c>
      <c r="G1423" s="5">
        <f t="shared" si="746"/>
        <v>-97501.84</v>
      </c>
      <c r="I1423" s="2"/>
    </row>
    <row r="1424" spans="1:9" x14ac:dyDescent="0.25">
      <c r="A1424" s="3"/>
      <c r="B1424" s="3"/>
      <c r="C1424" s="3" t="s">
        <v>53</v>
      </c>
      <c r="D1424" s="91">
        <v>0</v>
      </c>
      <c r="E1424" s="5">
        <v>0</v>
      </c>
      <c r="F1424" s="5">
        <v>-2233.75</v>
      </c>
      <c r="G1424" s="5">
        <f t="shared" si="746"/>
        <v>-2233.75</v>
      </c>
      <c r="I1424" s="2"/>
    </row>
    <row r="1425" spans="1:9" s="39" customFormat="1" x14ac:dyDescent="0.25">
      <c r="A1425" s="41"/>
      <c r="B1425" s="41"/>
      <c r="C1425" s="41" t="s">
        <v>121</v>
      </c>
      <c r="D1425" s="42">
        <v>-20882</v>
      </c>
      <c r="E1425" s="42">
        <f>D1425</f>
        <v>-20882</v>
      </c>
      <c r="F1425" s="5">
        <v>-26063.81</v>
      </c>
      <c r="G1425" s="42">
        <f>F1425-E1425</f>
        <v>-5181.8100000000013</v>
      </c>
      <c r="H1425" s="25"/>
      <c r="I1425" s="2"/>
    </row>
    <row r="1426" spans="1:9" x14ac:dyDescent="0.25">
      <c r="A1426" s="41"/>
      <c r="B1426" s="41" t="s">
        <v>129</v>
      </c>
      <c r="C1426" s="41"/>
      <c r="D1426" s="42">
        <f>SUM(D1428:D1432)</f>
        <v>-26137912</v>
      </c>
      <c r="E1426" s="42">
        <f>SUM(E1427:E1432)</f>
        <v>-25828724.930000003</v>
      </c>
      <c r="F1426" s="42">
        <f>SUM(F1428:F1433)</f>
        <v>-24458945.719999999</v>
      </c>
      <c r="G1426" s="42">
        <f>F1426-E1426</f>
        <v>1369779.2100000046</v>
      </c>
      <c r="I1426" s="2"/>
    </row>
    <row r="1427" spans="1:9" x14ac:dyDescent="0.25">
      <c r="A1427" s="41"/>
      <c r="B1427" s="41"/>
      <c r="C1427" s="3" t="s">
        <v>193</v>
      </c>
      <c r="D1427" s="5">
        <v>0</v>
      </c>
      <c r="E1427" s="5">
        <f>E1443+E1450</f>
        <v>-21704423.560000002</v>
      </c>
      <c r="F1427" s="5">
        <v>0</v>
      </c>
      <c r="G1427" s="5">
        <f t="shared" ref="G1427" si="747">F1427-E1427</f>
        <v>21704423.560000002</v>
      </c>
      <c r="I1427" s="2"/>
    </row>
    <row r="1428" spans="1:9" x14ac:dyDescent="0.25">
      <c r="A1428" s="3"/>
      <c r="B1428" s="3"/>
      <c r="C1428" s="3" t="s">
        <v>52</v>
      </c>
      <c r="D1428" s="5">
        <f>D1435+D1444</f>
        <v>-499498</v>
      </c>
      <c r="E1428" s="5">
        <f>E1435+E1444</f>
        <v>-454510.17</v>
      </c>
      <c r="F1428" s="5">
        <f>F1435+F1444+F1451</f>
        <v>-580244.9</v>
      </c>
      <c r="G1428" s="5">
        <f t="shared" ref="G1428:G1433" si="748">F1428-E1428</f>
        <v>-125734.73000000004</v>
      </c>
      <c r="I1428" s="2"/>
    </row>
    <row r="1429" spans="1:9" x14ac:dyDescent="0.25">
      <c r="A1429" s="3"/>
      <c r="B1429" s="3"/>
      <c r="C1429" s="3" t="s">
        <v>53</v>
      </c>
      <c r="D1429" s="5">
        <f>D1436+D1445</f>
        <v>-103562</v>
      </c>
      <c r="E1429" s="5">
        <f>E1436+E1445</f>
        <v>-103081.22</v>
      </c>
      <c r="F1429" s="5">
        <f>F1436+F1445+F1452</f>
        <v>-137724.73000000001</v>
      </c>
      <c r="G1429" s="5">
        <f t="shared" si="748"/>
        <v>-34643.510000000009</v>
      </c>
      <c r="I1429" s="2"/>
    </row>
    <row r="1430" spans="1:9" x14ac:dyDescent="0.25">
      <c r="A1430" s="3"/>
      <c r="B1430" s="3"/>
      <c r="C1430" s="3" t="s">
        <v>122</v>
      </c>
      <c r="D1430" s="5">
        <f>D1446</f>
        <v>0</v>
      </c>
      <c r="E1430" s="5">
        <f t="shared" ref="E1430" si="749">E1446</f>
        <v>0</v>
      </c>
      <c r="F1430" s="5">
        <f>F1446</f>
        <v>-500239.64</v>
      </c>
      <c r="G1430" s="5">
        <f t="shared" si="748"/>
        <v>-500239.64</v>
      </c>
      <c r="I1430" s="2"/>
    </row>
    <row r="1431" spans="1:9" x14ac:dyDescent="0.25">
      <c r="A1431" s="3"/>
      <c r="B1431" s="3"/>
      <c r="C1431" s="3" t="s">
        <v>113</v>
      </c>
      <c r="D1431" s="5">
        <f>D1437+D1447</f>
        <v>-25380833</v>
      </c>
      <c r="E1431" s="5">
        <f>E1437+E1447</f>
        <v>-3412690.98</v>
      </c>
      <c r="F1431" s="5">
        <f>F1437+F1447</f>
        <v>-23124101.210000001</v>
      </c>
      <c r="G1431" s="5">
        <f t="shared" si="748"/>
        <v>-19711410.23</v>
      </c>
      <c r="I1431" s="2"/>
    </row>
    <row r="1432" spans="1:9" x14ac:dyDescent="0.25">
      <c r="A1432" s="3"/>
      <c r="B1432" s="3"/>
      <c r="C1432" s="3" t="s">
        <v>114</v>
      </c>
      <c r="D1432" s="5">
        <f>D1453</f>
        <v>-154019</v>
      </c>
      <c r="E1432" s="5">
        <f t="shared" ref="E1432" si="750">E1453</f>
        <v>-154019</v>
      </c>
      <c r="F1432" s="5">
        <f>F1453+F1438+F1440+F1448</f>
        <v>-107849.95</v>
      </c>
      <c r="G1432" s="5">
        <f t="shared" si="748"/>
        <v>46169.05</v>
      </c>
      <c r="I1432" s="2"/>
    </row>
    <row r="1433" spans="1:9" x14ac:dyDescent="0.25">
      <c r="A1433" s="3"/>
      <c r="B1433" s="3"/>
      <c r="C1433" s="3" t="s">
        <v>30</v>
      </c>
      <c r="D1433" s="5">
        <v>0</v>
      </c>
      <c r="E1433" s="5">
        <v>0</v>
      </c>
      <c r="F1433" s="5">
        <f>F1441</f>
        <v>-8785.2900000000009</v>
      </c>
      <c r="G1433" s="5">
        <f t="shared" si="748"/>
        <v>-8785.2900000000009</v>
      </c>
      <c r="I1433" s="2"/>
    </row>
    <row r="1434" spans="1:9" x14ac:dyDescent="0.25">
      <c r="A1434" s="41"/>
      <c r="B1434" s="41"/>
      <c r="C1434" s="41" t="s">
        <v>117</v>
      </c>
      <c r="D1434" s="42">
        <f>SUM(D1435:D1437)</f>
        <v>-2668520</v>
      </c>
      <c r="E1434" s="42">
        <f>SUM(E1435:E1437)</f>
        <v>-3970282.37</v>
      </c>
      <c r="F1434" s="42">
        <f>SUM(F1435:F1438)</f>
        <v>-2697664.42</v>
      </c>
      <c r="G1434" s="42">
        <f>F1434-E1434</f>
        <v>1272617.9500000002</v>
      </c>
      <c r="I1434" s="2"/>
    </row>
    <row r="1435" spans="1:9" x14ac:dyDescent="0.25">
      <c r="A1435" s="3"/>
      <c r="B1435" s="3"/>
      <c r="C1435" s="3" t="s">
        <v>52</v>
      </c>
      <c r="D1435" s="5">
        <v>-317987</v>
      </c>
      <c r="E1435" s="5">
        <v>-454510.17</v>
      </c>
      <c r="F1435" s="5">
        <v>-378636.02</v>
      </c>
      <c r="G1435" s="5">
        <f t="shared" ref="G1435:G1438" si="751">F1435-E1435</f>
        <v>75874.149999999965</v>
      </c>
      <c r="I1435" s="2"/>
    </row>
    <row r="1436" spans="1:9" x14ac:dyDescent="0.25">
      <c r="A1436" s="3"/>
      <c r="B1436" s="3"/>
      <c r="C1436" s="3" t="s">
        <v>53</v>
      </c>
      <c r="D1436" s="5">
        <v>-69700</v>
      </c>
      <c r="E1436" s="5">
        <f>-102967.86-113.36</f>
        <v>-103081.22</v>
      </c>
      <c r="F1436" s="5">
        <v>-56747.59</v>
      </c>
      <c r="G1436" s="5">
        <f t="shared" si="751"/>
        <v>46333.630000000005</v>
      </c>
      <c r="I1436" s="2"/>
    </row>
    <row r="1437" spans="1:9" x14ac:dyDescent="0.25">
      <c r="A1437" s="3"/>
      <c r="B1437" s="3"/>
      <c r="C1437" s="3" t="s">
        <v>113</v>
      </c>
      <c r="D1437" s="5">
        <v>-2280833</v>
      </c>
      <c r="E1437" s="5">
        <v>-3412690.98</v>
      </c>
      <c r="F1437" s="5">
        <v>-2261856.59</v>
      </c>
      <c r="G1437" s="5">
        <f t="shared" si="751"/>
        <v>1150834.3900000001</v>
      </c>
      <c r="I1437" s="2"/>
    </row>
    <row r="1438" spans="1:9" x14ac:dyDescent="0.25">
      <c r="A1438" s="3"/>
      <c r="B1438" s="3"/>
      <c r="C1438" s="3" t="s">
        <v>54</v>
      </c>
      <c r="D1438" s="5">
        <v>0</v>
      </c>
      <c r="E1438" s="5">
        <v>0</v>
      </c>
      <c r="F1438" s="5">
        <v>-424.22</v>
      </c>
      <c r="G1438" s="5">
        <f t="shared" si="751"/>
        <v>-424.22</v>
      </c>
      <c r="I1438" s="2"/>
    </row>
    <row r="1439" spans="1:9" x14ac:dyDescent="0.25">
      <c r="A1439" s="3"/>
      <c r="B1439" s="3"/>
      <c r="C1439" s="41" t="s">
        <v>118</v>
      </c>
      <c r="D1439" s="42">
        <f>SUM(D1440:D1441)</f>
        <v>0</v>
      </c>
      <c r="E1439" s="42">
        <f t="shared" ref="E1439:F1439" si="752">SUM(E1440:E1441)</f>
        <v>0</v>
      </c>
      <c r="F1439" s="42">
        <f t="shared" si="752"/>
        <v>-12351.86</v>
      </c>
      <c r="G1439" s="42">
        <f>F1439-E1439</f>
        <v>-12351.86</v>
      </c>
      <c r="I1439" s="2"/>
    </row>
    <row r="1440" spans="1:9" x14ac:dyDescent="0.25">
      <c r="A1440" s="3"/>
      <c r="B1440" s="3"/>
      <c r="C1440" s="3" t="s">
        <v>114</v>
      </c>
      <c r="D1440" s="5">
        <v>0</v>
      </c>
      <c r="E1440" s="5">
        <v>0</v>
      </c>
      <c r="F1440" s="5">
        <v>-3566.57</v>
      </c>
      <c r="G1440" s="5">
        <f t="shared" ref="G1440:G1441" si="753">F1440-E1440</f>
        <v>-3566.57</v>
      </c>
      <c r="I1440" s="2"/>
    </row>
    <row r="1441" spans="1:9" x14ac:dyDescent="0.25">
      <c r="A1441" s="3"/>
      <c r="B1441" s="3"/>
      <c r="C1441" s="3" t="s">
        <v>30</v>
      </c>
      <c r="D1441" s="5">
        <v>0</v>
      </c>
      <c r="E1441" s="5">
        <v>0</v>
      </c>
      <c r="F1441" s="5">
        <v>-8785.2900000000009</v>
      </c>
      <c r="G1441" s="5">
        <f t="shared" si="753"/>
        <v>-8785.2900000000009</v>
      </c>
      <c r="I1441" s="2"/>
    </row>
    <row r="1442" spans="1:9" x14ac:dyDescent="0.25">
      <c r="A1442" s="41"/>
      <c r="B1442" s="41"/>
      <c r="C1442" s="41" t="s">
        <v>119</v>
      </c>
      <c r="D1442" s="42">
        <f>SUM(D1444:D1447)</f>
        <v>-23315373</v>
      </c>
      <c r="E1442" s="42">
        <f>E1443</f>
        <v>-21704161.260000002</v>
      </c>
      <c r="F1442" s="42">
        <f>SUM(F1444:F1448)</f>
        <v>-21649677.100000001</v>
      </c>
      <c r="G1442" s="42">
        <f>F1442-E1442</f>
        <v>54484.160000000149</v>
      </c>
      <c r="I1442" s="2"/>
    </row>
    <row r="1443" spans="1:9" x14ac:dyDescent="0.25">
      <c r="A1443" s="41"/>
      <c r="B1443" s="41"/>
      <c r="C1443" s="3" t="s">
        <v>193</v>
      </c>
      <c r="D1443" s="5">
        <v>0</v>
      </c>
      <c r="E1443" s="5">
        <v>-21704161.260000002</v>
      </c>
      <c r="F1443" s="5">
        <v>0</v>
      </c>
      <c r="G1443" s="5">
        <f t="shared" ref="G1443" si="754">F1443-E1443</f>
        <v>21704161.260000002</v>
      </c>
      <c r="I1443" s="2"/>
    </row>
    <row r="1444" spans="1:9" x14ac:dyDescent="0.25">
      <c r="A1444" s="3"/>
      <c r="B1444" s="3"/>
      <c r="C1444" s="3" t="s">
        <v>52</v>
      </c>
      <c r="D1444" s="5">
        <v>-181511</v>
      </c>
      <c r="E1444" s="5">
        <v>0</v>
      </c>
      <c r="F1444" s="5">
        <v>-201474.75</v>
      </c>
      <c r="G1444" s="5">
        <f t="shared" ref="G1444:G1446" si="755">F1444-E1444</f>
        <v>-201474.75</v>
      </c>
      <c r="I1444" s="2"/>
    </row>
    <row r="1445" spans="1:9" x14ac:dyDescent="0.25">
      <c r="A1445" s="41"/>
      <c r="B1445" s="41"/>
      <c r="C1445" s="3" t="s">
        <v>53</v>
      </c>
      <c r="D1445" s="5">
        <v>-33862</v>
      </c>
      <c r="E1445" s="5">
        <v>0</v>
      </c>
      <c r="F1445" s="5">
        <v>-80848.97</v>
      </c>
      <c r="G1445" s="5">
        <f t="shared" si="755"/>
        <v>-80848.97</v>
      </c>
      <c r="I1445" s="2"/>
    </row>
    <row r="1446" spans="1:9" x14ac:dyDescent="0.25">
      <c r="A1446" s="41"/>
      <c r="B1446" s="41"/>
      <c r="C1446" s="3" t="s">
        <v>122</v>
      </c>
      <c r="D1446" s="5">
        <v>0</v>
      </c>
      <c r="E1446" s="5">
        <v>0</v>
      </c>
      <c r="F1446" s="5">
        <v>-500239.64</v>
      </c>
      <c r="G1446" s="5">
        <f t="shared" si="755"/>
        <v>-500239.64</v>
      </c>
      <c r="I1446" s="2"/>
    </row>
    <row r="1447" spans="1:9" x14ac:dyDescent="0.25">
      <c r="A1447" s="41"/>
      <c r="B1447" s="41"/>
      <c r="C1447" s="3" t="s">
        <v>113</v>
      </c>
      <c r="D1447" s="5">
        <f>-1609256-21490744</f>
        <v>-23100000</v>
      </c>
      <c r="E1447" s="5">
        <v>0</v>
      </c>
      <c r="F1447" s="5">
        <v>-20862244.620000001</v>
      </c>
      <c r="G1447" s="5">
        <f t="shared" ref="G1447:G1448" si="756">F1447-E1447</f>
        <v>-20862244.620000001</v>
      </c>
      <c r="I1447" s="2"/>
    </row>
    <row r="1448" spans="1:9" x14ac:dyDescent="0.25">
      <c r="A1448" s="41"/>
      <c r="B1448" s="41"/>
      <c r="C1448" s="3" t="s">
        <v>54</v>
      </c>
      <c r="D1448" s="5">
        <v>0</v>
      </c>
      <c r="E1448" s="5">
        <v>0</v>
      </c>
      <c r="F1448" s="5">
        <v>-4869.12</v>
      </c>
      <c r="G1448" s="5">
        <f t="shared" si="756"/>
        <v>-4869.12</v>
      </c>
      <c r="I1448" s="2"/>
    </row>
    <row r="1449" spans="1:9" x14ac:dyDescent="0.25">
      <c r="A1449" s="41"/>
      <c r="B1449" s="41"/>
      <c r="C1449" s="41" t="s">
        <v>120</v>
      </c>
      <c r="D1449" s="90">
        <v>0</v>
      </c>
      <c r="E1449" s="42">
        <f>E1450</f>
        <v>-262.3</v>
      </c>
      <c r="F1449" s="42">
        <f>SUM(F1451:F1452)</f>
        <v>-262.29999999999995</v>
      </c>
      <c r="G1449" s="42">
        <f>F1449-E1449</f>
        <v>0</v>
      </c>
      <c r="I1449" s="2"/>
    </row>
    <row r="1450" spans="1:9" x14ac:dyDescent="0.25">
      <c r="A1450" s="41"/>
      <c r="B1450" s="41"/>
      <c r="C1450" s="3" t="s">
        <v>193</v>
      </c>
      <c r="D1450" s="91">
        <v>0</v>
      </c>
      <c r="E1450" s="5">
        <v>-262.3</v>
      </c>
      <c r="F1450" s="5">
        <v>0</v>
      </c>
      <c r="G1450" s="5">
        <f t="shared" ref="G1450:G1452" si="757">F1450-E1450</f>
        <v>262.3</v>
      </c>
      <c r="I1450" s="2"/>
    </row>
    <row r="1451" spans="1:9" x14ac:dyDescent="0.25">
      <c r="A1451" s="41"/>
      <c r="B1451" s="41"/>
      <c r="C1451" s="3" t="s">
        <v>52</v>
      </c>
      <c r="D1451" s="91">
        <v>0</v>
      </c>
      <c r="E1451" s="5">
        <v>0</v>
      </c>
      <c r="F1451" s="5">
        <v>-134.13</v>
      </c>
      <c r="G1451" s="5">
        <f t="shared" si="757"/>
        <v>-134.13</v>
      </c>
      <c r="I1451" s="2"/>
    </row>
    <row r="1452" spans="1:9" x14ac:dyDescent="0.25">
      <c r="A1452" s="41"/>
      <c r="B1452" s="41"/>
      <c r="C1452" s="3" t="s">
        <v>53</v>
      </c>
      <c r="D1452" s="91">
        <v>0</v>
      </c>
      <c r="E1452" s="5">
        <v>0</v>
      </c>
      <c r="F1452" s="5">
        <v>-128.16999999999999</v>
      </c>
      <c r="G1452" s="5">
        <f t="shared" si="757"/>
        <v>-128.16999999999999</v>
      </c>
      <c r="I1452" s="2"/>
    </row>
    <row r="1453" spans="1:9" s="39" customFormat="1" x14ac:dyDescent="0.25">
      <c r="A1453" s="41"/>
      <c r="B1453" s="41"/>
      <c r="C1453" s="41" t="s">
        <v>121</v>
      </c>
      <c r="D1453" s="42">
        <v>-154019</v>
      </c>
      <c r="E1453" s="42">
        <f>D1453</f>
        <v>-154019</v>
      </c>
      <c r="F1453" s="5">
        <v>-98990.04</v>
      </c>
      <c r="G1453" s="42">
        <f>F1453-E1453</f>
        <v>55028.960000000006</v>
      </c>
      <c r="H1453" s="25"/>
      <c r="I1453" s="2"/>
    </row>
    <row r="1454" spans="1:9" x14ac:dyDescent="0.25">
      <c r="A1454" s="41"/>
      <c r="B1454" s="41" t="s">
        <v>143</v>
      </c>
      <c r="C1454" s="41"/>
      <c r="D1454" s="42">
        <f>SUM(D1456:D1457)</f>
        <v>-1446030</v>
      </c>
      <c r="E1454" s="42">
        <f>SUM(E1455:E1457)</f>
        <v>-1434598.13</v>
      </c>
      <c r="F1454" s="42">
        <f>SUM(F1456:F1458)</f>
        <v>-1413640.1600000001</v>
      </c>
      <c r="G1454" s="42">
        <f>F1454-E1454</f>
        <v>20957.969999999739</v>
      </c>
      <c r="I1454" s="2"/>
    </row>
    <row r="1455" spans="1:9" x14ac:dyDescent="0.25">
      <c r="A1455" s="41"/>
      <c r="B1455" s="41"/>
      <c r="C1455" s="3" t="s">
        <v>193</v>
      </c>
      <c r="D1455" s="5">
        <v>0</v>
      </c>
      <c r="E1455" s="5">
        <f>E1465+E1469</f>
        <v>-65280.17</v>
      </c>
      <c r="F1455" s="5">
        <v>0</v>
      </c>
      <c r="G1455" s="5">
        <f t="shared" ref="G1455" si="758">F1455-E1455</f>
        <v>65280.17</v>
      </c>
      <c r="I1455" s="2"/>
    </row>
    <row r="1456" spans="1:9" x14ac:dyDescent="0.25">
      <c r="A1456" s="3"/>
      <c r="B1456" s="3"/>
      <c r="C1456" s="3" t="s">
        <v>52</v>
      </c>
      <c r="D1456" s="5">
        <f>D1460+D1466+D1470</f>
        <v>-1127108</v>
      </c>
      <c r="E1456" s="5">
        <f>E1460+E1466+E1470</f>
        <v>-1088455.6200000001</v>
      </c>
      <c r="F1456" s="5">
        <f>F1460+F1466+F1470</f>
        <v>-1162913.3800000001</v>
      </c>
      <c r="G1456" s="5">
        <f t="shared" ref="G1456:G1458" si="759">F1456-E1456</f>
        <v>-74457.760000000009</v>
      </c>
      <c r="I1456" s="2"/>
    </row>
    <row r="1457" spans="1:9" x14ac:dyDescent="0.25">
      <c r="A1457" s="3"/>
      <c r="B1457" s="3"/>
      <c r="C1457" s="3" t="s">
        <v>53</v>
      </c>
      <c r="D1457" s="5">
        <f>D1461+D1471</f>
        <v>-318922</v>
      </c>
      <c r="E1457" s="5">
        <f>E1461+E1471</f>
        <v>-280862.33999999997</v>
      </c>
      <c r="F1457" s="5">
        <f>F1461+F1471+F1467</f>
        <v>-250978.88</v>
      </c>
      <c r="G1457" s="5">
        <f t="shared" si="759"/>
        <v>29883.459999999963</v>
      </c>
      <c r="I1457" s="2"/>
    </row>
    <row r="1458" spans="1:9" x14ac:dyDescent="0.25">
      <c r="A1458" s="3"/>
      <c r="B1458" s="3"/>
      <c r="C1458" s="3" t="s">
        <v>114</v>
      </c>
      <c r="D1458" s="5">
        <v>0</v>
      </c>
      <c r="E1458" s="5">
        <v>0</v>
      </c>
      <c r="F1458" s="5">
        <f>F1463+F1472</f>
        <v>252.10000000000036</v>
      </c>
      <c r="G1458" s="5">
        <f t="shared" si="759"/>
        <v>252.10000000000036</v>
      </c>
      <c r="I1458" s="2"/>
    </row>
    <row r="1459" spans="1:9" x14ac:dyDescent="0.25">
      <c r="A1459" s="41"/>
      <c r="B1459" s="41"/>
      <c r="C1459" s="41" t="s">
        <v>117</v>
      </c>
      <c r="D1459" s="42">
        <f>SUM(D1460:D1461)</f>
        <v>-1376469</v>
      </c>
      <c r="E1459" s="42">
        <f>SUM(E1460:E1461)</f>
        <v>-1369317.96</v>
      </c>
      <c r="F1459" s="42">
        <f>SUM(F1460:F1461)</f>
        <v>-1352498.44</v>
      </c>
      <c r="G1459" s="42">
        <f>F1459-E1459</f>
        <v>16819.520000000019</v>
      </c>
      <c r="I1459" s="2"/>
    </row>
    <row r="1460" spans="1:9" x14ac:dyDescent="0.25">
      <c r="A1460" s="3"/>
      <c r="B1460" s="3"/>
      <c r="C1460" s="3" t="s">
        <v>52</v>
      </c>
      <c r="D1460" s="5">
        <v>-1097298</v>
      </c>
      <c r="E1460" s="5">
        <v>-1088455.6200000001</v>
      </c>
      <c r="F1460" s="5">
        <v>-1130850.49</v>
      </c>
      <c r="G1460" s="5">
        <f t="shared" ref="G1460:G1461" si="760">F1460-E1460</f>
        <v>-42394.869999999879</v>
      </c>
      <c r="I1460" s="2"/>
    </row>
    <row r="1461" spans="1:9" x14ac:dyDescent="0.25">
      <c r="A1461" s="3"/>
      <c r="B1461" s="3"/>
      <c r="C1461" s="3" t="s">
        <v>53</v>
      </c>
      <c r="D1461" s="5">
        <v>-279171</v>
      </c>
      <c r="E1461" s="5">
        <f>-278691.36-2170.98</f>
        <v>-280862.33999999997</v>
      </c>
      <c r="F1461" s="5">
        <v>-221647.95</v>
      </c>
      <c r="G1461" s="5">
        <f t="shared" si="760"/>
        <v>59214.389999999956</v>
      </c>
      <c r="I1461" s="2"/>
    </row>
    <row r="1462" spans="1:9" x14ac:dyDescent="0.25">
      <c r="A1462" s="3"/>
      <c r="B1462" s="3"/>
      <c r="C1462" s="41" t="s">
        <v>118</v>
      </c>
      <c r="D1462" s="42">
        <v>0</v>
      </c>
      <c r="E1462" s="42">
        <v>0</v>
      </c>
      <c r="F1462" s="42">
        <f>F1463</f>
        <v>2453.2800000000002</v>
      </c>
      <c r="G1462" s="42">
        <f>F1462-E1462</f>
        <v>2453.2800000000002</v>
      </c>
      <c r="I1462" s="2"/>
    </row>
    <row r="1463" spans="1:9" x14ac:dyDescent="0.25">
      <c r="A1463" s="3"/>
      <c r="B1463" s="3"/>
      <c r="C1463" s="3" t="s">
        <v>114</v>
      </c>
      <c r="D1463" s="5">
        <v>0</v>
      </c>
      <c r="E1463" s="5">
        <v>0</v>
      </c>
      <c r="F1463" s="5">
        <v>2453.2800000000002</v>
      </c>
      <c r="G1463" s="5">
        <f t="shared" ref="G1463" si="761">F1463-E1463</f>
        <v>2453.2800000000002</v>
      </c>
      <c r="I1463" s="2"/>
    </row>
    <row r="1464" spans="1:9" x14ac:dyDescent="0.25">
      <c r="A1464" s="41"/>
      <c r="B1464" s="41"/>
      <c r="C1464" s="41" t="s">
        <v>119</v>
      </c>
      <c r="D1464" s="42">
        <f>SUM(D1466:D1466)</f>
        <v>-6499</v>
      </c>
      <c r="E1464" s="42">
        <f>E1465</f>
        <v>-16380.15</v>
      </c>
      <c r="F1464" s="42">
        <f>SUM(F1466:F1467)</f>
        <v>-14695.05</v>
      </c>
      <c r="G1464" s="42">
        <f>F1464-E1464</f>
        <v>1685.1000000000004</v>
      </c>
      <c r="I1464" s="2"/>
    </row>
    <row r="1465" spans="1:9" x14ac:dyDescent="0.25">
      <c r="A1465" s="41"/>
      <c r="B1465" s="41"/>
      <c r="C1465" s="3" t="s">
        <v>193</v>
      </c>
      <c r="D1465" s="5">
        <v>0</v>
      </c>
      <c r="E1465" s="5">
        <v>-16380.15</v>
      </c>
      <c r="F1465" s="5">
        <v>0</v>
      </c>
      <c r="G1465" s="5">
        <f t="shared" ref="G1465" si="762">F1465-E1465</f>
        <v>16380.15</v>
      </c>
      <c r="I1465" s="2"/>
    </row>
    <row r="1466" spans="1:9" x14ac:dyDescent="0.25">
      <c r="A1466" s="3"/>
      <c r="B1466" s="3"/>
      <c r="C1466" s="3" t="s">
        <v>52</v>
      </c>
      <c r="D1466" s="5">
        <v>-6499</v>
      </c>
      <c r="E1466" s="5">
        <v>0</v>
      </c>
      <c r="F1466" s="5">
        <v>-10243.09</v>
      </c>
      <c r="G1466" s="5">
        <f t="shared" ref="G1466:G1467" si="763">F1466-E1466</f>
        <v>-10243.09</v>
      </c>
      <c r="I1466" s="2"/>
    </row>
    <row r="1467" spans="1:9" x14ac:dyDescent="0.25">
      <c r="A1467" s="3"/>
      <c r="B1467" s="3"/>
      <c r="C1467" s="3" t="s">
        <v>53</v>
      </c>
      <c r="D1467" s="5">
        <v>0</v>
      </c>
      <c r="E1467" s="25">
        <v>0</v>
      </c>
      <c r="F1467" s="5">
        <v>-4451.96</v>
      </c>
      <c r="G1467" s="5">
        <f t="shared" si="763"/>
        <v>-4451.96</v>
      </c>
      <c r="I1467" s="2"/>
    </row>
    <row r="1468" spans="1:9" x14ac:dyDescent="0.25">
      <c r="A1468" s="41"/>
      <c r="B1468" s="41"/>
      <c r="C1468" s="41" t="s">
        <v>120</v>
      </c>
      <c r="D1468" s="42">
        <f>SUM(D1470:D1471)</f>
        <v>-63062</v>
      </c>
      <c r="E1468" s="42">
        <f>E1469</f>
        <v>-48900.02</v>
      </c>
      <c r="F1468" s="42">
        <f>SUM(F1470:F1472)</f>
        <v>-48899.950000000004</v>
      </c>
      <c r="G1468" s="42">
        <f>F1468-E1468</f>
        <v>6.9999999992433004E-2</v>
      </c>
      <c r="I1468" s="2"/>
    </row>
    <row r="1469" spans="1:9" x14ac:dyDescent="0.25">
      <c r="A1469" s="41"/>
      <c r="B1469" s="41"/>
      <c r="C1469" s="3" t="s">
        <v>193</v>
      </c>
      <c r="D1469" s="5">
        <v>0</v>
      </c>
      <c r="E1469" s="5">
        <v>-48900.02</v>
      </c>
      <c r="F1469" s="5">
        <v>0</v>
      </c>
      <c r="G1469" s="5">
        <f t="shared" ref="G1469" si="764">F1469-E1469</f>
        <v>48900.02</v>
      </c>
      <c r="I1469" s="2"/>
    </row>
    <row r="1470" spans="1:9" x14ac:dyDescent="0.25">
      <c r="A1470" s="3"/>
      <c r="B1470" s="3"/>
      <c r="C1470" s="3" t="s">
        <v>52</v>
      </c>
      <c r="D1470" s="5">
        <v>-23311</v>
      </c>
      <c r="E1470" s="5">
        <v>0</v>
      </c>
      <c r="F1470" s="5">
        <v>-21819.8</v>
      </c>
      <c r="G1470" s="5">
        <f t="shared" ref="G1470:G1472" si="765">F1470-E1470</f>
        <v>-21819.8</v>
      </c>
      <c r="I1470" s="2"/>
    </row>
    <row r="1471" spans="1:9" x14ac:dyDescent="0.25">
      <c r="A1471" s="41"/>
      <c r="B1471" s="41"/>
      <c r="C1471" s="3" t="s">
        <v>53</v>
      </c>
      <c r="D1471" s="5">
        <v>-39751</v>
      </c>
      <c r="E1471" s="5">
        <v>0</v>
      </c>
      <c r="F1471" s="5">
        <v>-24878.97</v>
      </c>
      <c r="G1471" s="5">
        <f t="shared" si="765"/>
        <v>-24878.97</v>
      </c>
      <c r="I1471" s="2"/>
    </row>
    <row r="1472" spans="1:9" x14ac:dyDescent="0.25">
      <c r="A1472" s="41"/>
      <c r="B1472" s="41"/>
      <c r="C1472" s="3" t="s">
        <v>54</v>
      </c>
      <c r="D1472" s="5">
        <v>0</v>
      </c>
      <c r="E1472" s="5">
        <v>0</v>
      </c>
      <c r="F1472" s="5">
        <v>-2201.1799999999998</v>
      </c>
      <c r="G1472" s="5">
        <f t="shared" si="765"/>
        <v>-2201.1799999999998</v>
      </c>
      <c r="I1472" s="2"/>
    </row>
    <row r="1473" spans="1:9" x14ac:dyDescent="0.25">
      <c r="A1473" s="41"/>
      <c r="B1473" s="39" t="s">
        <v>195</v>
      </c>
      <c r="C1473" s="41"/>
      <c r="D1473" s="42">
        <f>SUM(D1474:D1477)</f>
        <v>0</v>
      </c>
      <c r="E1473" s="42">
        <f t="shared" ref="E1473:F1473" si="766">SUM(E1474:E1477)</f>
        <v>-30100.22</v>
      </c>
      <c r="F1473" s="42">
        <f t="shared" si="766"/>
        <v>-39859.019999999997</v>
      </c>
      <c r="G1473" s="42">
        <f>F1473-E1473</f>
        <v>-9758.7999999999956</v>
      </c>
      <c r="I1473" s="2"/>
    </row>
    <row r="1474" spans="1:9" x14ac:dyDescent="0.25">
      <c r="A1474" s="41"/>
      <c r="B1474" s="41"/>
      <c r="C1474" s="3" t="s">
        <v>193</v>
      </c>
      <c r="D1474" s="42">
        <v>0</v>
      </c>
      <c r="E1474" s="5">
        <f>E1484</f>
        <v>-1171.0899999999999</v>
      </c>
      <c r="F1474" s="5">
        <v>0</v>
      </c>
      <c r="G1474" s="5">
        <f t="shared" ref="G1474:G1477" si="767">F1474-E1474</f>
        <v>1171.0899999999999</v>
      </c>
      <c r="I1474" s="2"/>
    </row>
    <row r="1475" spans="1:9" x14ac:dyDescent="0.25">
      <c r="A1475" s="41"/>
      <c r="B1475" s="3"/>
      <c r="C1475" s="3" t="s">
        <v>52</v>
      </c>
      <c r="D1475" s="5">
        <f>D1479+D1485</f>
        <v>0</v>
      </c>
      <c r="E1475" s="5">
        <f t="shared" ref="E1475:F1475" si="768">E1479+E1485</f>
        <v>-23333.81</v>
      </c>
      <c r="F1475" s="5">
        <f t="shared" si="768"/>
        <v>-21745.149999999998</v>
      </c>
      <c r="G1475" s="5">
        <f t="shared" si="767"/>
        <v>1588.6600000000035</v>
      </c>
      <c r="I1475" s="2"/>
    </row>
    <row r="1476" spans="1:9" x14ac:dyDescent="0.25">
      <c r="A1476" s="41"/>
      <c r="B1476" s="3"/>
      <c r="C1476" s="3" t="s">
        <v>53</v>
      </c>
      <c r="D1476" s="5">
        <f>D1480+D1486</f>
        <v>0</v>
      </c>
      <c r="E1476" s="5">
        <f t="shared" ref="E1476:F1476" si="769">E1480+E1486</f>
        <v>-5595.32</v>
      </c>
      <c r="F1476" s="5">
        <f t="shared" si="769"/>
        <v>-2719.05</v>
      </c>
      <c r="G1476" s="5">
        <f t="shared" si="767"/>
        <v>2876.2699999999995</v>
      </c>
      <c r="I1476" s="2"/>
    </row>
    <row r="1477" spans="1:9" x14ac:dyDescent="0.25">
      <c r="A1477" s="41"/>
      <c r="B1477" s="3"/>
      <c r="C1477" s="3" t="s">
        <v>114</v>
      </c>
      <c r="D1477" s="5">
        <f>D1487+D1482</f>
        <v>0</v>
      </c>
      <c r="E1477" s="5">
        <f t="shared" ref="E1477:F1477" si="770">E1487+E1482</f>
        <v>0</v>
      </c>
      <c r="F1477" s="5">
        <f t="shared" si="770"/>
        <v>-15394.82</v>
      </c>
      <c r="G1477" s="5">
        <f t="shared" si="767"/>
        <v>-15394.82</v>
      </c>
      <c r="I1477" s="2"/>
    </row>
    <row r="1478" spans="1:9" x14ac:dyDescent="0.25">
      <c r="A1478" s="41"/>
      <c r="B1478" s="41"/>
      <c r="C1478" s="41" t="s">
        <v>117</v>
      </c>
      <c r="D1478" s="42">
        <f>SUM(D1479:D1480)</f>
        <v>0</v>
      </c>
      <c r="E1478" s="42">
        <f>SUM(E1479:E1480)</f>
        <v>-28929.13</v>
      </c>
      <c r="F1478" s="42">
        <f>SUM(F1479:F1480)</f>
        <v>-23680.1</v>
      </c>
      <c r="G1478" s="42">
        <f>F1478-E1478</f>
        <v>5249.0300000000025</v>
      </c>
      <c r="I1478" s="2"/>
    </row>
    <row r="1479" spans="1:9" x14ac:dyDescent="0.25">
      <c r="A1479" s="41"/>
      <c r="B1479" s="3"/>
      <c r="C1479" s="3" t="s">
        <v>52</v>
      </c>
      <c r="D1479" s="5">
        <v>0</v>
      </c>
      <c r="E1479" s="5">
        <v>-23333.81</v>
      </c>
      <c r="F1479" s="5">
        <v>-21004.62</v>
      </c>
      <c r="G1479" s="5">
        <f t="shared" ref="G1479:G1482" si="771">F1479-E1479</f>
        <v>2329.1900000000023</v>
      </c>
      <c r="I1479" s="2"/>
    </row>
    <row r="1480" spans="1:9" x14ac:dyDescent="0.25">
      <c r="A1480" s="41"/>
      <c r="B1480" s="3"/>
      <c r="C1480" s="3" t="s">
        <v>53</v>
      </c>
      <c r="D1480" s="5">
        <v>0</v>
      </c>
      <c r="E1480" s="5">
        <v>-5595.32</v>
      </c>
      <c r="F1480" s="5">
        <v>-2675.48</v>
      </c>
      <c r="G1480" s="5">
        <f t="shared" si="771"/>
        <v>2919.8399999999997</v>
      </c>
      <c r="I1480" s="2"/>
    </row>
    <row r="1481" spans="1:9" x14ac:dyDescent="0.25">
      <c r="A1481" s="41"/>
      <c r="B1481" s="41"/>
      <c r="C1481" s="41" t="s">
        <v>118</v>
      </c>
      <c r="D1481" s="42">
        <f>D1482</f>
        <v>0</v>
      </c>
      <c r="E1481" s="42">
        <f t="shared" ref="E1481:F1481" si="772">E1482</f>
        <v>0</v>
      </c>
      <c r="F1481" s="42">
        <f t="shared" si="772"/>
        <v>0.03</v>
      </c>
      <c r="G1481" s="42">
        <f t="shared" si="771"/>
        <v>0.03</v>
      </c>
      <c r="I1481" s="2"/>
    </row>
    <row r="1482" spans="1:9" x14ac:dyDescent="0.25">
      <c r="A1482" s="41"/>
      <c r="B1482" s="3"/>
      <c r="C1482" s="3" t="s">
        <v>54</v>
      </c>
      <c r="D1482" s="5">
        <v>0</v>
      </c>
      <c r="E1482" s="5">
        <v>0</v>
      </c>
      <c r="F1482" s="5">
        <v>0.03</v>
      </c>
      <c r="G1482" s="5">
        <f t="shared" si="771"/>
        <v>0.03</v>
      </c>
      <c r="I1482" s="2"/>
    </row>
    <row r="1483" spans="1:9" x14ac:dyDescent="0.25">
      <c r="A1483" s="41"/>
      <c r="B1483" s="41"/>
      <c r="C1483" s="41" t="s">
        <v>119</v>
      </c>
      <c r="D1483" s="42">
        <f>SUM(D1484:D1486)</f>
        <v>0</v>
      </c>
      <c r="E1483" s="42">
        <f t="shared" ref="E1483:F1483" si="773">SUM(E1484:E1486)</f>
        <v>-1171.0899999999999</v>
      </c>
      <c r="F1483" s="42">
        <f t="shared" si="773"/>
        <v>-784.1</v>
      </c>
      <c r="G1483" s="42">
        <f>F1483-E1483</f>
        <v>386.9899999999999</v>
      </c>
      <c r="I1483" s="2"/>
    </row>
    <row r="1484" spans="1:9" x14ac:dyDescent="0.25">
      <c r="A1484" s="41"/>
      <c r="B1484" s="41"/>
      <c r="C1484" s="3" t="s">
        <v>193</v>
      </c>
      <c r="D1484" s="42">
        <v>0</v>
      </c>
      <c r="E1484" s="5">
        <v>-1171.0899999999999</v>
      </c>
      <c r="F1484" s="5">
        <v>0</v>
      </c>
      <c r="G1484" s="5">
        <f t="shared" ref="G1484:G1486" si="774">F1484-E1484</f>
        <v>1171.0899999999999</v>
      </c>
      <c r="I1484" s="2"/>
    </row>
    <row r="1485" spans="1:9" x14ac:dyDescent="0.25">
      <c r="A1485" s="41"/>
      <c r="B1485" s="3"/>
      <c r="C1485" s="3" t="s">
        <v>52</v>
      </c>
      <c r="D1485" s="5">
        <v>0</v>
      </c>
      <c r="E1485" s="5">
        <v>0</v>
      </c>
      <c r="F1485" s="5">
        <v>-740.53</v>
      </c>
      <c r="G1485" s="5">
        <f t="shared" si="774"/>
        <v>-740.53</v>
      </c>
      <c r="I1485" s="2"/>
    </row>
    <row r="1486" spans="1:9" x14ac:dyDescent="0.25">
      <c r="A1486" s="41"/>
      <c r="B1486" s="41"/>
      <c r="C1486" s="3" t="s">
        <v>53</v>
      </c>
      <c r="D1486" s="5">
        <v>0</v>
      </c>
      <c r="E1486" s="5">
        <v>0</v>
      </c>
      <c r="F1486" s="5">
        <v>-43.57</v>
      </c>
      <c r="G1486" s="5">
        <f t="shared" si="774"/>
        <v>-43.57</v>
      </c>
      <c r="I1486" s="2"/>
    </row>
    <row r="1487" spans="1:9" x14ac:dyDescent="0.25">
      <c r="A1487" s="41"/>
      <c r="B1487" s="41"/>
      <c r="C1487" s="41" t="s">
        <v>121</v>
      </c>
      <c r="D1487" s="42">
        <v>0</v>
      </c>
      <c r="E1487" s="42">
        <f>D1487</f>
        <v>0</v>
      </c>
      <c r="F1487" s="5">
        <v>-15394.85</v>
      </c>
      <c r="G1487" s="42">
        <f>F1487-E1487</f>
        <v>-15394.85</v>
      </c>
      <c r="I1487" s="2"/>
    </row>
    <row r="1488" spans="1:9" s="39" customFormat="1" ht="15.75" x14ac:dyDescent="0.25">
      <c r="A1488" s="54" t="s">
        <v>203</v>
      </c>
      <c r="B1488" s="41"/>
      <c r="C1488" s="41"/>
      <c r="D1488" s="42">
        <f>SUM(D1489:D1493)</f>
        <v>-339326667</v>
      </c>
      <c r="E1488" s="42">
        <f>SUM(E1489:E1493)</f>
        <v>-372581288.59000003</v>
      </c>
      <c r="F1488" s="42">
        <f>SUM(F1489:F1493)</f>
        <v>-351610455.64000005</v>
      </c>
      <c r="G1488" s="42">
        <f>F1488-E1488</f>
        <v>20970832.949999988</v>
      </c>
      <c r="H1488" s="25"/>
      <c r="I1488" s="80"/>
    </row>
    <row r="1489" spans="1:9" ht="15.75" x14ac:dyDescent="0.25">
      <c r="A1489" s="54"/>
      <c r="B1489" s="3" t="s">
        <v>117</v>
      </c>
      <c r="C1489" s="3"/>
      <c r="D1489" s="5">
        <f>D1495+D1640+D1692</f>
        <v>-155347120</v>
      </c>
      <c r="E1489" s="5">
        <f>E1495+E1640+E1692</f>
        <v>-199044606.54999998</v>
      </c>
      <c r="F1489" s="5">
        <f>F1495+F1640+F1692</f>
        <v>-193329986.25000003</v>
      </c>
      <c r="G1489" s="5">
        <f t="shared" ref="G1489:G1505" si="775">F1489-E1489</f>
        <v>5714620.2999999523</v>
      </c>
      <c r="I1489" s="2"/>
    </row>
    <row r="1490" spans="1:9" ht="15.75" x14ac:dyDescent="0.25">
      <c r="A1490" s="54"/>
      <c r="B1490" s="3" t="s">
        <v>118</v>
      </c>
      <c r="C1490" s="3"/>
      <c r="D1490" s="5">
        <v>0</v>
      </c>
      <c r="E1490" s="5">
        <v>0</v>
      </c>
      <c r="F1490" s="5">
        <f>F1496+F1641+F1693</f>
        <v>-37590.850000000006</v>
      </c>
      <c r="G1490" s="5">
        <f t="shared" si="775"/>
        <v>-37590.850000000006</v>
      </c>
      <c r="I1490" s="2"/>
    </row>
    <row r="1491" spans="1:9" ht="15.75" x14ac:dyDescent="0.25">
      <c r="A1491" s="54"/>
      <c r="B1491" s="3" t="s">
        <v>119</v>
      </c>
      <c r="C1491" s="3"/>
      <c r="D1491" s="5">
        <f>D1497+D1694</f>
        <v>-156411255</v>
      </c>
      <c r="E1491" s="5">
        <f>E1497+E1694+E1642</f>
        <v>-137241286.57000002</v>
      </c>
      <c r="F1491" s="5">
        <f>F1497+F1694+F1642</f>
        <v>-136606654.71000001</v>
      </c>
      <c r="G1491" s="5">
        <f t="shared" si="775"/>
        <v>634631.86000001431</v>
      </c>
      <c r="I1491" s="2"/>
    </row>
    <row r="1492" spans="1:9" ht="15.75" x14ac:dyDescent="0.25">
      <c r="A1492" s="54"/>
      <c r="B1492" s="3" t="s">
        <v>120</v>
      </c>
      <c r="C1492" s="3"/>
      <c r="D1492" s="5">
        <f>D1498+D1643</f>
        <v>-27219284</v>
      </c>
      <c r="E1492" s="5">
        <f>E1498+E1643+E1695</f>
        <v>-35946387.469999999</v>
      </c>
      <c r="F1492" s="5">
        <f>F1498+F1643+F1695</f>
        <v>-21064976.890000004</v>
      </c>
      <c r="G1492" s="5">
        <f t="shared" si="775"/>
        <v>14881410.579999994</v>
      </c>
      <c r="I1492" s="2"/>
    </row>
    <row r="1493" spans="1:9" ht="15.75" x14ac:dyDescent="0.25">
      <c r="A1493" s="54"/>
      <c r="B1493" s="3" t="s">
        <v>121</v>
      </c>
      <c r="C1493" s="3"/>
      <c r="D1493" s="5">
        <f>D1499+D1644+D1696</f>
        <v>-349008</v>
      </c>
      <c r="E1493" s="5">
        <f>E1499+E1644+E1696</f>
        <v>-349008</v>
      </c>
      <c r="F1493" s="5">
        <f>F1499+F1644+F1696</f>
        <v>-571246.94000000006</v>
      </c>
      <c r="G1493" s="5">
        <f t="shared" si="775"/>
        <v>-222238.94000000006</v>
      </c>
      <c r="I1493" s="2"/>
    </row>
    <row r="1494" spans="1:9" s="39" customFormat="1" ht="15.75" x14ac:dyDescent="0.25">
      <c r="A1494" s="56" t="s">
        <v>178</v>
      </c>
      <c r="B1494" s="41"/>
      <c r="C1494" s="41"/>
      <c r="D1494" s="42">
        <f>SUM(D1495:D1499)</f>
        <v>-182982465</v>
      </c>
      <c r="E1494" s="42">
        <f>SUM(E1495:E1499)</f>
        <v>-193748186.53000003</v>
      </c>
      <c r="F1494" s="42">
        <f>SUM(F1495:F1499)</f>
        <v>-177113777.46000001</v>
      </c>
      <c r="G1494" s="42">
        <f t="shared" si="775"/>
        <v>16634409.070000023</v>
      </c>
      <c r="H1494" s="25"/>
      <c r="I1494" s="2"/>
    </row>
    <row r="1495" spans="1:9" ht="15.75" x14ac:dyDescent="0.25">
      <c r="A1495" s="55"/>
      <c r="B1495" s="3" t="s">
        <v>117</v>
      </c>
      <c r="C1495" s="3"/>
      <c r="D1495" s="5">
        <f>D1501+D1595</f>
        <v>-30306676</v>
      </c>
      <c r="E1495" s="5">
        <f>E1501+E1595</f>
        <v>-33009344.07</v>
      </c>
      <c r="F1495" s="5">
        <f>F1501+F1595</f>
        <v>-30488089.619999997</v>
      </c>
      <c r="G1495" s="5">
        <f t="shared" si="775"/>
        <v>2521254.450000003</v>
      </c>
      <c r="I1495" s="2"/>
    </row>
    <row r="1496" spans="1:9" ht="15.75" x14ac:dyDescent="0.25">
      <c r="A1496" s="55"/>
      <c r="B1496" s="3" t="s">
        <v>118</v>
      </c>
      <c r="C1496" s="3"/>
      <c r="D1496" s="5">
        <v>0</v>
      </c>
      <c r="E1496" s="5">
        <v>0</v>
      </c>
      <c r="F1496" s="5">
        <f>F1502+F1596</f>
        <v>-28129.670000000006</v>
      </c>
      <c r="G1496" s="5">
        <f t="shared" ref="G1496" si="776">F1496-E1496</f>
        <v>-28129.670000000006</v>
      </c>
      <c r="I1496" s="2"/>
    </row>
    <row r="1497" spans="1:9" x14ac:dyDescent="0.25">
      <c r="A1497" s="3"/>
      <c r="B1497" s="3" t="s">
        <v>119</v>
      </c>
      <c r="C1497" s="3"/>
      <c r="D1497" s="5">
        <f t="shared" ref="D1497:E1499" si="777">D1503+D1597</f>
        <v>-141462708</v>
      </c>
      <c r="E1497" s="5">
        <f t="shared" si="777"/>
        <v>-126844234.25000001</v>
      </c>
      <c r="F1497" s="5">
        <f>F1503+F1597</f>
        <v>-126330545.95</v>
      </c>
      <c r="G1497" s="5">
        <f t="shared" si="775"/>
        <v>513688.30000001192</v>
      </c>
      <c r="I1497" s="2"/>
    </row>
    <row r="1498" spans="1:9" x14ac:dyDescent="0.25">
      <c r="A1498" s="3"/>
      <c r="B1498" s="3" t="s">
        <v>120</v>
      </c>
      <c r="C1498" s="3"/>
      <c r="D1498" s="5">
        <f t="shared" si="777"/>
        <v>-11019284</v>
      </c>
      <c r="E1498" s="5">
        <f t="shared" si="777"/>
        <v>-33700811.210000001</v>
      </c>
      <c r="F1498" s="5">
        <f>F1504+F1598</f>
        <v>-19907909.850000001</v>
      </c>
      <c r="G1498" s="5">
        <f t="shared" si="775"/>
        <v>13792901.359999999</v>
      </c>
      <c r="I1498" s="2"/>
    </row>
    <row r="1499" spans="1:9" x14ac:dyDescent="0.25">
      <c r="A1499" s="3"/>
      <c r="B1499" s="3" t="s">
        <v>121</v>
      </c>
      <c r="C1499" s="3"/>
      <c r="D1499" s="5">
        <f t="shared" si="777"/>
        <v>-193797</v>
      </c>
      <c r="E1499" s="5">
        <f t="shared" si="777"/>
        <v>-193797</v>
      </c>
      <c r="F1499" s="5">
        <f>F1505+F1599</f>
        <v>-359102.37</v>
      </c>
      <c r="G1499" s="5">
        <f t="shared" si="775"/>
        <v>-165305.37</v>
      </c>
      <c r="I1499" s="2"/>
    </row>
    <row r="1500" spans="1:9" s="39" customFormat="1" ht="15.75" x14ac:dyDescent="0.25">
      <c r="A1500" s="71" t="s">
        <v>180</v>
      </c>
      <c r="B1500" s="41"/>
      <c r="C1500" s="41"/>
      <c r="D1500" s="42">
        <f>SUM(D1501:D1505)</f>
        <v>-152359578</v>
      </c>
      <c r="E1500" s="42">
        <f>SUM(E1501:E1505)</f>
        <v>-155222562.55000001</v>
      </c>
      <c r="F1500" s="42">
        <f>SUM(F1501:F1505)</f>
        <v>-152532093.40000001</v>
      </c>
      <c r="G1500" s="42">
        <f t="shared" si="775"/>
        <v>2690469.150000006</v>
      </c>
      <c r="H1500" s="25"/>
      <c r="I1500" s="2"/>
    </row>
    <row r="1501" spans="1:9" x14ac:dyDescent="0.25">
      <c r="A1501" s="3"/>
      <c r="B1501" s="3" t="s">
        <v>117</v>
      </c>
      <c r="C1501" s="3"/>
      <c r="D1501" s="5">
        <f>D1513+D1539+D1564</f>
        <v>-26148870</v>
      </c>
      <c r="E1501" s="5">
        <f>E1513+E1539+E1564+E1584</f>
        <v>-28578202.859999999</v>
      </c>
      <c r="F1501" s="5">
        <f>F1513+F1539+F1564+F1584</f>
        <v>-26177546.669999998</v>
      </c>
      <c r="G1501" s="5">
        <f t="shared" si="775"/>
        <v>2400656.1900000013</v>
      </c>
      <c r="I1501" s="2"/>
    </row>
    <row r="1502" spans="1:9" x14ac:dyDescent="0.25">
      <c r="A1502" s="3"/>
      <c r="B1502" s="3" t="s">
        <v>118</v>
      </c>
      <c r="C1502" s="3"/>
      <c r="D1502" s="5">
        <v>0</v>
      </c>
      <c r="E1502" s="5">
        <v>0</v>
      </c>
      <c r="F1502" s="5">
        <f>F1519+F1544+F1567+L1604</f>
        <v>-28005.840000000004</v>
      </c>
      <c r="G1502" s="5">
        <f t="shared" si="775"/>
        <v>-28005.840000000004</v>
      </c>
      <c r="I1502" s="2"/>
    </row>
    <row r="1503" spans="1:9" x14ac:dyDescent="0.25">
      <c r="A1503" s="3"/>
      <c r="B1503" s="3" t="s">
        <v>119</v>
      </c>
      <c r="C1503" s="3"/>
      <c r="D1503" s="5">
        <f>D1521+D1547+D1569</f>
        <v>-125991359</v>
      </c>
      <c r="E1503" s="5">
        <f>E1521+E1547+E1569+E1589</f>
        <v>-126443169.30000001</v>
      </c>
      <c r="F1503" s="5">
        <f>F1521+F1547+F1569+F1589</f>
        <v>-126055086.39</v>
      </c>
      <c r="G1503" s="5">
        <f t="shared" si="775"/>
        <v>388082.91000001132</v>
      </c>
      <c r="I1503" s="2"/>
    </row>
    <row r="1504" spans="1:9" x14ac:dyDescent="0.25">
      <c r="A1504" s="3"/>
      <c r="B1504" s="3" t="s">
        <v>120</v>
      </c>
      <c r="C1504" s="3"/>
      <c r="D1504" s="5">
        <f>D1573</f>
        <v>-48222</v>
      </c>
      <c r="E1504" s="5">
        <f>E1573+E1527+E1554</f>
        <v>-30063.39</v>
      </c>
      <c r="F1504" s="5">
        <f>F1573+F1527+F1554</f>
        <v>-19079.839999999997</v>
      </c>
      <c r="G1504" s="5">
        <f t="shared" si="775"/>
        <v>10983.550000000003</v>
      </c>
      <c r="I1504" s="2"/>
    </row>
    <row r="1505" spans="1:9" x14ac:dyDescent="0.25">
      <c r="A1505" s="3"/>
      <c r="B1505" s="3" t="s">
        <v>121</v>
      </c>
      <c r="C1505" s="3"/>
      <c r="D1505" s="5">
        <f>D1530+D1558+D1578</f>
        <v>-171127</v>
      </c>
      <c r="E1505" s="5">
        <f>E1530+E1558+E1578</f>
        <v>-171127</v>
      </c>
      <c r="F1505" s="5">
        <f>F1530+F1558+F1578+F1593</f>
        <v>-252374.65999999997</v>
      </c>
      <c r="G1505" s="5">
        <f t="shared" si="775"/>
        <v>-81247.659999999974</v>
      </c>
      <c r="I1505" s="2"/>
    </row>
    <row r="1506" spans="1:9" x14ac:dyDescent="0.25">
      <c r="A1506" s="41"/>
      <c r="B1506" s="41" t="s">
        <v>87</v>
      </c>
      <c r="C1506" s="41"/>
      <c r="D1506" s="42">
        <f>SUM(D1508:D1512)</f>
        <v>-109671948</v>
      </c>
      <c r="E1506" s="42">
        <f>SUM(E1507:E1512)</f>
        <v>-121871555.95999999</v>
      </c>
      <c r="F1506" s="42">
        <f t="shared" ref="F1506" si="778">SUM(F1508:F1512)</f>
        <v>-119447363.69</v>
      </c>
      <c r="G1506" s="42">
        <f>F1506-E1506</f>
        <v>2424192.2699999958</v>
      </c>
      <c r="I1506" s="2"/>
    </row>
    <row r="1507" spans="1:9" x14ac:dyDescent="0.25">
      <c r="A1507" s="41"/>
      <c r="B1507" s="41"/>
      <c r="C1507" s="3" t="s">
        <v>193</v>
      </c>
      <c r="D1507" s="5">
        <v>0</v>
      </c>
      <c r="E1507" s="5">
        <f>E1522+E1528</f>
        <v>-94715434.859999999</v>
      </c>
      <c r="F1507" s="5">
        <v>0</v>
      </c>
      <c r="G1507" s="5">
        <f t="shared" ref="G1507" si="779">F1507-E1507</f>
        <v>94715434.859999999</v>
      </c>
      <c r="I1507" s="2"/>
    </row>
    <row r="1508" spans="1:9" x14ac:dyDescent="0.25">
      <c r="A1508" s="3"/>
      <c r="B1508" s="3"/>
      <c r="C1508" s="3" t="s">
        <v>52</v>
      </c>
      <c r="D1508" s="5">
        <f>D1514+D1523</f>
        <v>-2268617</v>
      </c>
      <c r="E1508" s="5">
        <f t="shared" ref="E1508:F1508" si="780">E1514+E1523</f>
        <v>-1722895.91</v>
      </c>
      <c r="F1508" s="5">
        <f t="shared" si="780"/>
        <v>-2156572.33</v>
      </c>
      <c r="G1508" s="5">
        <f t="shared" ref="G1508:G1512" si="781">F1508-E1508</f>
        <v>-433676.42000000016</v>
      </c>
      <c r="I1508" s="2"/>
    </row>
    <row r="1509" spans="1:9" x14ac:dyDescent="0.25">
      <c r="A1509" s="3"/>
      <c r="B1509" s="3"/>
      <c r="C1509" s="3" t="s">
        <v>53</v>
      </c>
      <c r="D1509" s="5">
        <f>D1515+D1524</f>
        <v>-637884</v>
      </c>
      <c r="E1509" s="5">
        <f t="shared" ref="E1509" si="782">E1515+E1524</f>
        <v>-614002.53</v>
      </c>
      <c r="F1509" s="5">
        <f>F1515+F1524+F1529</f>
        <v>-470885.05000000005</v>
      </c>
      <c r="G1509" s="5">
        <f t="shared" si="781"/>
        <v>143117.47999999998</v>
      </c>
      <c r="I1509" s="2"/>
    </row>
    <row r="1510" spans="1:9" x14ac:dyDescent="0.25">
      <c r="A1510" s="3"/>
      <c r="B1510" s="3"/>
      <c r="C1510" s="3" t="s">
        <v>122</v>
      </c>
      <c r="D1510" s="5">
        <f>D1516+D1525</f>
        <v>-78461669</v>
      </c>
      <c r="E1510" s="5">
        <f t="shared" ref="E1510:F1510" si="783">E1516+E1525</f>
        <v>-13337753.140000001</v>
      </c>
      <c r="F1510" s="5">
        <f t="shared" si="783"/>
        <v>-91227587.030000001</v>
      </c>
      <c r="G1510" s="5">
        <f t="shared" si="781"/>
        <v>-77889833.890000001</v>
      </c>
      <c r="I1510" s="2"/>
    </row>
    <row r="1511" spans="1:9" x14ac:dyDescent="0.25">
      <c r="A1511" s="3"/>
      <c r="B1511" s="3"/>
      <c r="C1511" s="3" t="s">
        <v>113</v>
      </c>
      <c r="D1511" s="5">
        <f>D1517+D1526</f>
        <v>-28276338</v>
      </c>
      <c r="E1511" s="5">
        <f t="shared" ref="E1511:F1511" si="784">E1517+E1526</f>
        <v>-11454029.52</v>
      </c>
      <c r="F1511" s="5">
        <f t="shared" si="784"/>
        <v>-25425165.310000002</v>
      </c>
      <c r="G1511" s="5">
        <f t="shared" si="781"/>
        <v>-13971135.790000003</v>
      </c>
      <c r="I1511" s="2"/>
    </row>
    <row r="1512" spans="1:9" x14ac:dyDescent="0.25">
      <c r="A1512" s="3"/>
      <c r="B1512" s="3"/>
      <c r="C1512" s="3" t="s">
        <v>114</v>
      </c>
      <c r="D1512" s="5">
        <f>D1530</f>
        <v>-27440</v>
      </c>
      <c r="E1512" s="5">
        <f t="shared" ref="E1512" si="785">E1530</f>
        <v>-27440</v>
      </c>
      <c r="F1512" s="5">
        <f>F1530+F1518+F1520</f>
        <v>-167153.97</v>
      </c>
      <c r="G1512" s="5">
        <f t="shared" si="781"/>
        <v>-139713.97</v>
      </c>
      <c r="I1512" s="2"/>
    </row>
    <row r="1513" spans="1:9" x14ac:dyDescent="0.25">
      <c r="A1513" s="41"/>
      <c r="B1513" s="41"/>
      <c r="C1513" s="41" t="s">
        <v>117</v>
      </c>
      <c r="D1513" s="42">
        <f>SUM(D1514:D1517)</f>
        <v>-25078089</v>
      </c>
      <c r="E1513" s="42">
        <f t="shared" ref="E1513" si="786">SUM(E1514:E1517)</f>
        <v>-27128681.100000001</v>
      </c>
      <c r="F1513" s="42">
        <f>SUM(F1514:F1518)</f>
        <v>-25037785.549999997</v>
      </c>
      <c r="G1513" s="42">
        <f>F1513-E1513</f>
        <v>2090895.5500000045</v>
      </c>
      <c r="I1513" s="2"/>
    </row>
    <row r="1514" spans="1:9" x14ac:dyDescent="0.25">
      <c r="A1514" s="3"/>
      <c r="B1514" s="3"/>
      <c r="C1514" s="3" t="s">
        <v>52</v>
      </c>
      <c r="D1514" s="5">
        <v>-1609543</v>
      </c>
      <c r="E1514" s="5">
        <v>-1722895.91</v>
      </c>
      <c r="F1514" s="5">
        <v>-1570804.01</v>
      </c>
      <c r="G1514" s="5">
        <f t="shared" ref="G1514:G1518" si="787">F1514-E1514</f>
        <v>152091.89999999991</v>
      </c>
      <c r="I1514" s="2"/>
    </row>
    <row r="1515" spans="1:9" x14ac:dyDescent="0.25">
      <c r="A1515" s="3"/>
      <c r="B1515" s="3"/>
      <c r="C1515" s="3" t="s">
        <v>53</v>
      </c>
      <c r="D1515" s="5">
        <v>-408810</v>
      </c>
      <c r="E1515" s="5">
        <f>-600132.17-13870.36</f>
        <v>-614002.53</v>
      </c>
      <c r="F1515" s="5">
        <v>-382622.84</v>
      </c>
      <c r="G1515" s="5">
        <f t="shared" si="787"/>
        <v>231379.69</v>
      </c>
      <c r="I1515" s="2"/>
    </row>
    <row r="1516" spans="1:9" x14ac:dyDescent="0.25">
      <c r="A1516" s="3"/>
      <c r="B1516" s="3"/>
      <c r="C1516" s="3" t="s">
        <v>122</v>
      </c>
      <c r="D1516" s="5">
        <v>-14349319</v>
      </c>
      <c r="E1516" s="5">
        <v>-13337753.140000001</v>
      </c>
      <c r="F1516" s="5">
        <v>-12160313.220000001</v>
      </c>
      <c r="G1516" s="5">
        <f t="shared" ref="G1516" si="788">F1516-E1516</f>
        <v>1177439.92</v>
      </c>
      <c r="H1516" s="25" t="s">
        <v>182</v>
      </c>
      <c r="I1516" s="2"/>
    </row>
    <row r="1517" spans="1:9" x14ac:dyDescent="0.25">
      <c r="A1517" s="3"/>
      <c r="B1517" s="3"/>
      <c r="C1517" s="3" t="s">
        <v>113</v>
      </c>
      <c r="D1517" s="5">
        <f>-23059736+14349319</f>
        <v>-8710417</v>
      </c>
      <c r="E1517" s="5">
        <v>-11454029.52</v>
      </c>
      <c r="F1517" s="5">
        <v>-10825565.26</v>
      </c>
      <c r="G1517" s="5">
        <f t="shared" si="787"/>
        <v>628464.25999999978</v>
      </c>
      <c r="I1517" s="2"/>
    </row>
    <row r="1518" spans="1:9" x14ac:dyDescent="0.25">
      <c r="A1518" s="3"/>
      <c r="B1518" s="3"/>
      <c r="C1518" s="3" t="s">
        <v>54</v>
      </c>
      <c r="D1518" s="5">
        <v>0</v>
      </c>
      <c r="E1518" s="5">
        <v>0</v>
      </c>
      <c r="F1518" s="5">
        <v>-98480.22</v>
      </c>
      <c r="G1518" s="5">
        <f t="shared" si="787"/>
        <v>-98480.22</v>
      </c>
      <c r="I1518" s="2"/>
    </row>
    <row r="1519" spans="1:9" x14ac:dyDescent="0.25">
      <c r="A1519" s="3"/>
      <c r="B1519" s="3"/>
      <c r="C1519" s="41" t="s">
        <v>118</v>
      </c>
      <c r="D1519" s="42">
        <v>0</v>
      </c>
      <c r="E1519" s="42">
        <v>0</v>
      </c>
      <c r="F1519" s="42">
        <f>F1520</f>
        <v>-164.83</v>
      </c>
      <c r="G1519" s="42">
        <f>F1519-E1519</f>
        <v>-164.83</v>
      </c>
      <c r="I1519" s="2"/>
    </row>
    <row r="1520" spans="1:9" x14ac:dyDescent="0.25">
      <c r="A1520" s="3"/>
      <c r="B1520" s="3"/>
      <c r="C1520" s="3" t="s">
        <v>114</v>
      </c>
      <c r="D1520" s="5">
        <v>0</v>
      </c>
      <c r="E1520" s="5">
        <v>0</v>
      </c>
      <c r="F1520" s="5">
        <v>-164.83</v>
      </c>
      <c r="G1520" s="5">
        <f t="shared" ref="G1520" si="789">F1520-E1520</f>
        <v>-164.83</v>
      </c>
      <c r="I1520" s="2"/>
    </row>
    <row r="1521" spans="1:9" x14ac:dyDescent="0.25">
      <c r="A1521" s="41"/>
      <c r="B1521" s="41"/>
      <c r="C1521" s="41" t="s">
        <v>119</v>
      </c>
      <c r="D1521" s="42">
        <f>SUM(D1523:D1526)</f>
        <v>-84566419</v>
      </c>
      <c r="E1521" s="42">
        <f>E1522</f>
        <v>-94710724.290000007</v>
      </c>
      <c r="F1521" s="42">
        <f t="shared" ref="F1521" si="790">SUM(F1523:F1526)</f>
        <v>-94340830.390000001</v>
      </c>
      <c r="G1521" s="42">
        <f>F1521-E1521</f>
        <v>369893.90000000596</v>
      </c>
      <c r="I1521" s="2"/>
    </row>
    <row r="1522" spans="1:9" x14ac:dyDescent="0.25">
      <c r="A1522" s="41"/>
      <c r="B1522" s="41"/>
      <c r="C1522" s="3" t="s">
        <v>193</v>
      </c>
      <c r="D1522" s="5">
        <v>0</v>
      </c>
      <c r="E1522" s="5">
        <v>-94710724.290000007</v>
      </c>
      <c r="F1522" s="5">
        <v>0</v>
      </c>
      <c r="G1522" s="5">
        <f t="shared" ref="G1522" si="791">F1522-E1522</f>
        <v>94710724.290000007</v>
      </c>
      <c r="I1522" s="2"/>
    </row>
    <row r="1523" spans="1:9" x14ac:dyDescent="0.25">
      <c r="A1523" s="3"/>
      <c r="B1523" s="3"/>
      <c r="C1523" s="3" t="s">
        <v>52</v>
      </c>
      <c r="D1523" s="5">
        <v>-659074</v>
      </c>
      <c r="E1523" s="5">
        <v>0</v>
      </c>
      <c r="F1523" s="5">
        <v>-585768.31999999995</v>
      </c>
      <c r="G1523" s="5">
        <f t="shared" ref="G1523:G1525" si="792">F1523-E1523</f>
        <v>-585768.31999999995</v>
      </c>
      <c r="I1523" s="2"/>
    </row>
    <row r="1524" spans="1:9" x14ac:dyDescent="0.25">
      <c r="A1524" s="41"/>
      <c r="B1524" s="41"/>
      <c r="C1524" s="3" t="s">
        <v>53</v>
      </c>
      <c r="D1524" s="5">
        <v>-229074</v>
      </c>
      <c r="E1524" s="5">
        <v>0</v>
      </c>
      <c r="F1524" s="5">
        <v>-88188.21</v>
      </c>
      <c r="G1524" s="5">
        <f t="shared" si="792"/>
        <v>-88188.21</v>
      </c>
      <c r="I1524" s="2"/>
    </row>
    <row r="1525" spans="1:9" x14ac:dyDescent="0.25">
      <c r="A1525" s="3"/>
      <c r="B1525" s="3"/>
      <c r="C1525" s="3" t="s">
        <v>122</v>
      </c>
      <c r="D1525" s="5">
        <v>-64112350</v>
      </c>
      <c r="E1525" s="5">
        <v>0</v>
      </c>
      <c r="F1525" s="5">
        <v>-79067273.810000002</v>
      </c>
      <c r="G1525" s="5">
        <f t="shared" si="792"/>
        <v>-79067273.810000002</v>
      </c>
      <c r="H1525" s="25" t="s">
        <v>123</v>
      </c>
      <c r="I1525" s="2"/>
    </row>
    <row r="1526" spans="1:9" x14ac:dyDescent="0.25">
      <c r="A1526" s="41"/>
      <c r="B1526" s="41"/>
      <c r="C1526" s="3" t="s">
        <v>113</v>
      </c>
      <c r="D1526" s="5">
        <f>-713071-114993-82850207+64112350</f>
        <v>-19565921</v>
      </c>
      <c r="E1526" s="5">
        <v>0</v>
      </c>
      <c r="F1526" s="5">
        <v>-14599600.050000001</v>
      </c>
      <c r="G1526" s="5">
        <f t="shared" ref="G1526" si="793">F1526-E1526</f>
        <v>-14599600.050000001</v>
      </c>
      <c r="I1526" s="2"/>
    </row>
    <row r="1527" spans="1:9" x14ac:dyDescent="0.25">
      <c r="A1527" s="41"/>
      <c r="B1527" s="41"/>
      <c r="C1527" s="41" t="s">
        <v>120</v>
      </c>
      <c r="D1527" s="42">
        <f>SUM(D1529:D1529)</f>
        <v>0</v>
      </c>
      <c r="E1527" s="42">
        <f>E1528</f>
        <v>-4710.57</v>
      </c>
      <c r="F1527" s="42">
        <f>SUM(F1529:F1529)</f>
        <v>-74</v>
      </c>
      <c r="G1527" s="42">
        <f>F1527-E1527</f>
        <v>4636.57</v>
      </c>
      <c r="I1527" s="2"/>
    </row>
    <row r="1528" spans="1:9" x14ac:dyDescent="0.25">
      <c r="A1528" s="41"/>
      <c r="B1528" s="41"/>
      <c r="C1528" s="3" t="s">
        <v>193</v>
      </c>
      <c r="D1528" s="5">
        <v>0</v>
      </c>
      <c r="E1528" s="5">
        <v>-4710.57</v>
      </c>
      <c r="F1528" s="5">
        <v>0</v>
      </c>
      <c r="G1528" s="5">
        <f t="shared" ref="G1528:G1529" si="794">F1528-E1528</f>
        <v>4710.57</v>
      </c>
      <c r="I1528" s="2"/>
    </row>
    <row r="1529" spans="1:9" x14ac:dyDescent="0.25">
      <c r="A1529" s="41"/>
      <c r="B1529" s="41"/>
      <c r="C1529" s="3" t="s">
        <v>53</v>
      </c>
      <c r="D1529" s="5">
        <v>0</v>
      </c>
      <c r="E1529" s="5">
        <v>0</v>
      </c>
      <c r="F1529" s="5">
        <v>-74</v>
      </c>
      <c r="G1529" s="5">
        <f t="shared" si="794"/>
        <v>-74</v>
      </c>
      <c r="I1529" s="2"/>
    </row>
    <row r="1530" spans="1:9" s="39" customFormat="1" x14ac:dyDescent="0.25">
      <c r="A1530" s="41"/>
      <c r="B1530" s="41"/>
      <c r="C1530" s="41" t="s">
        <v>121</v>
      </c>
      <c r="D1530" s="42">
        <v>-27440</v>
      </c>
      <c r="E1530" s="42">
        <f>D1530</f>
        <v>-27440</v>
      </c>
      <c r="F1530" s="5">
        <v>-68508.92</v>
      </c>
      <c r="G1530" s="42">
        <f>F1530-E1530</f>
        <v>-41068.92</v>
      </c>
      <c r="H1530" s="25"/>
      <c r="I1530" s="2"/>
    </row>
    <row r="1531" spans="1:9" x14ac:dyDescent="0.25">
      <c r="A1531" s="41"/>
      <c r="B1531" s="41" t="s">
        <v>129</v>
      </c>
      <c r="C1531" s="41"/>
      <c r="D1531" s="42">
        <f>SUM(D1533:D1537)</f>
        <v>-42257960</v>
      </c>
      <c r="E1531" s="42">
        <f>SUM(E1532:E1537)</f>
        <v>-32511817.340000004</v>
      </c>
      <c r="F1531" s="42">
        <f>SUM(F1533:F1538)</f>
        <v>-32449202.460000001</v>
      </c>
      <c r="G1531" s="42">
        <f>F1531-E1531</f>
        <v>62614.880000002682</v>
      </c>
      <c r="I1531" s="2"/>
    </row>
    <row r="1532" spans="1:9" x14ac:dyDescent="0.25">
      <c r="A1532" s="41"/>
      <c r="B1532" s="41"/>
      <c r="C1532" s="3" t="s">
        <v>193</v>
      </c>
      <c r="D1532" s="5">
        <v>0</v>
      </c>
      <c r="E1532" s="5">
        <f>E1548+E1555</f>
        <v>-31429234.850000001</v>
      </c>
      <c r="F1532" s="5">
        <v>0</v>
      </c>
      <c r="G1532" s="5">
        <f t="shared" ref="G1532" si="795">F1532-E1532</f>
        <v>31429234.850000001</v>
      </c>
      <c r="I1532" s="2"/>
    </row>
    <row r="1533" spans="1:9" x14ac:dyDescent="0.25">
      <c r="A1533" s="3"/>
      <c r="B1533" s="3"/>
      <c r="C1533" s="3" t="s">
        <v>52</v>
      </c>
      <c r="D1533" s="5">
        <f>D1540+D1549</f>
        <v>-1242284</v>
      </c>
      <c r="E1533" s="5">
        <f>E1540+E1549</f>
        <v>-766108.8</v>
      </c>
      <c r="F1533" s="5">
        <f>F1540+F1549+F1556</f>
        <v>-1245541.8799999999</v>
      </c>
      <c r="G1533" s="5">
        <f t="shared" ref="G1533:G1538" si="796">F1533-E1533</f>
        <v>-479433.07999999984</v>
      </c>
      <c r="I1533" s="2"/>
    </row>
    <row r="1534" spans="1:9" x14ac:dyDescent="0.25">
      <c r="A1534" s="3"/>
      <c r="B1534" s="3"/>
      <c r="C1534" s="3" t="s">
        <v>53</v>
      </c>
      <c r="D1534" s="5">
        <f>D1541+D1550</f>
        <v>-265624</v>
      </c>
      <c r="E1534" s="5">
        <f>E1541+E1550</f>
        <v>-174374.34</v>
      </c>
      <c r="F1534" s="5">
        <f>F1541+F1550+F1557</f>
        <v>-336367.08000000007</v>
      </c>
      <c r="G1534" s="5">
        <f t="shared" si="796"/>
        <v>-161992.74000000008</v>
      </c>
      <c r="I1534" s="2"/>
    </row>
    <row r="1535" spans="1:9" x14ac:dyDescent="0.25">
      <c r="A1535" s="3"/>
      <c r="B1535" s="3"/>
      <c r="C1535" s="3" t="s">
        <v>122</v>
      </c>
      <c r="D1535" s="5">
        <f>D1551</f>
        <v>-18383862</v>
      </c>
      <c r="E1535" s="5">
        <f t="shared" ref="E1535:F1535" si="797">E1551</f>
        <v>0</v>
      </c>
      <c r="F1535" s="5">
        <f t="shared" si="797"/>
        <v>-14250117.67</v>
      </c>
      <c r="G1535" s="5">
        <f t="shared" si="796"/>
        <v>-14250117.67</v>
      </c>
      <c r="I1535" s="2"/>
    </row>
    <row r="1536" spans="1:9" x14ac:dyDescent="0.25">
      <c r="A1536" s="3"/>
      <c r="B1536" s="3"/>
      <c r="C1536" s="3" t="s">
        <v>113</v>
      </c>
      <c r="D1536" s="5">
        <f>D1542+D1552</f>
        <v>-22224495</v>
      </c>
      <c r="E1536" s="5">
        <f>E1542+E1552</f>
        <v>-404.35</v>
      </c>
      <c r="F1536" s="5">
        <f>F1542+F1552</f>
        <v>-16138517.869999999</v>
      </c>
      <c r="G1536" s="5">
        <f t="shared" si="796"/>
        <v>-16138113.52</v>
      </c>
      <c r="I1536" s="2"/>
    </row>
    <row r="1537" spans="1:9" x14ac:dyDescent="0.25">
      <c r="A1537" s="3"/>
      <c r="B1537" s="3"/>
      <c r="C1537" s="3" t="s">
        <v>114</v>
      </c>
      <c r="D1537" s="5">
        <f>D1558</f>
        <v>-141695</v>
      </c>
      <c r="E1537" s="5">
        <f t="shared" ref="E1537" si="798">E1558</f>
        <v>-141695</v>
      </c>
      <c r="F1537" s="5">
        <f>F1558+F1543+F1545+F1553</f>
        <v>-456207.89</v>
      </c>
      <c r="G1537" s="5">
        <f t="shared" si="796"/>
        <v>-314512.89</v>
      </c>
      <c r="I1537" s="2"/>
    </row>
    <row r="1538" spans="1:9" x14ac:dyDescent="0.25">
      <c r="A1538" s="3"/>
      <c r="B1538" s="3"/>
      <c r="C1538" s="3" t="s">
        <v>30</v>
      </c>
      <c r="D1538" s="5">
        <v>0</v>
      </c>
      <c r="E1538" s="5">
        <v>0</v>
      </c>
      <c r="F1538" s="5">
        <f>F1546</f>
        <v>-22450.07</v>
      </c>
      <c r="G1538" s="5">
        <f t="shared" si="796"/>
        <v>-22450.07</v>
      </c>
      <c r="I1538" s="2"/>
    </row>
    <row r="1539" spans="1:9" x14ac:dyDescent="0.25">
      <c r="A1539" s="41"/>
      <c r="B1539" s="41"/>
      <c r="C1539" s="41" t="s">
        <v>117</v>
      </c>
      <c r="D1539" s="42">
        <f>SUM(D1540:D1542)</f>
        <v>-990806</v>
      </c>
      <c r="E1539" s="42">
        <f t="shared" ref="E1539" si="799">SUM(E1540:E1542)</f>
        <v>-940887.49</v>
      </c>
      <c r="F1539" s="42">
        <f>SUM(F1540:F1543)</f>
        <v>-913047.25</v>
      </c>
      <c r="G1539" s="42">
        <f>F1539-E1539</f>
        <v>27840.239999999991</v>
      </c>
      <c r="I1539" s="2"/>
    </row>
    <row r="1540" spans="1:9" x14ac:dyDescent="0.25">
      <c r="A1540" s="3"/>
      <c r="B1540" s="3"/>
      <c r="C1540" s="3" t="s">
        <v>52</v>
      </c>
      <c r="D1540" s="5">
        <v>-812590</v>
      </c>
      <c r="E1540" s="5">
        <v>-766108.8</v>
      </c>
      <c r="F1540" s="5">
        <v>-763769.35</v>
      </c>
      <c r="G1540" s="5">
        <f t="shared" ref="G1540:G1543" si="800">F1540-E1540</f>
        <v>2339.4500000000698</v>
      </c>
      <c r="I1540" s="2"/>
    </row>
    <row r="1541" spans="1:9" x14ac:dyDescent="0.25">
      <c r="A1541" s="3"/>
      <c r="B1541" s="3"/>
      <c r="C1541" s="3" t="s">
        <v>53</v>
      </c>
      <c r="D1541" s="5">
        <v>-178112</v>
      </c>
      <c r="E1541" s="5">
        <f>-174332.25-42.09</f>
        <v>-174374.34</v>
      </c>
      <c r="F1541" s="5">
        <v>-147858.76</v>
      </c>
      <c r="G1541" s="5">
        <f t="shared" si="800"/>
        <v>26515.579999999987</v>
      </c>
      <c r="I1541" s="2"/>
    </row>
    <row r="1542" spans="1:9" x14ac:dyDescent="0.25">
      <c r="A1542" s="3"/>
      <c r="B1542" s="3"/>
      <c r="C1542" s="3" t="s">
        <v>113</v>
      </c>
      <c r="D1542" s="5">
        <v>-104</v>
      </c>
      <c r="E1542" s="5">
        <v>-404.35</v>
      </c>
      <c r="F1542" s="5">
        <v>-404.35</v>
      </c>
      <c r="G1542" s="5">
        <f t="shared" si="800"/>
        <v>0</v>
      </c>
      <c r="I1542" s="2"/>
    </row>
    <row r="1543" spans="1:9" x14ac:dyDescent="0.25">
      <c r="A1543" s="3"/>
      <c r="B1543" s="3"/>
      <c r="C1543" s="3" t="s">
        <v>54</v>
      </c>
      <c r="D1543" s="5">
        <v>0</v>
      </c>
      <c r="E1543" s="5">
        <v>0</v>
      </c>
      <c r="F1543" s="5">
        <v>-1014.79</v>
      </c>
      <c r="G1543" s="5">
        <f t="shared" si="800"/>
        <v>-1014.79</v>
      </c>
      <c r="I1543" s="2"/>
    </row>
    <row r="1544" spans="1:9" x14ac:dyDescent="0.25">
      <c r="A1544" s="3"/>
      <c r="B1544" s="3"/>
      <c r="C1544" s="41" t="s">
        <v>118</v>
      </c>
      <c r="D1544" s="42">
        <f>SUM(D1545:D1546)</f>
        <v>0</v>
      </c>
      <c r="E1544" s="42">
        <f t="shared" ref="E1544:F1544" si="801">SUM(E1545:E1546)</f>
        <v>0</v>
      </c>
      <c r="F1544" s="42">
        <f t="shared" si="801"/>
        <v>-27834.7</v>
      </c>
      <c r="G1544" s="42">
        <f>F1544-E1544</f>
        <v>-27834.7</v>
      </c>
      <c r="I1544" s="2"/>
    </row>
    <row r="1545" spans="1:9" x14ac:dyDescent="0.25">
      <c r="A1545" s="3"/>
      <c r="B1545" s="3"/>
      <c r="C1545" s="3" t="s">
        <v>114</v>
      </c>
      <c r="D1545" s="5">
        <v>0</v>
      </c>
      <c r="E1545" s="5">
        <v>0</v>
      </c>
      <c r="F1545" s="5">
        <v>-5384.63</v>
      </c>
      <c r="G1545" s="5">
        <f t="shared" ref="G1545:G1546" si="802">F1545-E1545</f>
        <v>-5384.63</v>
      </c>
      <c r="I1545" s="2"/>
    </row>
    <row r="1546" spans="1:9" x14ac:dyDescent="0.25">
      <c r="A1546" s="3"/>
      <c r="B1546" s="3"/>
      <c r="C1546" s="3" t="s">
        <v>30</v>
      </c>
      <c r="D1546" s="5">
        <v>0</v>
      </c>
      <c r="E1546" s="5">
        <v>0</v>
      </c>
      <c r="F1546" s="5">
        <v>-22450.07</v>
      </c>
      <c r="G1546" s="5">
        <f t="shared" si="802"/>
        <v>-22450.07</v>
      </c>
      <c r="I1546" s="2"/>
    </row>
    <row r="1547" spans="1:9" x14ac:dyDescent="0.25">
      <c r="A1547" s="41"/>
      <c r="B1547" s="41"/>
      <c r="C1547" s="41" t="s">
        <v>119</v>
      </c>
      <c r="D1547" s="42">
        <f>SUM(D1549:D1552)</f>
        <v>-41125459</v>
      </c>
      <c r="E1547" s="42">
        <f>E1548</f>
        <v>-31428564.57</v>
      </c>
      <c r="F1547" s="42">
        <f>SUM(F1549:F1553)</f>
        <v>-31416580.469999999</v>
      </c>
      <c r="G1547" s="42">
        <f>F1547-E1547</f>
        <v>11984.10000000149</v>
      </c>
      <c r="I1547" s="2"/>
    </row>
    <row r="1548" spans="1:9" x14ac:dyDescent="0.25">
      <c r="A1548" s="41"/>
      <c r="B1548" s="41"/>
      <c r="C1548" s="3" t="s">
        <v>193</v>
      </c>
      <c r="D1548" s="5">
        <v>0</v>
      </c>
      <c r="E1548" s="5">
        <v>-31428564.57</v>
      </c>
      <c r="F1548" s="5">
        <v>0</v>
      </c>
      <c r="G1548" s="5">
        <f t="shared" ref="G1548" si="803">F1548-E1548</f>
        <v>31428564.57</v>
      </c>
      <c r="I1548" s="2"/>
    </row>
    <row r="1549" spans="1:9" x14ac:dyDescent="0.25">
      <c r="A1549" s="3"/>
      <c r="B1549" s="3"/>
      <c r="C1549" s="3" t="s">
        <v>52</v>
      </c>
      <c r="D1549" s="5">
        <v>-429694</v>
      </c>
      <c r="E1549" s="5">
        <v>0</v>
      </c>
      <c r="F1549" s="5">
        <v>-481429.78</v>
      </c>
      <c r="G1549" s="5">
        <f t="shared" ref="G1549:G1553" si="804">F1549-E1549</f>
        <v>-481429.78</v>
      </c>
      <c r="I1549" s="2"/>
    </row>
    <row r="1550" spans="1:9" x14ac:dyDescent="0.25">
      <c r="A1550" s="41"/>
      <c r="B1550" s="41"/>
      <c r="C1550" s="3" t="s">
        <v>53</v>
      </c>
      <c r="D1550" s="5">
        <v>-87512</v>
      </c>
      <c r="E1550" s="5">
        <v>0</v>
      </c>
      <c r="F1550" s="5">
        <v>-188180.79</v>
      </c>
      <c r="G1550" s="5">
        <f t="shared" si="804"/>
        <v>-188180.79</v>
      </c>
      <c r="I1550" s="2"/>
    </row>
    <row r="1551" spans="1:9" x14ac:dyDescent="0.25">
      <c r="A1551" s="41"/>
      <c r="B1551" s="41"/>
      <c r="C1551" s="3" t="s">
        <v>122</v>
      </c>
      <c r="D1551" s="5">
        <v>-18383862</v>
      </c>
      <c r="E1551" s="5">
        <v>0</v>
      </c>
      <c r="F1551" s="5">
        <v>-14250117.67</v>
      </c>
      <c r="G1551" s="5">
        <f t="shared" si="804"/>
        <v>-14250117.67</v>
      </c>
      <c r="H1551" s="25" t="s">
        <v>136</v>
      </c>
      <c r="I1551" s="2"/>
    </row>
    <row r="1552" spans="1:9" x14ac:dyDescent="0.25">
      <c r="A1552" s="41"/>
      <c r="B1552" s="41"/>
      <c r="C1552" s="3" t="s">
        <v>113</v>
      </c>
      <c r="D1552" s="5">
        <f>-31155825-9452428+18383862</f>
        <v>-22224391</v>
      </c>
      <c r="E1552" s="5">
        <v>0</v>
      </c>
      <c r="F1552" s="5">
        <v>-16138113.52</v>
      </c>
      <c r="G1552" s="5">
        <f t="shared" si="804"/>
        <v>-16138113.52</v>
      </c>
      <c r="I1552" s="2"/>
    </row>
    <row r="1553" spans="1:9" x14ac:dyDescent="0.25">
      <c r="A1553" s="41"/>
      <c r="B1553" s="41"/>
      <c r="C1553" s="3" t="s">
        <v>54</v>
      </c>
      <c r="D1553" s="5">
        <v>0</v>
      </c>
      <c r="E1553" s="5">
        <v>0</v>
      </c>
      <c r="F1553" s="25">
        <v>-358738.71</v>
      </c>
      <c r="G1553" s="5">
        <f t="shared" si="804"/>
        <v>-358738.71</v>
      </c>
      <c r="I1553" s="2"/>
    </row>
    <row r="1554" spans="1:9" x14ac:dyDescent="0.25">
      <c r="A1554" s="41"/>
      <c r="B1554" s="41"/>
      <c r="C1554" s="41" t="s">
        <v>120</v>
      </c>
      <c r="D1554" s="42">
        <f>SUM(D1556:D1557)</f>
        <v>0</v>
      </c>
      <c r="E1554" s="42">
        <f>E1555</f>
        <v>-670.28</v>
      </c>
      <c r="F1554" s="42">
        <f>SUM(F1556:F1557)</f>
        <v>-670.28</v>
      </c>
      <c r="G1554" s="42">
        <f>F1554-E1554</f>
        <v>0</v>
      </c>
      <c r="I1554" s="2"/>
    </row>
    <row r="1555" spans="1:9" x14ac:dyDescent="0.25">
      <c r="A1555" s="41"/>
      <c r="B1555" s="41"/>
      <c r="C1555" s="3" t="s">
        <v>193</v>
      </c>
      <c r="D1555" s="5">
        <v>0</v>
      </c>
      <c r="E1555" s="5">
        <v>-670.28</v>
      </c>
      <c r="F1555" s="5">
        <v>0</v>
      </c>
      <c r="G1555" s="5">
        <f t="shared" ref="G1555:G1557" si="805">F1555-E1555</f>
        <v>670.28</v>
      </c>
      <c r="I1555" s="2"/>
    </row>
    <row r="1556" spans="1:9" x14ac:dyDescent="0.25">
      <c r="A1556" s="41"/>
      <c r="B1556" s="41"/>
      <c r="C1556" s="3" t="s">
        <v>52</v>
      </c>
      <c r="D1556" s="5">
        <v>0</v>
      </c>
      <c r="E1556" s="5">
        <v>0</v>
      </c>
      <c r="F1556" s="5">
        <v>-342.75</v>
      </c>
      <c r="G1556" s="5">
        <f t="shared" si="805"/>
        <v>-342.75</v>
      </c>
      <c r="I1556" s="2"/>
    </row>
    <row r="1557" spans="1:9" x14ac:dyDescent="0.25">
      <c r="A1557" s="41"/>
      <c r="B1557" s="41"/>
      <c r="C1557" s="3" t="s">
        <v>53</v>
      </c>
      <c r="D1557" s="5">
        <v>0</v>
      </c>
      <c r="E1557" s="5">
        <v>0</v>
      </c>
      <c r="F1557" s="5">
        <v>-327.52999999999997</v>
      </c>
      <c r="G1557" s="5">
        <f t="shared" si="805"/>
        <v>-327.52999999999997</v>
      </c>
      <c r="I1557" s="2"/>
    </row>
    <row r="1558" spans="1:9" s="39" customFormat="1" x14ac:dyDescent="0.25">
      <c r="A1558" s="41"/>
      <c r="B1558" s="41"/>
      <c r="C1558" s="41" t="s">
        <v>121</v>
      </c>
      <c r="D1558" s="42">
        <v>-141695</v>
      </c>
      <c r="E1558" s="42">
        <f>D1558</f>
        <v>-141695</v>
      </c>
      <c r="F1558" s="5">
        <v>-91069.759999999995</v>
      </c>
      <c r="G1558" s="42">
        <f>F1558-E1558</f>
        <v>50625.240000000005</v>
      </c>
      <c r="H1558" s="25"/>
      <c r="I1558" s="2"/>
    </row>
    <row r="1559" spans="1:9" x14ac:dyDescent="0.25">
      <c r="A1559" s="41"/>
      <c r="B1559" s="41" t="s">
        <v>130</v>
      </c>
      <c r="C1559" s="41"/>
      <c r="D1559" s="42">
        <f>SUM(D1561:D1563)</f>
        <v>-429670</v>
      </c>
      <c r="E1559" s="42">
        <f>SUM(E1560:E1563)</f>
        <v>-460482.83999999997</v>
      </c>
      <c r="F1559" s="42">
        <f t="shared" ref="F1559" si="806">SUM(F1561:F1563)</f>
        <v>-395762.76</v>
      </c>
      <c r="G1559" s="42">
        <f>F1559-E1559</f>
        <v>64720.079999999958</v>
      </c>
      <c r="I1559" s="2"/>
    </row>
    <row r="1560" spans="1:9" x14ac:dyDescent="0.25">
      <c r="A1560" s="41"/>
      <c r="B1560" s="41"/>
      <c r="C1560" s="3" t="s">
        <v>193</v>
      </c>
      <c r="D1560" s="5">
        <v>0</v>
      </c>
      <c r="E1560" s="5">
        <f>E1570+E1574</f>
        <v>-321518.51999999996</v>
      </c>
      <c r="F1560" s="5">
        <v>0</v>
      </c>
      <c r="G1560" s="5">
        <f t="shared" ref="G1560" si="807">F1560-E1560</f>
        <v>321518.51999999996</v>
      </c>
      <c r="I1560" s="2"/>
    </row>
    <row r="1561" spans="1:9" x14ac:dyDescent="0.25">
      <c r="A1561" s="3"/>
      <c r="B1561" s="3"/>
      <c r="C1561" s="3" t="s">
        <v>52</v>
      </c>
      <c r="D1561" s="5">
        <f>D1565+D1571+D1575</f>
        <v>-256622</v>
      </c>
      <c r="E1561" s="5">
        <f t="shared" ref="E1561:F1561" si="808">E1565+E1571+E1575</f>
        <v>-65760.75</v>
      </c>
      <c r="F1561" s="5">
        <f t="shared" si="808"/>
        <v>-260305.00000000003</v>
      </c>
      <c r="G1561" s="5">
        <f t="shared" ref="G1561:G1563" si="809">F1561-E1561</f>
        <v>-194544.25000000003</v>
      </c>
      <c r="I1561" s="2"/>
    </row>
    <row r="1562" spans="1:9" x14ac:dyDescent="0.25">
      <c r="A1562" s="3"/>
      <c r="B1562" s="3"/>
      <c r="C1562" s="3" t="s">
        <v>53</v>
      </c>
      <c r="D1562" s="5">
        <f>D1566+D1572+D1576</f>
        <v>-171056</v>
      </c>
      <c r="E1562" s="5">
        <f t="shared" ref="E1562:F1562" si="810">E1566+E1572+E1576</f>
        <v>-71211.569999999992</v>
      </c>
      <c r="F1562" s="5">
        <f t="shared" si="810"/>
        <v>-135024.5</v>
      </c>
      <c r="G1562" s="5">
        <f t="shared" si="809"/>
        <v>-63812.930000000008</v>
      </c>
      <c r="I1562" s="2"/>
    </row>
    <row r="1563" spans="1:9" x14ac:dyDescent="0.25">
      <c r="A1563" s="3"/>
      <c r="B1563" s="3"/>
      <c r="C1563" s="3" t="s">
        <v>114</v>
      </c>
      <c r="D1563" s="5">
        <f>D1578</f>
        <v>-1992</v>
      </c>
      <c r="E1563" s="5">
        <f>E1578</f>
        <v>-1992</v>
      </c>
      <c r="F1563" s="5">
        <f>F1578+F1568+F1577</f>
        <v>-433.26</v>
      </c>
      <c r="G1563" s="5">
        <f t="shared" si="809"/>
        <v>1558.74</v>
      </c>
      <c r="I1563" s="2"/>
    </row>
    <row r="1564" spans="1:9" x14ac:dyDescent="0.25">
      <c r="A1564" s="41"/>
      <c r="B1564" s="41"/>
      <c r="C1564" s="41" t="s">
        <v>117</v>
      </c>
      <c r="D1564" s="42">
        <f>SUM(D1565:D1566)</f>
        <v>-79975</v>
      </c>
      <c r="E1564" s="42">
        <f>SUM(E1565:E1566)</f>
        <v>-136972.32</v>
      </c>
      <c r="F1564" s="42">
        <f>SUM(F1565:F1566)</f>
        <v>-84270.76999999999</v>
      </c>
      <c r="G1564" s="42">
        <f>F1564-E1564</f>
        <v>52701.550000000017</v>
      </c>
      <c r="I1564" s="2"/>
    </row>
    <row r="1565" spans="1:9" x14ac:dyDescent="0.25">
      <c r="A1565" s="3"/>
      <c r="B1565" s="3"/>
      <c r="C1565" s="3" t="s">
        <v>52</v>
      </c>
      <c r="D1565" s="5">
        <v>-31295</v>
      </c>
      <c r="E1565" s="5">
        <v>-65760.75</v>
      </c>
      <c r="F1565" s="5">
        <v>-34465.42</v>
      </c>
      <c r="G1565" s="5">
        <f t="shared" ref="G1565:G1566" si="811">F1565-E1565</f>
        <v>31295.33</v>
      </c>
      <c r="I1565" s="2"/>
    </row>
    <row r="1566" spans="1:9" x14ac:dyDescent="0.25">
      <c r="A1566" s="3"/>
      <c r="B1566" s="3"/>
      <c r="C1566" s="3" t="s">
        <v>53</v>
      </c>
      <c r="D1566" s="5">
        <v>-48680</v>
      </c>
      <c r="E1566" s="5">
        <f>-70576.29-635.28</f>
        <v>-71211.569999999992</v>
      </c>
      <c r="F1566" s="5">
        <v>-49805.35</v>
      </c>
      <c r="G1566" s="5">
        <f t="shared" si="811"/>
        <v>21406.219999999994</v>
      </c>
      <c r="I1566" s="2"/>
    </row>
    <row r="1567" spans="1:9" x14ac:dyDescent="0.25">
      <c r="A1567" s="3"/>
      <c r="B1567" s="3"/>
      <c r="C1567" s="41" t="s">
        <v>118</v>
      </c>
      <c r="D1567" s="42">
        <v>0</v>
      </c>
      <c r="E1567" s="42">
        <v>0</v>
      </c>
      <c r="F1567" s="42">
        <f>F1568</f>
        <v>-6.31</v>
      </c>
      <c r="G1567" s="42">
        <f>F1567-E1567</f>
        <v>-6.31</v>
      </c>
      <c r="I1567" s="2"/>
    </row>
    <row r="1568" spans="1:9" x14ac:dyDescent="0.25">
      <c r="A1568" s="3"/>
      <c r="B1568" s="3"/>
      <c r="C1568" s="3" t="s">
        <v>114</v>
      </c>
      <c r="D1568" s="5">
        <v>0</v>
      </c>
      <c r="E1568" s="5">
        <v>0</v>
      </c>
      <c r="F1568" s="5">
        <v>-6.31</v>
      </c>
      <c r="G1568" s="5">
        <f t="shared" ref="G1568" si="812">F1568-E1568</f>
        <v>-6.31</v>
      </c>
      <c r="I1568" s="2"/>
    </row>
    <row r="1569" spans="1:9" x14ac:dyDescent="0.25">
      <c r="A1569" s="41"/>
      <c r="B1569" s="41"/>
      <c r="C1569" s="41" t="s">
        <v>119</v>
      </c>
      <c r="D1569" s="42">
        <f>SUM(D1571:D1572)</f>
        <v>-299481</v>
      </c>
      <c r="E1569" s="42">
        <f>E1570</f>
        <v>-296835.98</v>
      </c>
      <c r="F1569" s="42">
        <f>SUM(F1571:F1572)</f>
        <v>-292958.90000000002</v>
      </c>
      <c r="G1569" s="42">
        <f>F1569-E1569</f>
        <v>3877.0799999999581</v>
      </c>
      <c r="I1569" s="2"/>
    </row>
    <row r="1570" spans="1:9" x14ac:dyDescent="0.25">
      <c r="A1570" s="41"/>
      <c r="B1570" s="41"/>
      <c r="C1570" s="3" t="s">
        <v>193</v>
      </c>
      <c r="D1570" s="5">
        <v>0</v>
      </c>
      <c r="E1570" s="5">
        <v>-296835.98</v>
      </c>
      <c r="F1570" s="5">
        <v>0</v>
      </c>
      <c r="G1570" s="5">
        <f t="shared" ref="G1570" si="813">F1570-E1570</f>
        <v>296835.98</v>
      </c>
      <c r="I1570" s="2"/>
    </row>
    <row r="1571" spans="1:9" x14ac:dyDescent="0.25">
      <c r="A1571" s="3"/>
      <c r="B1571" s="3"/>
      <c r="C1571" s="3" t="s">
        <v>52</v>
      </c>
      <c r="D1571" s="5">
        <v>-192194</v>
      </c>
      <c r="E1571" s="5">
        <v>0</v>
      </c>
      <c r="F1571" s="5">
        <v>-208329.42</v>
      </c>
      <c r="G1571" s="5">
        <f t="shared" ref="G1571:G1572" si="814">F1571-E1571</f>
        <v>-208329.42</v>
      </c>
      <c r="I1571" s="2"/>
    </row>
    <row r="1572" spans="1:9" x14ac:dyDescent="0.25">
      <c r="A1572" s="41"/>
      <c r="B1572" s="41"/>
      <c r="C1572" s="3" t="s">
        <v>53</v>
      </c>
      <c r="D1572" s="5">
        <v>-107287</v>
      </c>
      <c r="E1572" s="5">
        <v>0</v>
      </c>
      <c r="F1572" s="5">
        <v>-84629.48</v>
      </c>
      <c r="G1572" s="5">
        <f t="shared" si="814"/>
        <v>-84629.48</v>
      </c>
      <c r="I1572" s="2"/>
    </row>
    <row r="1573" spans="1:9" x14ac:dyDescent="0.25">
      <c r="A1573" s="41"/>
      <c r="B1573" s="41"/>
      <c r="C1573" s="41" t="s">
        <v>120</v>
      </c>
      <c r="D1573" s="42">
        <f>SUM(D1575:D1576)</f>
        <v>-48222</v>
      </c>
      <c r="E1573" s="42">
        <f>E1574</f>
        <v>-24682.54</v>
      </c>
      <c r="F1573" s="42">
        <f>SUM(F1575:F1577)</f>
        <v>-18335.559999999998</v>
      </c>
      <c r="G1573" s="42">
        <f>F1573-E1573</f>
        <v>6346.9800000000032</v>
      </c>
      <c r="I1573" s="2"/>
    </row>
    <row r="1574" spans="1:9" x14ac:dyDescent="0.25">
      <c r="A1574" s="41"/>
      <c r="B1574" s="41"/>
      <c r="C1574" s="3" t="s">
        <v>193</v>
      </c>
      <c r="D1574" s="5">
        <v>0</v>
      </c>
      <c r="E1574" s="5">
        <v>-24682.54</v>
      </c>
      <c r="F1574" s="5">
        <v>0</v>
      </c>
      <c r="G1574" s="5">
        <f t="shared" ref="G1574" si="815">F1574-E1574</f>
        <v>24682.54</v>
      </c>
      <c r="I1574" s="2"/>
    </row>
    <row r="1575" spans="1:9" x14ac:dyDescent="0.25">
      <c r="A1575" s="3"/>
      <c r="B1575" s="3"/>
      <c r="C1575" s="3" t="s">
        <v>52</v>
      </c>
      <c r="D1575" s="5">
        <v>-33133</v>
      </c>
      <c r="E1575" s="5">
        <v>0</v>
      </c>
      <c r="F1575" s="5">
        <v>-17510.16</v>
      </c>
      <c r="G1575" s="5">
        <f t="shared" ref="G1575:G1576" si="816">F1575-E1575</f>
        <v>-17510.16</v>
      </c>
      <c r="I1575" s="2"/>
    </row>
    <row r="1576" spans="1:9" x14ac:dyDescent="0.25">
      <c r="A1576" s="41"/>
      <c r="B1576" s="41"/>
      <c r="C1576" s="3" t="s">
        <v>53</v>
      </c>
      <c r="D1576" s="5">
        <v>-15089</v>
      </c>
      <c r="E1576" s="5">
        <v>0</v>
      </c>
      <c r="F1576" s="5">
        <v>-589.66999999999996</v>
      </c>
      <c r="G1576" s="5">
        <f t="shared" si="816"/>
        <v>-589.66999999999996</v>
      </c>
      <c r="I1576" s="2"/>
    </row>
    <row r="1577" spans="1:9" x14ac:dyDescent="0.25">
      <c r="A1577" s="41"/>
      <c r="B1577" s="41"/>
      <c r="C1577" s="3" t="s">
        <v>54</v>
      </c>
      <c r="D1577" s="5">
        <v>0</v>
      </c>
      <c r="E1577" s="5">
        <v>0</v>
      </c>
      <c r="F1577" s="5">
        <v>-235.73</v>
      </c>
      <c r="G1577" s="5">
        <f t="shared" ref="G1577" si="817">F1577-E1577</f>
        <v>-235.73</v>
      </c>
      <c r="I1577" s="2"/>
    </row>
    <row r="1578" spans="1:9" s="39" customFormat="1" x14ac:dyDescent="0.25">
      <c r="A1578" s="41"/>
      <c r="B1578" s="41"/>
      <c r="C1578" s="41" t="s">
        <v>121</v>
      </c>
      <c r="D1578" s="42">
        <v>-1992</v>
      </c>
      <c r="E1578" s="42">
        <f>D1578</f>
        <v>-1992</v>
      </c>
      <c r="F1578" s="5">
        <v>-191.22</v>
      </c>
      <c r="G1578" s="42">
        <f>F1578-E1578</f>
        <v>1800.78</v>
      </c>
      <c r="H1578" s="25"/>
      <c r="I1578" s="2"/>
    </row>
    <row r="1579" spans="1:9" s="39" customFormat="1" x14ac:dyDescent="0.25">
      <c r="A1579" s="41"/>
      <c r="B1579" s="39" t="s">
        <v>195</v>
      </c>
      <c r="C1579" s="41"/>
      <c r="D1579" s="42">
        <f>SUM(D1580:D1583)</f>
        <v>0</v>
      </c>
      <c r="E1579" s="42">
        <f t="shared" ref="E1579:F1579" si="818">SUM(E1580:E1583)</f>
        <v>-378706.41</v>
      </c>
      <c r="F1579" s="42">
        <f t="shared" si="818"/>
        <v>-239764.46000000002</v>
      </c>
      <c r="G1579" s="42">
        <f>F1579-E1579</f>
        <v>138941.94999999995</v>
      </c>
      <c r="H1579" s="25"/>
      <c r="I1579" s="2"/>
    </row>
    <row r="1580" spans="1:9" s="39" customFormat="1" x14ac:dyDescent="0.25">
      <c r="A1580" s="41"/>
      <c r="B1580" s="41"/>
      <c r="C1580" s="3" t="s">
        <v>193</v>
      </c>
      <c r="D1580" s="42">
        <v>0</v>
      </c>
      <c r="E1580" s="5">
        <f>E1590</f>
        <v>-7044.46</v>
      </c>
      <c r="F1580" s="5">
        <v>0</v>
      </c>
      <c r="G1580" s="5">
        <f t="shared" ref="G1580:G1583" si="819">F1580-E1580</f>
        <v>7044.46</v>
      </c>
      <c r="H1580" s="25"/>
      <c r="I1580" s="2"/>
    </row>
    <row r="1581" spans="1:9" s="39" customFormat="1" x14ac:dyDescent="0.25">
      <c r="A1581" s="41"/>
      <c r="B1581" s="3"/>
      <c r="C1581" s="3" t="s">
        <v>52</v>
      </c>
      <c r="D1581" s="5">
        <f>D1585+D1591</f>
        <v>0</v>
      </c>
      <c r="E1581" s="5">
        <f t="shared" ref="E1581:F1581" si="820">E1585+E1591</f>
        <v>-136092.62</v>
      </c>
      <c r="F1581" s="5">
        <f t="shared" si="820"/>
        <v>-130803.79000000001</v>
      </c>
      <c r="G1581" s="5">
        <f t="shared" si="819"/>
        <v>5288.8299999999872</v>
      </c>
      <c r="H1581" s="25"/>
      <c r="I1581" s="2"/>
    </row>
    <row r="1582" spans="1:9" s="39" customFormat="1" x14ac:dyDescent="0.25">
      <c r="A1582" s="41"/>
      <c r="B1582" s="3"/>
      <c r="C1582" s="3" t="s">
        <v>53</v>
      </c>
      <c r="D1582" s="5">
        <f>D1586+D1592</f>
        <v>0</v>
      </c>
      <c r="E1582" s="5">
        <f t="shared" ref="E1582:F1582" si="821">E1586+E1592</f>
        <v>-235569.33</v>
      </c>
      <c r="F1582" s="5">
        <f t="shared" si="821"/>
        <v>-16355.94</v>
      </c>
      <c r="G1582" s="5">
        <f t="shared" si="819"/>
        <v>219213.38999999998</v>
      </c>
      <c r="H1582" s="25"/>
      <c r="I1582" s="2"/>
    </row>
    <row r="1583" spans="1:9" s="39" customFormat="1" x14ac:dyDescent="0.25">
      <c r="A1583" s="41"/>
      <c r="B1583" s="3"/>
      <c r="C1583" s="3" t="s">
        <v>114</v>
      </c>
      <c r="D1583" s="5">
        <f>D1593+D1588</f>
        <v>0</v>
      </c>
      <c r="E1583" s="5">
        <f t="shared" ref="E1583:F1583" si="822">E1593+E1588</f>
        <v>0</v>
      </c>
      <c r="F1583" s="5">
        <f t="shared" si="822"/>
        <v>-92604.73</v>
      </c>
      <c r="G1583" s="5">
        <f t="shared" si="819"/>
        <v>-92604.73</v>
      </c>
      <c r="H1583" s="25"/>
      <c r="I1583" s="2"/>
    </row>
    <row r="1584" spans="1:9" s="39" customFormat="1" x14ac:dyDescent="0.25">
      <c r="A1584" s="41"/>
      <c r="B1584" s="41"/>
      <c r="C1584" s="41" t="s">
        <v>117</v>
      </c>
      <c r="D1584" s="42">
        <f>SUM(D1585:D1586)</f>
        <v>0</v>
      </c>
      <c r="E1584" s="42">
        <f>SUM(E1585:E1586)</f>
        <v>-371661.94999999995</v>
      </c>
      <c r="F1584" s="42">
        <f>SUM(F1585:F1586)</f>
        <v>-142443.1</v>
      </c>
      <c r="G1584" s="42">
        <f>F1584-E1584</f>
        <v>229218.84999999995</v>
      </c>
      <c r="H1584" s="25"/>
      <c r="I1584" s="2"/>
    </row>
    <row r="1585" spans="1:9" s="39" customFormat="1" x14ac:dyDescent="0.25">
      <c r="A1585" s="41"/>
      <c r="B1585" s="3"/>
      <c r="C1585" s="3" t="s">
        <v>52</v>
      </c>
      <c r="D1585" s="5">
        <v>0</v>
      </c>
      <c r="E1585" s="5">
        <v>-136092.62</v>
      </c>
      <c r="F1585" s="5">
        <v>-126349.27</v>
      </c>
      <c r="G1585" s="5">
        <f t="shared" ref="G1585:G1588" si="823">F1585-E1585</f>
        <v>9743.3499999999913</v>
      </c>
      <c r="H1585" s="25"/>
      <c r="I1585" s="2"/>
    </row>
    <row r="1586" spans="1:9" s="39" customFormat="1" x14ac:dyDescent="0.25">
      <c r="A1586" s="41"/>
      <c r="B1586" s="3"/>
      <c r="C1586" s="3" t="s">
        <v>53</v>
      </c>
      <c r="D1586" s="5">
        <v>0</v>
      </c>
      <c r="E1586" s="5">
        <v>-235569.33</v>
      </c>
      <c r="F1586" s="5">
        <v>-16093.83</v>
      </c>
      <c r="G1586" s="5">
        <f t="shared" si="823"/>
        <v>219475.5</v>
      </c>
      <c r="H1586" s="25"/>
      <c r="I1586" s="2"/>
    </row>
    <row r="1587" spans="1:9" s="39" customFormat="1" x14ac:dyDescent="0.25">
      <c r="A1587" s="41"/>
      <c r="B1587" s="41"/>
      <c r="C1587" s="41" t="s">
        <v>118</v>
      </c>
      <c r="D1587" s="42">
        <f>D1588</f>
        <v>0</v>
      </c>
      <c r="E1587" s="42">
        <f t="shared" ref="E1587:F1587" si="824">E1588</f>
        <v>0</v>
      </c>
      <c r="F1587" s="42">
        <f t="shared" si="824"/>
        <v>0.03</v>
      </c>
      <c r="G1587" s="42">
        <f t="shared" si="823"/>
        <v>0.03</v>
      </c>
      <c r="H1587" s="25"/>
      <c r="I1587" s="2"/>
    </row>
    <row r="1588" spans="1:9" s="39" customFormat="1" x14ac:dyDescent="0.25">
      <c r="A1588" s="41"/>
      <c r="B1588" s="3"/>
      <c r="C1588" s="3" t="s">
        <v>54</v>
      </c>
      <c r="D1588" s="5">
        <v>0</v>
      </c>
      <c r="E1588" s="5">
        <v>0</v>
      </c>
      <c r="F1588" s="5">
        <v>0.03</v>
      </c>
      <c r="G1588" s="5">
        <f t="shared" si="823"/>
        <v>0.03</v>
      </c>
      <c r="H1588" s="25"/>
      <c r="I1588" s="2"/>
    </row>
    <row r="1589" spans="1:9" s="39" customFormat="1" x14ac:dyDescent="0.25">
      <c r="A1589" s="41"/>
      <c r="B1589" s="41"/>
      <c r="C1589" s="41" t="s">
        <v>119</v>
      </c>
      <c r="D1589" s="42">
        <f>SUM(D1590:D1592)</f>
        <v>0</v>
      </c>
      <c r="E1589" s="42">
        <f t="shared" ref="E1589:F1589" si="825">SUM(E1590:E1592)</f>
        <v>-7044.46</v>
      </c>
      <c r="F1589" s="42">
        <f t="shared" si="825"/>
        <v>-4716.63</v>
      </c>
      <c r="G1589" s="42">
        <f>F1589-E1589</f>
        <v>2327.83</v>
      </c>
      <c r="H1589" s="25"/>
      <c r="I1589" s="2"/>
    </row>
    <row r="1590" spans="1:9" s="39" customFormat="1" x14ac:dyDescent="0.25">
      <c r="A1590" s="41"/>
      <c r="B1590" s="41"/>
      <c r="C1590" s="3" t="s">
        <v>193</v>
      </c>
      <c r="D1590" s="42">
        <v>0</v>
      </c>
      <c r="E1590" s="5">
        <v>-7044.46</v>
      </c>
      <c r="F1590" s="5">
        <v>0</v>
      </c>
      <c r="G1590" s="5">
        <f t="shared" ref="G1590:G1592" si="826">F1590-E1590</f>
        <v>7044.46</v>
      </c>
      <c r="H1590" s="25"/>
      <c r="I1590" s="2"/>
    </row>
    <row r="1591" spans="1:9" s="39" customFormat="1" x14ac:dyDescent="0.25">
      <c r="A1591" s="41"/>
      <c r="B1591" s="3"/>
      <c r="C1591" s="3" t="s">
        <v>52</v>
      </c>
      <c r="D1591" s="5">
        <v>0</v>
      </c>
      <c r="E1591" s="5">
        <v>0</v>
      </c>
      <c r="F1591" s="5">
        <v>-4454.5200000000004</v>
      </c>
      <c r="G1591" s="5">
        <f t="shared" si="826"/>
        <v>-4454.5200000000004</v>
      </c>
      <c r="H1591" s="25"/>
      <c r="I1591" s="2"/>
    </row>
    <row r="1592" spans="1:9" s="39" customFormat="1" x14ac:dyDescent="0.25">
      <c r="A1592" s="41"/>
      <c r="B1592" s="41"/>
      <c r="C1592" s="3" t="s">
        <v>53</v>
      </c>
      <c r="D1592" s="5">
        <v>0</v>
      </c>
      <c r="E1592" s="5">
        <v>0</v>
      </c>
      <c r="F1592" s="5">
        <v>-262.11</v>
      </c>
      <c r="G1592" s="5">
        <f t="shared" si="826"/>
        <v>-262.11</v>
      </c>
      <c r="H1592" s="25"/>
      <c r="I1592" s="2"/>
    </row>
    <row r="1593" spans="1:9" s="39" customFormat="1" x14ac:dyDescent="0.25">
      <c r="A1593" s="41"/>
      <c r="B1593" s="41"/>
      <c r="C1593" s="41" t="s">
        <v>121</v>
      </c>
      <c r="D1593" s="42">
        <v>0</v>
      </c>
      <c r="E1593" s="42">
        <f>D1593</f>
        <v>0</v>
      </c>
      <c r="F1593" s="5">
        <v>-92604.76</v>
      </c>
      <c r="G1593" s="42">
        <f>F1593-E1593</f>
        <v>-92604.76</v>
      </c>
      <c r="H1593" s="25"/>
      <c r="I1593" s="2"/>
    </row>
    <row r="1594" spans="1:9" s="39" customFormat="1" ht="15.75" x14ac:dyDescent="0.25">
      <c r="A1594" s="71" t="s">
        <v>183</v>
      </c>
      <c r="B1594" s="41"/>
      <c r="C1594" s="41"/>
      <c r="D1594" s="42">
        <f>SUM(D1595:D1599)</f>
        <v>-30622887</v>
      </c>
      <c r="E1594" s="42">
        <f>SUM(E1595:E1599)</f>
        <v>-38525623.980000004</v>
      </c>
      <c r="F1594" s="42">
        <f>SUM(F1595:F1599)</f>
        <v>-24581684.060000002</v>
      </c>
      <c r="G1594" s="42">
        <f t="shared" ref="G1594:G1599" si="827">F1594-E1594</f>
        <v>13943939.920000002</v>
      </c>
      <c r="H1594" s="25"/>
      <c r="I1594" s="2"/>
    </row>
    <row r="1595" spans="1:9" x14ac:dyDescent="0.25">
      <c r="A1595" s="3"/>
      <c r="B1595" s="3" t="s">
        <v>117</v>
      </c>
      <c r="C1595" s="3"/>
      <c r="D1595" s="5">
        <f>D1607</f>
        <v>-4157806</v>
      </c>
      <c r="E1595" s="5">
        <f>E1607+E1629</f>
        <v>-4431141.21</v>
      </c>
      <c r="F1595" s="5">
        <f>F1607+F1629</f>
        <v>-4310542.95</v>
      </c>
      <c r="G1595" s="5">
        <f t="shared" si="827"/>
        <v>120598.25999999978</v>
      </c>
      <c r="I1595" s="2"/>
    </row>
    <row r="1596" spans="1:9" x14ac:dyDescent="0.25">
      <c r="A1596" s="3"/>
      <c r="B1596" s="3" t="s">
        <v>118</v>
      </c>
      <c r="C1596" s="3"/>
      <c r="D1596" s="5">
        <v>0</v>
      </c>
      <c r="E1596" s="5">
        <v>0</v>
      </c>
      <c r="F1596" s="5">
        <f>F1613</f>
        <v>-123.83</v>
      </c>
      <c r="G1596" s="5">
        <f t="shared" si="827"/>
        <v>-123.83</v>
      </c>
      <c r="I1596" s="2"/>
    </row>
    <row r="1597" spans="1:9" x14ac:dyDescent="0.25">
      <c r="A1597" s="3"/>
      <c r="B1597" s="3" t="s">
        <v>119</v>
      </c>
      <c r="C1597" s="3"/>
      <c r="D1597" s="5">
        <f>D1615</f>
        <v>-15471349</v>
      </c>
      <c r="E1597" s="5">
        <f>E1615+E1634</f>
        <v>-401064.95</v>
      </c>
      <c r="F1597" s="5">
        <f>F1615+F1634</f>
        <v>-275459.56</v>
      </c>
      <c r="G1597" s="5">
        <f t="shared" si="827"/>
        <v>125605.39000000001</v>
      </c>
      <c r="I1597" s="2"/>
    </row>
    <row r="1598" spans="1:9" x14ac:dyDescent="0.25">
      <c r="A1598" s="3"/>
      <c r="B1598" s="3" t="s">
        <v>120</v>
      </c>
      <c r="C1598" s="3"/>
      <c r="D1598" s="5">
        <f>D1620</f>
        <v>-10971062</v>
      </c>
      <c r="E1598" s="5">
        <f t="shared" ref="E1598:F1598" si="828">E1620</f>
        <v>-33670747.82</v>
      </c>
      <c r="F1598" s="5">
        <f t="shared" si="828"/>
        <v>-19888830.010000002</v>
      </c>
      <c r="G1598" s="5">
        <f t="shared" si="827"/>
        <v>13781917.809999999</v>
      </c>
      <c r="I1598" s="2"/>
    </row>
    <row r="1599" spans="1:9" x14ac:dyDescent="0.25">
      <c r="A1599" s="3"/>
      <c r="B1599" s="3" t="s">
        <v>121</v>
      </c>
      <c r="C1599" s="3"/>
      <c r="D1599" s="5">
        <f>D1623</f>
        <v>-22670</v>
      </c>
      <c r="E1599" s="5">
        <f t="shared" ref="E1599" si="829">E1623</f>
        <v>-22670</v>
      </c>
      <c r="F1599" s="5">
        <f>F1623+F1638</f>
        <v>-106727.70999999999</v>
      </c>
      <c r="G1599" s="5">
        <f t="shared" si="827"/>
        <v>-84057.709999999992</v>
      </c>
      <c r="I1599" s="2"/>
    </row>
    <row r="1600" spans="1:9" x14ac:dyDescent="0.25">
      <c r="A1600" s="41"/>
      <c r="B1600" s="41" t="s">
        <v>87</v>
      </c>
      <c r="C1600" s="41"/>
      <c r="D1600" s="42">
        <f>SUM(D1602:D1606)</f>
        <v>-30622887</v>
      </c>
      <c r="E1600" s="42">
        <f>SUM(E1601:E1606)</f>
        <v>-38423906.090000004</v>
      </c>
      <c r="F1600" s="42">
        <f>SUM(F1602:F1606)</f>
        <v>-24433575.82</v>
      </c>
      <c r="G1600" s="42">
        <f>F1600-E1600</f>
        <v>13990330.270000003</v>
      </c>
      <c r="I1600" s="2"/>
    </row>
    <row r="1601" spans="1:9" x14ac:dyDescent="0.25">
      <c r="A1601" s="41"/>
      <c r="B1601" s="41"/>
      <c r="C1601" s="3" t="s">
        <v>193</v>
      </c>
      <c r="D1601" s="5">
        <v>0</v>
      </c>
      <c r="E1601" s="5">
        <f>E1616+E1621</f>
        <v>-34067461.240000002</v>
      </c>
      <c r="F1601" s="5">
        <v>0</v>
      </c>
      <c r="G1601" s="5">
        <f t="shared" ref="G1601" si="830">F1601-E1601</f>
        <v>34067461.240000002</v>
      </c>
      <c r="I1601" s="2"/>
    </row>
    <row r="1602" spans="1:9" x14ac:dyDescent="0.25">
      <c r="A1602" s="3"/>
      <c r="B1602" s="3"/>
      <c r="C1602" s="3" t="s">
        <v>52</v>
      </c>
      <c r="D1602" s="5">
        <f>D1608+D1617</f>
        <v>-1531794</v>
      </c>
      <c r="E1602" s="5">
        <f>E1608+E1617</f>
        <v>-1567291.15</v>
      </c>
      <c r="F1602" s="5">
        <f>F1608+F1617</f>
        <v>-1670051.57</v>
      </c>
      <c r="G1602" s="5">
        <f t="shared" ref="G1602:G1606" si="831">F1602-E1602</f>
        <v>-102760.42000000016</v>
      </c>
      <c r="I1602" s="2"/>
    </row>
    <row r="1603" spans="1:9" x14ac:dyDescent="0.25">
      <c r="A1603" s="3"/>
      <c r="B1603" s="3"/>
      <c r="C1603" s="3" t="s">
        <v>53</v>
      </c>
      <c r="D1603" s="5">
        <f>D1609+D1618</f>
        <v>-351394</v>
      </c>
      <c r="E1603" s="5">
        <f t="shared" ref="E1603" si="832">E1609+E1618</f>
        <v>-152765.24</v>
      </c>
      <c r="F1603" s="5">
        <f>F1609+F1618</f>
        <v>-271991.81</v>
      </c>
      <c r="G1603" s="5">
        <f t="shared" si="831"/>
        <v>-119226.57</v>
      </c>
      <c r="I1603" s="2"/>
    </row>
    <row r="1604" spans="1:9" x14ac:dyDescent="0.25">
      <c r="A1604" s="3"/>
      <c r="B1604" s="3"/>
      <c r="C1604" s="92" t="s">
        <v>122</v>
      </c>
      <c r="D1604" s="91">
        <f>D1610+D1619+D1622</f>
        <v>-28731352</v>
      </c>
      <c r="E1604" s="5">
        <f t="shared" ref="E1604" si="833">E1610+E1619+E1622</f>
        <v>-2403481.29</v>
      </c>
      <c r="F1604" s="5">
        <f>F1610+F1619+F1622</f>
        <v>-22292311.300000001</v>
      </c>
      <c r="G1604" s="5">
        <f t="shared" si="831"/>
        <v>-19888830.010000002</v>
      </c>
      <c r="H1604" s="100"/>
      <c r="I1604" s="2"/>
    </row>
    <row r="1605" spans="1:9" x14ac:dyDescent="0.25">
      <c r="A1605" s="3"/>
      <c r="B1605" s="3"/>
      <c r="C1605" s="92" t="s">
        <v>113</v>
      </c>
      <c r="D1605" s="91">
        <f>D1611</f>
        <v>14323</v>
      </c>
      <c r="E1605" s="5">
        <f t="shared" ref="E1605:F1605" si="834">E1611</f>
        <v>-210237.17</v>
      </c>
      <c r="F1605" s="5">
        <f t="shared" si="834"/>
        <v>-149405.60999999999</v>
      </c>
      <c r="G1605" s="5">
        <f t="shared" si="831"/>
        <v>60831.560000000027</v>
      </c>
      <c r="I1605" s="2"/>
    </row>
    <row r="1606" spans="1:9" x14ac:dyDescent="0.25">
      <c r="A1606" s="3"/>
      <c r="B1606" s="3"/>
      <c r="C1606" s="92" t="s">
        <v>114</v>
      </c>
      <c r="D1606" s="91">
        <f>D1623</f>
        <v>-22670</v>
      </c>
      <c r="E1606" s="5">
        <f>E1623</f>
        <v>-22670</v>
      </c>
      <c r="F1606" s="5">
        <f>F1623+F1612+F1614</f>
        <v>-49815.530000000006</v>
      </c>
      <c r="G1606" s="5">
        <f t="shared" si="831"/>
        <v>-27145.530000000006</v>
      </c>
      <c r="I1606" s="2"/>
    </row>
    <row r="1607" spans="1:9" x14ac:dyDescent="0.25">
      <c r="A1607" s="41"/>
      <c r="B1607" s="41"/>
      <c r="C1607" s="99" t="s">
        <v>117</v>
      </c>
      <c r="D1607" s="90">
        <f>SUM(D1608:D1611)</f>
        <v>-4157806</v>
      </c>
      <c r="E1607" s="42">
        <f t="shared" ref="E1607" si="835">SUM(E1608:E1611)</f>
        <v>-4333774.8499999996</v>
      </c>
      <c r="F1607" s="42">
        <f>SUM(F1608:F1612)</f>
        <v>-4222552.45</v>
      </c>
      <c r="G1607" s="42">
        <f>F1607-E1607</f>
        <v>111222.39999999944</v>
      </c>
      <c r="I1607" s="2"/>
    </row>
    <row r="1608" spans="1:9" x14ac:dyDescent="0.25">
      <c r="A1608" s="3"/>
      <c r="B1608" s="3"/>
      <c r="C1608" s="92" t="s">
        <v>52</v>
      </c>
      <c r="D1608" s="91">
        <v>-1428238</v>
      </c>
      <c r="E1608" s="5">
        <v>-1567291.15</v>
      </c>
      <c r="F1608" s="5">
        <v>-1537347.99</v>
      </c>
      <c r="G1608" s="5">
        <f t="shared" ref="G1608:G1612" si="836">F1608-E1608</f>
        <v>29943.159999999916</v>
      </c>
      <c r="I1608" s="2"/>
    </row>
    <row r="1609" spans="1:9" x14ac:dyDescent="0.25">
      <c r="A1609" s="3"/>
      <c r="B1609" s="3"/>
      <c r="C1609" s="92" t="s">
        <v>53</v>
      </c>
      <c r="D1609" s="91">
        <v>-340410</v>
      </c>
      <c r="E1609" s="5">
        <f>-150272.27-2492.97</f>
        <v>-152765.24</v>
      </c>
      <c r="F1609" s="5">
        <v>-132149.4</v>
      </c>
      <c r="G1609" s="5">
        <f t="shared" si="836"/>
        <v>20615.839999999997</v>
      </c>
      <c r="I1609" s="2"/>
    </row>
    <row r="1610" spans="1:9" x14ac:dyDescent="0.25">
      <c r="A1610" s="3"/>
      <c r="B1610" s="3"/>
      <c r="C1610" s="92" t="s">
        <v>122</v>
      </c>
      <c r="D1610" s="91">
        <v>-2403481</v>
      </c>
      <c r="E1610" s="5">
        <v>-2403481.29</v>
      </c>
      <c r="F1610" s="5">
        <v>-2403481.29</v>
      </c>
      <c r="G1610" s="5">
        <f t="shared" si="836"/>
        <v>0</v>
      </c>
      <c r="H1610" s="25" t="s">
        <v>123</v>
      </c>
      <c r="I1610" s="2"/>
    </row>
    <row r="1611" spans="1:9" x14ac:dyDescent="0.25">
      <c r="A1611" s="3"/>
      <c r="B1611" s="3"/>
      <c r="C1611" s="92" t="s">
        <v>113</v>
      </c>
      <c r="D1611" s="91">
        <f>-2389158+2403481</f>
        <v>14323</v>
      </c>
      <c r="E1611" s="5">
        <v>-210237.17</v>
      </c>
      <c r="F1611" s="5">
        <v>-149405.60999999999</v>
      </c>
      <c r="G1611" s="5">
        <f t="shared" si="836"/>
        <v>60831.560000000027</v>
      </c>
      <c r="I1611" s="2"/>
    </row>
    <row r="1612" spans="1:9" x14ac:dyDescent="0.25">
      <c r="A1612" s="3"/>
      <c r="B1612" s="3"/>
      <c r="C1612" s="3" t="s">
        <v>54</v>
      </c>
      <c r="D1612" s="5">
        <v>0</v>
      </c>
      <c r="E1612" s="5">
        <v>0</v>
      </c>
      <c r="F1612" s="5">
        <v>-168.16</v>
      </c>
      <c r="G1612" s="5">
        <f t="shared" si="836"/>
        <v>-168.16</v>
      </c>
      <c r="I1612" s="2"/>
    </row>
    <row r="1613" spans="1:9" x14ac:dyDescent="0.25">
      <c r="A1613" s="3"/>
      <c r="B1613" s="3"/>
      <c r="C1613" s="41" t="s">
        <v>118</v>
      </c>
      <c r="D1613" s="42">
        <v>0</v>
      </c>
      <c r="E1613" s="42">
        <v>0</v>
      </c>
      <c r="F1613" s="42">
        <f>F1614</f>
        <v>-123.83</v>
      </c>
      <c r="G1613" s="42">
        <f>F1613-E1613</f>
        <v>-123.83</v>
      </c>
      <c r="I1613" s="2"/>
    </row>
    <row r="1614" spans="1:9" x14ac:dyDescent="0.25">
      <c r="A1614" s="3"/>
      <c r="B1614" s="3"/>
      <c r="C1614" s="3" t="s">
        <v>114</v>
      </c>
      <c r="D1614" s="5">
        <v>0</v>
      </c>
      <c r="E1614" s="5">
        <v>0</v>
      </c>
      <c r="F1614" s="5">
        <v>-123.83</v>
      </c>
      <c r="G1614" s="5">
        <f t="shared" ref="G1614" si="837">F1614-E1614</f>
        <v>-123.83</v>
      </c>
      <c r="I1614" s="2"/>
    </row>
    <row r="1615" spans="1:9" x14ac:dyDescent="0.25">
      <c r="A1615" s="41"/>
      <c r="B1615" s="41"/>
      <c r="C1615" s="41" t="s">
        <v>119</v>
      </c>
      <c r="D1615" s="42">
        <f>SUM(D1617:D1619)</f>
        <v>-15471349</v>
      </c>
      <c r="E1615" s="42">
        <f>E1616</f>
        <v>-396713.42</v>
      </c>
      <c r="F1615" s="42">
        <f>SUM(F1617:F1619)</f>
        <v>-272545.99</v>
      </c>
      <c r="G1615" s="42">
        <f>F1615-E1615</f>
        <v>124167.43</v>
      </c>
      <c r="I1615" s="2"/>
    </row>
    <row r="1616" spans="1:9" x14ac:dyDescent="0.25">
      <c r="A1616" s="41"/>
      <c r="B1616" s="41"/>
      <c r="C1616" s="3" t="s">
        <v>193</v>
      </c>
      <c r="D1616" s="5">
        <v>0</v>
      </c>
      <c r="E1616" s="5">
        <v>-396713.42</v>
      </c>
      <c r="F1616" s="5"/>
      <c r="G1616" s="5">
        <f t="shared" ref="G1616" si="838">F1616-E1616</f>
        <v>396713.42</v>
      </c>
      <c r="I1616" s="2"/>
    </row>
    <row r="1617" spans="1:9" x14ac:dyDescent="0.25">
      <c r="A1617" s="3"/>
      <c r="B1617" s="3"/>
      <c r="C1617" s="3" t="s">
        <v>52</v>
      </c>
      <c r="D1617" s="5">
        <v>-103556</v>
      </c>
      <c r="E1617" s="5">
        <v>0</v>
      </c>
      <c r="F1617" s="5">
        <v>-132703.57999999999</v>
      </c>
      <c r="G1617" s="5">
        <f>F1617-E1617</f>
        <v>-132703.57999999999</v>
      </c>
      <c r="I1617" s="2"/>
    </row>
    <row r="1618" spans="1:9" x14ac:dyDescent="0.25">
      <c r="A1618" s="41"/>
      <c r="B1618" s="41"/>
      <c r="C1618" s="3" t="s">
        <v>53</v>
      </c>
      <c r="D1618" s="5">
        <v>-10984</v>
      </c>
      <c r="E1618" s="5">
        <v>0</v>
      </c>
      <c r="F1618" s="5">
        <v>-139842.41</v>
      </c>
      <c r="G1618" s="5">
        <f>F1618-E1618</f>
        <v>-139842.41</v>
      </c>
      <c r="I1618" s="2"/>
    </row>
    <row r="1619" spans="1:9" x14ac:dyDescent="0.25">
      <c r="A1619" s="3"/>
      <c r="B1619" s="3"/>
      <c r="C1619" s="3" t="s">
        <v>122</v>
      </c>
      <c r="D1619" s="5">
        <v>-15356809</v>
      </c>
      <c r="E1619" s="5">
        <v>0</v>
      </c>
      <c r="F1619" s="5">
        <v>0</v>
      </c>
      <c r="G1619" s="5">
        <f>F1619-E1619</f>
        <v>0</v>
      </c>
      <c r="H1619" s="25" t="s">
        <v>124</v>
      </c>
      <c r="I1619" s="2"/>
    </row>
    <row r="1620" spans="1:9" s="39" customFormat="1" x14ac:dyDescent="0.25">
      <c r="A1620" s="41"/>
      <c r="B1620" s="41"/>
      <c r="C1620" s="41" t="s">
        <v>120</v>
      </c>
      <c r="D1620" s="42">
        <f>D1622</f>
        <v>-10971062</v>
      </c>
      <c r="E1620" s="42">
        <f>E1621</f>
        <v>-33670747.82</v>
      </c>
      <c r="F1620" s="42">
        <f t="shared" ref="F1620" si="839">F1622</f>
        <v>-19888830.010000002</v>
      </c>
      <c r="G1620" s="42">
        <f>F1620-E1620</f>
        <v>13781917.809999999</v>
      </c>
      <c r="H1620" s="25"/>
      <c r="I1620" s="2"/>
    </row>
    <row r="1621" spans="1:9" s="39" customFormat="1" x14ac:dyDescent="0.25">
      <c r="A1621" s="41"/>
      <c r="B1621" s="41"/>
      <c r="C1621" s="3" t="s">
        <v>193</v>
      </c>
      <c r="D1621" s="5">
        <v>0</v>
      </c>
      <c r="E1621" s="5">
        <f>-33094668.95-576078.87</f>
        <v>-33670747.82</v>
      </c>
      <c r="F1621" s="5"/>
      <c r="G1621" s="5">
        <f t="shared" ref="G1621" si="840">F1621-E1621</f>
        <v>33670747.82</v>
      </c>
      <c r="H1621" s="25"/>
      <c r="I1621" s="2"/>
    </row>
    <row r="1622" spans="1:9" x14ac:dyDescent="0.25">
      <c r="A1622" s="41"/>
      <c r="B1622" s="41"/>
      <c r="C1622" s="92" t="s">
        <v>122</v>
      </c>
      <c r="D1622" s="91">
        <v>-10971062</v>
      </c>
      <c r="E1622" s="5">
        <v>0</v>
      </c>
      <c r="F1622" s="5">
        <v>-19888830.010000002</v>
      </c>
      <c r="G1622" s="5">
        <f t="shared" ref="G1622" si="841">F1622-E1622</f>
        <v>-19888830.010000002</v>
      </c>
      <c r="H1622" s="25" t="s">
        <v>124</v>
      </c>
      <c r="I1622" s="2"/>
    </row>
    <row r="1623" spans="1:9" s="39" customFormat="1" x14ac:dyDescent="0.25">
      <c r="A1623" s="41"/>
      <c r="B1623" s="41"/>
      <c r="C1623" s="3" t="s">
        <v>121</v>
      </c>
      <c r="D1623" s="42">
        <v>-22670</v>
      </c>
      <c r="E1623" s="42">
        <f>D1623</f>
        <v>-22670</v>
      </c>
      <c r="F1623" s="5">
        <v>-49523.54</v>
      </c>
      <c r="G1623" s="42">
        <f>F1623-E1623</f>
        <v>-26853.54</v>
      </c>
      <c r="H1623" s="25"/>
      <c r="I1623" s="2"/>
    </row>
    <row r="1624" spans="1:9" s="39" customFormat="1" x14ac:dyDescent="0.25">
      <c r="A1624" s="41"/>
      <c r="B1624" s="39" t="s">
        <v>195</v>
      </c>
      <c r="C1624" s="41"/>
      <c r="D1624" s="42">
        <f>SUM(D1625:D1628)</f>
        <v>0</v>
      </c>
      <c r="E1624" s="42">
        <f t="shared" ref="E1624:F1624" si="842">SUM(E1625:E1628)</f>
        <v>-101717.89</v>
      </c>
      <c r="F1624" s="42">
        <f t="shared" si="842"/>
        <v>-148108.21000000002</v>
      </c>
      <c r="G1624" s="42">
        <f>F1624-E1624</f>
        <v>-46390.320000000022</v>
      </c>
      <c r="H1624" s="25"/>
      <c r="I1624" s="2"/>
    </row>
    <row r="1625" spans="1:9" s="39" customFormat="1" x14ac:dyDescent="0.25">
      <c r="A1625" s="41"/>
      <c r="B1625" s="41"/>
      <c r="C1625" s="3" t="s">
        <v>193</v>
      </c>
      <c r="D1625" s="42">
        <v>0</v>
      </c>
      <c r="E1625" s="5">
        <f>E1635</f>
        <v>-4351.53</v>
      </c>
      <c r="F1625" s="5">
        <v>0</v>
      </c>
      <c r="G1625" s="5">
        <f t="shared" ref="G1625:G1628" si="843">F1625-E1625</f>
        <v>4351.53</v>
      </c>
      <c r="H1625" s="25"/>
      <c r="I1625" s="2"/>
    </row>
    <row r="1626" spans="1:9" s="39" customFormat="1" x14ac:dyDescent="0.25">
      <c r="A1626" s="41"/>
      <c r="B1626" s="3"/>
      <c r="C1626" s="3" t="s">
        <v>52</v>
      </c>
      <c r="D1626" s="5">
        <f>D1630+D1636</f>
        <v>0</v>
      </c>
      <c r="E1626" s="5">
        <f t="shared" ref="E1626:F1626" si="844">E1630+E1636</f>
        <v>-82120.710000000006</v>
      </c>
      <c r="F1626" s="5">
        <f t="shared" si="844"/>
        <v>-80800.61</v>
      </c>
      <c r="G1626" s="5">
        <f t="shared" si="843"/>
        <v>1320.1000000000058</v>
      </c>
      <c r="H1626" s="25"/>
      <c r="I1626" s="2"/>
    </row>
    <row r="1627" spans="1:9" s="39" customFormat="1" x14ac:dyDescent="0.25">
      <c r="A1627" s="41"/>
      <c r="B1627" s="3"/>
      <c r="C1627" s="3" t="s">
        <v>53</v>
      </c>
      <c r="D1627" s="5">
        <f>D1631+D1637</f>
        <v>0</v>
      </c>
      <c r="E1627" s="5">
        <f t="shared" ref="E1627:F1627" si="845">E1631+E1637</f>
        <v>-15245.65</v>
      </c>
      <c r="F1627" s="5">
        <f t="shared" si="845"/>
        <v>-10103.459999999999</v>
      </c>
      <c r="G1627" s="5">
        <f t="shared" si="843"/>
        <v>5142.1900000000005</v>
      </c>
      <c r="H1627" s="25"/>
      <c r="I1627" s="2"/>
    </row>
    <row r="1628" spans="1:9" s="39" customFormat="1" x14ac:dyDescent="0.25">
      <c r="A1628" s="41"/>
      <c r="B1628" s="3"/>
      <c r="C1628" s="3" t="s">
        <v>114</v>
      </c>
      <c r="D1628" s="5">
        <f>D1638+D1633</f>
        <v>0</v>
      </c>
      <c r="E1628" s="5">
        <f t="shared" ref="E1628:F1628" si="846">E1638+E1633</f>
        <v>0</v>
      </c>
      <c r="F1628" s="5">
        <f t="shared" si="846"/>
        <v>-57204.14</v>
      </c>
      <c r="G1628" s="5">
        <f t="shared" si="843"/>
        <v>-57204.14</v>
      </c>
      <c r="H1628" s="25"/>
      <c r="I1628" s="2"/>
    </row>
    <row r="1629" spans="1:9" s="39" customFormat="1" x14ac:dyDescent="0.25">
      <c r="A1629" s="41"/>
      <c r="B1629" s="41"/>
      <c r="C1629" s="41" t="s">
        <v>117</v>
      </c>
      <c r="D1629" s="42">
        <f>SUM(D1630:D1631)</f>
        <v>0</v>
      </c>
      <c r="E1629" s="42">
        <f>SUM(E1630:E1631)</f>
        <v>-97366.36</v>
      </c>
      <c r="F1629" s="42">
        <f>SUM(F1630:F1631)</f>
        <v>-87990.5</v>
      </c>
      <c r="G1629" s="42">
        <f>F1629-E1629</f>
        <v>9375.86</v>
      </c>
      <c r="H1629" s="25"/>
      <c r="I1629" s="2"/>
    </row>
    <row r="1630" spans="1:9" s="39" customFormat="1" x14ac:dyDescent="0.25">
      <c r="A1630" s="41"/>
      <c r="B1630" s="3"/>
      <c r="C1630" s="3" t="s">
        <v>52</v>
      </c>
      <c r="D1630" s="5">
        <v>0</v>
      </c>
      <c r="E1630" s="5">
        <v>-82120.710000000006</v>
      </c>
      <c r="F1630" s="5">
        <v>-78048.95</v>
      </c>
      <c r="G1630" s="5">
        <f t="shared" ref="G1630:G1633" si="847">F1630-E1630</f>
        <v>4071.7600000000093</v>
      </c>
      <c r="H1630" s="25"/>
      <c r="I1630" s="2"/>
    </row>
    <row r="1631" spans="1:9" s="39" customFormat="1" x14ac:dyDescent="0.25">
      <c r="A1631" s="41"/>
      <c r="B1631" s="3"/>
      <c r="C1631" s="3" t="s">
        <v>53</v>
      </c>
      <c r="D1631" s="5">
        <v>0</v>
      </c>
      <c r="E1631" s="5">
        <v>-15245.65</v>
      </c>
      <c r="F1631" s="5">
        <v>-9941.5499999999993</v>
      </c>
      <c r="G1631" s="5">
        <f t="shared" si="847"/>
        <v>5304.1</v>
      </c>
      <c r="H1631" s="25"/>
      <c r="I1631" s="2"/>
    </row>
    <row r="1632" spans="1:9" s="39" customFormat="1" x14ac:dyDescent="0.25">
      <c r="A1632" s="41"/>
      <c r="B1632" s="41"/>
      <c r="C1632" s="41" t="s">
        <v>118</v>
      </c>
      <c r="D1632" s="42">
        <f>D1633</f>
        <v>0</v>
      </c>
      <c r="E1632" s="42">
        <f t="shared" ref="E1632:F1632" si="848">E1633</f>
        <v>0</v>
      </c>
      <c r="F1632" s="42">
        <f t="shared" si="848"/>
        <v>0.03</v>
      </c>
      <c r="G1632" s="42">
        <f t="shared" si="847"/>
        <v>0.03</v>
      </c>
      <c r="H1632" s="25"/>
      <c r="I1632" s="2"/>
    </row>
    <row r="1633" spans="1:9" s="39" customFormat="1" x14ac:dyDescent="0.25">
      <c r="A1633" s="41"/>
      <c r="B1633" s="3"/>
      <c r="C1633" s="3" t="s">
        <v>54</v>
      </c>
      <c r="D1633" s="5">
        <v>0</v>
      </c>
      <c r="E1633" s="5">
        <v>0</v>
      </c>
      <c r="F1633" s="5">
        <v>0.03</v>
      </c>
      <c r="G1633" s="5">
        <f t="shared" si="847"/>
        <v>0.03</v>
      </c>
      <c r="H1633" s="25"/>
      <c r="I1633" s="2"/>
    </row>
    <row r="1634" spans="1:9" s="39" customFormat="1" x14ac:dyDescent="0.25">
      <c r="A1634" s="41"/>
      <c r="B1634" s="41"/>
      <c r="C1634" s="41" t="s">
        <v>119</v>
      </c>
      <c r="D1634" s="42">
        <f>SUM(D1635:D1637)</f>
        <v>0</v>
      </c>
      <c r="E1634" s="42">
        <f t="shared" ref="E1634:F1634" si="849">SUM(E1635:E1637)</f>
        <v>-4351.53</v>
      </c>
      <c r="F1634" s="42">
        <f t="shared" si="849"/>
        <v>-2913.5699999999997</v>
      </c>
      <c r="G1634" s="42">
        <f>F1634-E1634</f>
        <v>1437.96</v>
      </c>
      <c r="H1634" s="25"/>
      <c r="I1634" s="2"/>
    </row>
    <row r="1635" spans="1:9" s="39" customFormat="1" x14ac:dyDescent="0.25">
      <c r="A1635" s="41"/>
      <c r="B1635" s="41"/>
      <c r="C1635" s="3" t="s">
        <v>193</v>
      </c>
      <c r="D1635" s="42">
        <v>0</v>
      </c>
      <c r="E1635" s="5">
        <v>-4351.53</v>
      </c>
      <c r="F1635" s="5">
        <v>0</v>
      </c>
      <c r="G1635" s="5">
        <f t="shared" ref="G1635:G1637" si="850">F1635-E1635</f>
        <v>4351.53</v>
      </c>
      <c r="H1635" s="25"/>
      <c r="I1635" s="2"/>
    </row>
    <row r="1636" spans="1:9" s="39" customFormat="1" x14ac:dyDescent="0.25">
      <c r="A1636" s="41"/>
      <c r="B1636" s="3"/>
      <c r="C1636" s="3" t="s">
        <v>52</v>
      </c>
      <c r="D1636" s="5">
        <v>0</v>
      </c>
      <c r="E1636" s="5">
        <v>0</v>
      </c>
      <c r="F1636" s="5">
        <v>-2751.66</v>
      </c>
      <c r="G1636" s="5">
        <f t="shared" si="850"/>
        <v>-2751.66</v>
      </c>
      <c r="H1636" s="25"/>
      <c r="I1636" s="2"/>
    </row>
    <row r="1637" spans="1:9" s="39" customFormat="1" x14ac:dyDescent="0.25">
      <c r="A1637" s="41"/>
      <c r="B1637" s="41"/>
      <c r="C1637" s="3" t="s">
        <v>53</v>
      </c>
      <c r="D1637" s="5">
        <v>0</v>
      </c>
      <c r="E1637" s="5">
        <v>0</v>
      </c>
      <c r="F1637" s="5">
        <v>-161.91</v>
      </c>
      <c r="G1637" s="5">
        <f t="shared" si="850"/>
        <v>-161.91</v>
      </c>
      <c r="H1637" s="25"/>
      <c r="I1637" s="2"/>
    </row>
    <row r="1638" spans="1:9" s="39" customFormat="1" x14ac:dyDescent="0.25">
      <c r="A1638" s="41"/>
      <c r="B1638" s="41"/>
      <c r="C1638" s="41" t="s">
        <v>121</v>
      </c>
      <c r="D1638" s="42">
        <v>0</v>
      </c>
      <c r="E1638" s="42">
        <f>D1638</f>
        <v>0</v>
      </c>
      <c r="F1638" s="5">
        <v>-57204.17</v>
      </c>
      <c r="G1638" s="42">
        <f>F1638-E1638</f>
        <v>-57204.17</v>
      </c>
      <c r="H1638" s="25"/>
      <c r="I1638" s="2"/>
    </row>
    <row r="1639" spans="1:9" s="39" customFormat="1" ht="15.75" x14ac:dyDescent="0.25">
      <c r="A1639" s="56" t="s">
        <v>185</v>
      </c>
      <c r="B1639" s="41"/>
      <c r="C1639" s="41"/>
      <c r="D1639" s="42">
        <f>SUM(D1640:D1644)</f>
        <v>-138918788</v>
      </c>
      <c r="E1639" s="42">
        <f>SUM(E1640:E1644)</f>
        <v>-165425577.59999999</v>
      </c>
      <c r="F1639" s="42">
        <f>SUM(F1640:F1644)</f>
        <v>-162078487.16</v>
      </c>
      <c r="G1639" s="42">
        <f t="shared" ref="G1639:G1650" si="851">F1639-E1639</f>
        <v>3347090.4399999976</v>
      </c>
      <c r="H1639" s="25"/>
      <c r="I1639" s="2"/>
    </row>
    <row r="1640" spans="1:9" ht="15.75" x14ac:dyDescent="0.25">
      <c r="A1640" s="55"/>
      <c r="B1640" s="3" t="s">
        <v>117</v>
      </c>
      <c r="C1640" s="3"/>
      <c r="D1640" s="5">
        <f>D1646</f>
        <v>-122707015</v>
      </c>
      <c r="E1640" s="5">
        <f>E1646</f>
        <v>-163082377.97</v>
      </c>
      <c r="F1640" s="5">
        <f>F1646</f>
        <v>-160782087.02000001</v>
      </c>
      <c r="G1640" s="5">
        <f t="shared" si="851"/>
        <v>2300290.9499999881</v>
      </c>
      <c r="I1640" s="2"/>
    </row>
    <row r="1641" spans="1:9" ht="15.75" x14ac:dyDescent="0.25">
      <c r="A1641" s="55"/>
      <c r="B1641" s="3" t="s">
        <v>118</v>
      </c>
      <c r="C1641" s="3"/>
      <c r="D1641" s="5">
        <v>0</v>
      </c>
      <c r="E1641" s="5">
        <v>0</v>
      </c>
      <c r="F1641" s="5">
        <f>F1647</f>
        <v>-118.41</v>
      </c>
      <c r="G1641" s="5">
        <f t="shared" ref="G1641:G1642" si="852">F1641-E1641</f>
        <v>-118.41</v>
      </c>
      <c r="I1641" s="2"/>
    </row>
    <row r="1642" spans="1:9" ht="15.75" x14ac:dyDescent="0.25">
      <c r="A1642" s="55"/>
      <c r="B1642" s="3" t="s">
        <v>119</v>
      </c>
      <c r="C1642" s="3"/>
      <c r="D1642" s="5">
        <f>D1648</f>
        <v>0</v>
      </c>
      <c r="E1642" s="5">
        <f>E1648</f>
        <v>-89930.63</v>
      </c>
      <c r="F1642" s="5">
        <f>F1648</f>
        <v>-62445.72</v>
      </c>
      <c r="G1642" s="5">
        <f t="shared" si="852"/>
        <v>27484.910000000003</v>
      </c>
      <c r="I1642" s="2"/>
    </row>
    <row r="1643" spans="1:9" x14ac:dyDescent="0.25">
      <c r="A1643" s="3"/>
      <c r="B1643" s="3" t="s">
        <v>120</v>
      </c>
      <c r="C1643" s="3"/>
      <c r="D1643" s="5">
        <f>D1649</f>
        <v>-16200000</v>
      </c>
      <c r="E1643" s="5">
        <f t="shared" ref="E1643:F1643" si="853">E1649</f>
        <v>-2241496</v>
      </c>
      <c r="F1643" s="5">
        <f t="shared" si="853"/>
        <v>-1156869.6000000001</v>
      </c>
      <c r="G1643" s="5">
        <f t="shared" si="851"/>
        <v>1084626.3999999999</v>
      </c>
      <c r="I1643" s="2"/>
    </row>
    <row r="1644" spans="1:9" x14ac:dyDescent="0.25">
      <c r="A1644" s="3"/>
      <c r="B1644" s="3" t="s">
        <v>121</v>
      </c>
      <c r="C1644" s="3"/>
      <c r="D1644" s="5">
        <f>D1650</f>
        <v>-11773</v>
      </c>
      <c r="E1644" s="5">
        <f t="shared" ref="E1644:F1644" si="854">E1650</f>
        <v>-11773</v>
      </c>
      <c r="F1644" s="5">
        <f t="shared" si="854"/>
        <v>-76966.41</v>
      </c>
      <c r="G1644" s="5">
        <f t="shared" si="851"/>
        <v>-65193.41</v>
      </c>
      <c r="I1644" s="2"/>
    </row>
    <row r="1645" spans="1:9" s="39" customFormat="1" ht="15.75" x14ac:dyDescent="0.25">
      <c r="A1645" s="71" t="s">
        <v>186</v>
      </c>
      <c r="B1645" s="41"/>
      <c r="C1645" s="41"/>
      <c r="D1645" s="42">
        <f>SUM(D1646:D1650)</f>
        <v>-138918788</v>
      </c>
      <c r="E1645" s="42">
        <f>SUM(E1646:E1650)</f>
        <v>-165425577.59999999</v>
      </c>
      <c r="F1645" s="42">
        <f>SUM(F1646:F1650)</f>
        <v>-162078487.16</v>
      </c>
      <c r="G1645" s="42">
        <f t="shared" si="851"/>
        <v>3347090.4399999976</v>
      </c>
      <c r="H1645" s="25"/>
      <c r="I1645" s="2"/>
    </row>
    <row r="1646" spans="1:9" x14ac:dyDescent="0.25">
      <c r="A1646" s="3"/>
      <c r="B1646" s="3" t="s">
        <v>117</v>
      </c>
      <c r="C1646" s="3"/>
      <c r="D1646" s="5">
        <f>D1658</f>
        <v>-122707015</v>
      </c>
      <c r="E1646" s="5">
        <f>E1658+E1681</f>
        <v>-163082377.97</v>
      </c>
      <c r="F1646" s="5">
        <f>F1658+F1681</f>
        <v>-160782087.02000001</v>
      </c>
      <c r="G1646" s="5">
        <f t="shared" si="851"/>
        <v>2300290.9499999881</v>
      </c>
      <c r="I1646" s="2"/>
    </row>
    <row r="1647" spans="1:9" x14ac:dyDescent="0.25">
      <c r="A1647" s="3"/>
      <c r="B1647" s="3" t="s">
        <v>118</v>
      </c>
      <c r="C1647" s="3"/>
      <c r="D1647" s="5">
        <v>0</v>
      </c>
      <c r="E1647" s="5">
        <v>0</v>
      </c>
      <c r="F1647" s="5">
        <f>F1664</f>
        <v>-118.41</v>
      </c>
      <c r="G1647" s="5">
        <f t="shared" si="851"/>
        <v>-118.41</v>
      </c>
      <c r="I1647" s="2"/>
    </row>
    <row r="1648" spans="1:9" x14ac:dyDescent="0.25">
      <c r="A1648" s="3"/>
      <c r="B1648" s="3" t="s">
        <v>119</v>
      </c>
      <c r="C1648" s="3"/>
      <c r="D1648" s="5">
        <f>D1667</f>
        <v>0</v>
      </c>
      <c r="E1648" s="5">
        <f>E1666+E1686</f>
        <v>-89930.63</v>
      </c>
      <c r="F1648" s="5">
        <f>F1666+F1686</f>
        <v>-62445.72</v>
      </c>
      <c r="G1648" s="5">
        <f t="shared" si="851"/>
        <v>27484.910000000003</v>
      </c>
      <c r="I1648" s="2"/>
    </row>
    <row r="1649" spans="1:9" x14ac:dyDescent="0.25">
      <c r="A1649" s="3"/>
      <c r="B1649" s="3" t="s">
        <v>120</v>
      </c>
      <c r="C1649" s="3"/>
      <c r="D1649" s="5">
        <f>D1670</f>
        <v>-16200000</v>
      </c>
      <c r="E1649" s="5">
        <f t="shared" ref="E1649:F1649" si="855">E1670</f>
        <v>-2241496</v>
      </c>
      <c r="F1649" s="5">
        <f t="shared" si="855"/>
        <v>-1156869.6000000001</v>
      </c>
      <c r="G1649" s="5">
        <f t="shared" si="851"/>
        <v>1084626.3999999999</v>
      </c>
      <c r="I1649" s="2"/>
    </row>
    <row r="1650" spans="1:9" x14ac:dyDescent="0.25">
      <c r="A1650" s="3"/>
      <c r="B1650" s="3" t="s">
        <v>121</v>
      </c>
      <c r="C1650" s="3"/>
      <c r="D1650" s="5">
        <f>D1675</f>
        <v>-11773</v>
      </c>
      <c r="E1650" s="5">
        <f>E1675</f>
        <v>-11773</v>
      </c>
      <c r="F1650" s="5">
        <f>F1675+F1690</f>
        <v>-76966.41</v>
      </c>
      <c r="G1650" s="5">
        <f t="shared" si="851"/>
        <v>-65193.41</v>
      </c>
      <c r="I1650" s="2"/>
    </row>
    <row r="1651" spans="1:9" x14ac:dyDescent="0.25">
      <c r="A1651" s="41"/>
      <c r="B1651" s="41" t="s">
        <v>87</v>
      </c>
      <c r="C1651" s="41"/>
      <c r="D1651" s="42">
        <f>SUM(D1653:D1657)</f>
        <v>-138918788</v>
      </c>
      <c r="E1651" s="42">
        <f>SUM(E1652:E1657)</f>
        <v>-165375178.16</v>
      </c>
      <c r="F1651" s="42">
        <f t="shared" ref="F1651" si="856">SUM(F1653:F1657)</f>
        <v>-162001822.35999998</v>
      </c>
      <c r="G1651" s="42">
        <f>F1651-E1651</f>
        <v>3373355.8000000119</v>
      </c>
      <c r="I1651" s="2"/>
    </row>
    <row r="1652" spans="1:9" x14ac:dyDescent="0.25">
      <c r="A1652" s="41"/>
      <c r="B1652" s="41"/>
      <c r="C1652" s="3" t="s">
        <v>193</v>
      </c>
      <c r="D1652" s="5">
        <v>0</v>
      </c>
      <c r="E1652" s="5">
        <f>E1671+E1667+E1686</f>
        <v>-2331426.6300000004</v>
      </c>
      <c r="F1652" s="5">
        <v>0</v>
      </c>
      <c r="G1652" s="5">
        <f t="shared" ref="G1652" si="857">F1652-E1652</f>
        <v>2331426.6300000004</v>
      </c>
      <c r="I1652" s="2"/>
    </row>
    <row r="1653" spans="1:9" x14ac:dyDescent="0.25">
      <c r="A1653" s="3"/>
      <c r="B1653" s="3"/>
      <c r="C1653" s="3" t="s">
        <v>52</v>
      </c>
      <c r="D1653" s="5">
        <f>D1659</f>
        <v>-745448</v>
      </c>
      <c r="E1653" s="5">
        <f t="shared" ref="E1653" si="858">E1659</f>
        <v>-751399.91</v>
      </c>
      <c r="F1653" s="5">
        <f>F1659+F1668+F1672</f>
        <v>-780162.16</v>
      </c>
      <c r="G1653" s="5">
        <f t="shared" ref="G1653:G1657" si="859">F1653-E1653</f>
        <v>-28762.25</v>
      </c>
      <c r="I1653" s="2"/>
    </row>
    <row r="1654" spans="1:9" x14ac:dyDescent="0.25">
      <c r="A1654" s="3"/>
      <c r="B1654" s="3"/>
      <c r="C1654" s="3" t="s">
        <v>53</v>
      </c>
      <c r="D1654" s="5">
        <f>D1660</f>
        <v>-156644</v>
      </c>
      <c r="E1654" s="5">
        <f t="shared" ref="E1654" si="860">E1660</f>
        <v>-135989.95000000001</v>
      </c>
      <c r="F1654" s="5">
        <f>F1660+F1669</f>
        <v>-155353.54999999999</v>
      </c>
      <c r="G1654" s="5">
        <f t="shared" si="859"/>
        <v>-19363.599999999977</v>
      </c>
      <c r="I1654" s="2"/>
    </row>
    <row r="1655" spans="1:9" x14ac:dyDescent="0.25">
      <c r="A1655" s="3"/>
      <c r="B1655" s="3"/>
      <c r="C1655" s="3" t="s">
        <v>122</v>
      </c>
      <c r="D1655" s="5">
        <f t="shared" ref="D1655:F1656" si="861">D1661+D1673</f>
        <v>-10509631</v>
      </c>
      <c r="E1655" s="5">
        <f t="shared" si="861"/>
        <v>-4536631.3</v>
      </c>
      <c r="F1655" s="5">
        <f t="shared" si="861"/>
        <v>-5653584.5199999996</v>
      </c>
      <c r="G1655" s="5">
        <f t="shared" si="859"/>
        <v>-1116953.2199999997</v>
      </c>
      <c r="I1655" s="2"/>
    </row>
    <row r="1656" spans="1:9" x14ac:dyDescent="0.25">
      <c r="A1656" s="3"/>
      <c r="B1656" s="3"/>
      <c r="C1656" s="3" t="s">
        <v>113</v>
      </c>
      <c r="D1656" s="5">
        <f t="shared" si="861"/>
        <v>-127495292</v>
      </c>
      <c r="E1656" s="5">
        <f t="shared" si="861"/>
        <v>-157607957.37</v>
      </c>
      <c r="F1656" s="5">
        <f t="shared" si="861"/>
        <v>-155365086.91999999</v>
      </c>
      <c r="G1656" s="5">
        <f t="shared" si="859"/>
        <v>2242870.4500000179</v>
      </c>
      <c r="I1656" s="2"/>
    </row>
    <row r="1657" spans="1:9" x14ac:dyDescent="0.25">
      <c r="A1657" s="3"/>
      <c r="B1657" s="3"/>
      <c r="C1657" s="3" t="s">
        <v>114</v>
      </c>
      <c r="D1657" s="5">
        <f>D1675</f>
        <v>-11773</v>
      </c>
      <c r="E1657" s="5">
        <f t="shared" ref="E1657" si="862">E1675</f>
        <v>-11773</v>
      </c>
      <c r="F1657" s="5">
        <f>F1675+F1663+F1665</f>
        <v>-47635.210000000006</v>
      </c>
      <c r="G1657" s="5">
        <f t="shared" si="859"/>
        <v>-35862.210000000006</v>
      </c>
      <c r="I1657" s="2"/>
    </row>
    <row r="1658" spans="1:9" x14ac:dyDescent="0.25">
      <c r="A1658" s="41"/>
      <c r="B1658" s="41"/>
      <c r="C1658" s="41" t="s">
        <v>117</v>
      </c>
      <c r="D1658" s="42">
        <f>SUM(D1659:D1662)</f>
        <v>-122707015</v>
      </c>
      <c r="E1658" s="42">
        <f t="shared" ref="E1658" si="863">SUM(E1659:E1662)</f>
        <v>-163031978.53</v>
      </c>
      <c r="F1658" s="42">
        <f>SUM(F1659:F1663)</f>
        <v>-160736540.78</v>
      </c>
      <c r="G1658" s="42">
        <f>F1658-E1658</f>
        <v>2295437.75</v>
      </c>
      <c r="I1658" s="2"/>
    </row>
    <row r="1659" spans="1:9" x14ac:dyDescent="0.25">
      <c r="A1659" s="3"/>
      <c r="B1659" s="3"/>
      <c r="C1659" s="3" t="s">
        <v>52</v>
      </c>
      <c r="D1659" s="5">
        <v>-745448</v>
      </c>
      <c r="E1659" s="5">
        <v>-751399.91</v>
      </c>
      <c r="F1659" s="5">
        <f>-735350.78</f>
        <v>-735350.78</v>
      </c>
      <c r="G1659" s="5">
        <f t="shared" ref="G1659:G1663" si="864">F1659-E1659</f>
        <v>16049.130000000005</v>
      </c>
      <c r="I1659" s="2"/>
    </row>
    <row r="1660" spans="1:9" x14ac:dyDescent="0.25">
      <c r="A1660" s="3"/>
      <c r="B1660" s="3"/>
      <c r="C1660" s="3" t="s">
        <v>53</v>
      </c>
      <c r="D1660" s="5">
        <v>-156644</v>
      </c>
      <c r="E1660" s="5">
        <f>-133606.1-2383.85</f>
        <v>-135989.95000000001</v>
      </c>
      <c r="F1660" s="5">
        <v>-99488.76</v>
      </c>
      <c r="G1660" s="5">
        <f t="shared" si="864"/>
        <v>36501.190000000017</v>
      </c>
      <c r="I1660" s="2"/>
    </row>
    <row r="1661" spans="1:9" x14ac:dyDescent="0.25">
      <c r="A1661" s="3"/>
      <c r="B1661" s="3"/>
      <c r="C1661" s="3" t="s">
        <v>122</v>
      </c>
      <c r="D1661" s="5">
        <v>-4309631</v>
      </c>
      <c r="E1661" s="5">
        <v>-4536631.3</v>
      </c>
      <c r="F1661" s="5">
        <v>-4536453.5199999996</v>
      </c>
      <c r="G1661" s="5">
        <f t="shared" si="864"/>
        <v>177.78000000026077</v>
      </c>
      <c r="H1661" s="25" t="s">
        <v>96</v>
      </c>
      <c r="I1661" s="2"/>
    </row>
    <row r="1662" spans="1:9" x14ac:dyDescent="0.25">
      <c r="A1662" s="3"/>
      <c r="B1662" s="3"/>
      <c r="C1662" s="3" t="s">
        <v>113</v>
      </c>
      <c r="D1662" s="5">
        <f>-121804923+4309631</f>
        <v>-117495292</v>
      </c>
      <c r="E1662" s="5">
        <v>-157607957.37</v>
      </c>
      <c r="F1662" s="5">
        <v>-155365086.91999999</v>
      </c>
      <c r="G1662" s="5">
        <f t="shared" si="864"/>
        <v>2242870.4500000179</v>
      </c>
      <c r="I1662" s="2"/>
    </row>
    <row r="1663" spans="1:9" x14ac:dyDescent="0.25">
      <c r="A1663" s="3"/>
      <c r="B1663" s="3"/>
      <c r="C1663" s="3" t="s">
        <v>54</v>
      </c>
      <c r="D1663" s="5">
        <v>0</v>
      </c>
      <c r="E1663" s="5">
        <v>0</v>
      </c>
      <c r="F1663" s="5">
        <v>-160.80000000000001</v>
      </c>
      <c r="G1663" s="5">
        <f t="shared" si="864"/>
        <v>-160.80000000000001</v>
      </c>
      <c r="I1663" s="2"/>
    </row>
    <row r="1664" spans="1:9" x14ac:dyDescent="0.25">
      <c r="A1664" s="3"/>
      <c r="B1664" s="3"/>
      <c r="C1664" s="41" t="s">
        <v>118</v>
      </c>
      <c r="D1664" s="42">
        <v>0</v>
      </c>
      <c r="E1664" s="42">
        <v>0</v>
      </c>
      <c r="F1664" s="42">
        <f>F1665</f>
        <v>-118.41</v>
      </c>
      <c r="G1664" s="42">
        <f>F1664-E1664</f>
        <v>-118.41</v>
      </c>
      <c r="I1664" s="2"/>
    </row>
    <row r="1665" spans="1:9" x14ac:dyDescent="0.25">
      <c r="A1665" s="3"/>
      <c r="B1665" s="3"/>
      <c r="C1665" s="3" t="s">
        <v>114</v>
      </c>
      <c r="D1665" s="5">
        <v>0</v>
      </c>
      <c r="E1665" s="5">
        <v>0</v>
      </c>
      <c r="F1665" s="5">
        <v>-118.41</v>
      </c>
      <c r="G1665" s="5">
        <f t="shared" ref="G1665" si="865">F1665-E1665</f>
        <v>-118.41</v>
      </c>
      <c r="I1665" s="2"/>
    </row>
    <row r="1666" spans="1:9" x14ac:dyDescent="0.25">
      <c r="A1666" s="3"/>
      <c r="B1666" s="3"/>
      <c r="C1666" s="41" t="s">
        <v>119</v>
      </c>
      <c r="D1666" s="42">
        <v>0</v>
      </c>
      <c r="E1666" s="42">
        <f>E1667</f>
        <v>-87678.16</v>
      </c>
      <c r="F1666" s="42">
        <f>SUM(F1668:F1669)</f>
        <v>-60937.57</v>
      </c>
      <c r="G1666" s="42">
        <f>F1666-E1666</f>
        <v>26740.590000000004</v>
      </c>
      <c r="I1666" s="2"/>
    </row>
    <row r="1667" spans="1:9" x14ac:dyDescent="0.25">
      <c r="A1667" s="3"/>
      <c r="B1667" s="3"/>
      <c r="C1667" s="3" t="s">
        <v>193</v>
      </c>
      <c r="D1667" s="5">
        <v>0</v>
      </c>
      <c r="E1667" s="5">
        <v>-87678.16</v>
      </c>
      <c r="F1667" s="5">
        <v>0</v>
      </c>
      <c r="G1667" s="5">
        <f t="shared" ref="G1667:G1669" si="866">F1667-E1667</f>
        <v>87678.16</v>
      </c>
      <c r="I1667" s="2"/>
    </row>
    <row r="1668" spans="1:9" x14ac:dyDescent="0.25">
      <c r="A1668" s="3"/>
      <c r="B1668" s="3"/>
      <c r="C1668" s="3" t="s">
        <v>52</v>
      </c>
      <c r="D1668" s="5">
        <v>0</v>
      </c>
      <c r="E1668" s="5">
        <v>0</v>
      </c>
      <c r="F1668" s="5">
        <v>-5072.78</v>
      </c>
      <c r="G1668" s="5">
        <f t="shared" si="866"/>
        <v>-5072.78</v>
      </c>
      <c r="I1668" s="2"/>
    </row>
    <row r="1669" spans="1:9" x14ac:dyDescent="0.25">
      <c r="A1669" s="3"/>
      <c r="B1669" s="3"/>
      <c r="C1669" s="3" t="s">
        <v>53</v>
      </c>
      <c r="D1669" s="5">
        <v>0</v>
      </c>
      <c r="E1669" s="5">
        <v>0</v>
      </c>
      <c r="F1669" s="5">
        <v>-55864.79</v>
      </c>
      <c r="G1669" s="5">
        <f t="shared" si="866"/>
        <v>-55864.79</v>
      </c>
      <c r="I1669" s="2"/>
    </row>
    <row r="1670" spans="1:9" x14ac:dyDescent="0.25">
      <c r="A1670" s="41"/>
      <c r="B1670" s="41"/>
      <c r="C1670" s="41" t="s">
        <v>120</v>
      </c>
      <c r="D1670" s="42">
        <f>SUM(D1673:D1674)</f>
        <v>-16200000</v>
      </c>
      <c r="E1670" s="42">
        <f>E1671</f>
        <v>-2241496</v>
      </c>
      <c r="F1670" s="42">
        <f>SUM(F1672:F1674)</f>
        <v>-1156869.6000000001</v>
      </c>
      <c r="G1670" s="42">
        <f>F1670-E1670</f>
        <v>1084626.3999999999</v>
      </c>
      <c r="I1670" s="2"/>
    </row>
    <row r="1671" spans="1:9" x14ac:dyDescent="0.25">
      <c r="A1671" s="41"/>
      <c r="B1671" s="41"/>
      <c r="C1671" s="3" t="s">
        <v>193</v>
      </c>
      <c r="D1671" s="5">
        <v>0</v>
      </c>
      <c r="E1671" s="5">
        <v>-2241496</v>
      </c>
      <c r="F1671" s="5">
        <v>0</v>
      </c>
      <c r="G1671" s="5">
        <f t="shared" ref="G1671:G1672" si="867">F1671-E1671</f>
        <v>2241496</v>
      </c>
      <c r="I1671" s="2"/>
    </row>
    <row r="1672" spans="1:9" x14ac:dyDescent="0.25">
      <c r="A1672" s="41"/>
      <c r="B1672" s="41"/>
      <c r="C1672" s="3" t="s">
        <v>52</v>
      </c>
      <c r="D1672" s="5">
        <v>0</v>
      </c>
      <c r="E1672" s="5">
        <v>0</v>
      </c>
      <c r="F1672" s="5">
        <v>-39738.600000000006</v>
      </c>
      <c r="G1672" s="5">
        <f t="shared" si="867"/>
        <v>-39738.600000000006</v>
      </c>
      <c r="I1672" s="2"/>
    </row>
    <row r="1673" spans="1:9" x14ac:dyDescent="0.25">
      <c r="A1673" s="3"/>
      <c r="B1673" s="3"/>
      <c r="C1673" s="3" t="s">
        <v>122</v>
      </c>
      <c r="D1673" s="5">
        <v>-6200000</v>
      </c>
      <c r="E1673" s="5">
        <v>0</v>
      </c>
      <c r="F1673" s="5">
        <v>-1117131</v>
      </c>
      <c r="G1673" s="5">
        <f t="shared" ref="G1673:G1674" si="868">F1673-E1673</f>
        <v>-1117131</v>
      </c>
      <c r="H1673" s="25" t="s">
        <v>124</v>
      </c>
      <c r="I1673" s="2"/>
    </row>
    <row r="1674" spans="1:9" x14ac:dyDescent="0.25">
      <c r="A1674" s="41"/>
      <c r="B1674" s="41"/>
      <c r="C1674" s="3" t="s">
        <v>113</v>
      </c>
      <c r="D1674" s="5">
        <f>-16200000+6200000</f>
        <v>-10000000</v>
      </c>
      <c r="E1674" s="5">
        <v>0</v>
      </c>
      <c r="F1674" s="5">
        <v>0</v>
      </c>
      <c r="G1674" s="5">
        <f t="shared" si="868"/>
        <v>0</v>
      </c>
      <c r="I1674" s="2"/>
    </row>
    <row r="1675" spans="1:9" s="39" customFormat="1" x14ac:dyDescent="0.25">
      <c r="A1675" s="41"/>
      <c r="B1675" s="41"/>
      <c r="C1675" s="41" t="s">
        <v>121</v>
      </c>
      <c r="D1675" s="42">
        <v>-11773</v>
      </c>
      <c r="E1675" s="42">
        <f>D1675</f>
        <v>-11773</v>
      </c>
      <c r="F1675" s="5">
        <v>-47356</v>
      </c>
      <c r="G1675" s="42">
        <f>F1675-E1675</f>
        <v>-35583</v>
      </c>
      <c r="H1675" s="25"/>
      <c r="I1675" s="2"/>
    </row>
    <row r="1676" spans="1:9" s="39" customFormat="1" x14ac:dyDescent="0.25">
      <c r="A1676" s="41"/>
      <c r="B1676" s="39" t="s">
        <v>195</v>
      </c>
      <c r="C1676" s="41"/>
      <c r="D1676" s="42">
        <f>SUM(D1677:D1680)</f>
        <v>0</v>
      </c>
      <c r="E1676" s="42">
        <f t="shared" ref="E1676:F1676" si="869">SUM(E1677:E1680)</f>
        <v>-52651.909999999996</v>
      </c>
      <c r="F1676" s="42">
        <f t="shared" si="869"/>
        <v>-76664.77</v>
      </c>
      <c r="G1676" s="42">
        <f>F1676-E1676</f>
        <v>-24012.860000000008</v>
      </c>
      <c r="H1676" s="25"/>
      <c r="I1676" s="2"/>
    </row>
    <row r="1677" spans="1:9" s="39" customFormat="1" x14ac:dyDescent="0.25">
      <c r="A1677" s="41"/>
      <c r="B1677" s="41"/>
      <c r="C1677" s="3" t="s">
        <v>193</v>
      </c>
      <c r="D1677" s="42">
        <v>0</v>
      </c>
      <c r="E1677" s="5">
        <f>E1687</f>
        <v>-2252.4699999999998</v>
      </c>
      <c r="F1677" s="5">
        <v>0</v>
      </c>
      <c r="G1677" s="5">
        <f t="shared" ref="G1677:G1680" si="870">F1677-E1677</f>
        <v>2252.4699999999998</v>
      </c>
      <c r="H1677" s="25"/>
      <c r="I1677" s="2"/>
    </row>
    <row r="1678" spans="1:9" s="39" customFormat="1" x14ac:dyDescent="0.25">
      <c r="A1678" s="41"/>
      <c r="B1678" s="3"/>
      <c r="C1678" s="3" t="s">
        <v>52</v>
      </c>
      <c r="D1678" s="5">
        <f>D1682+D1688</f>
        <v>0</v>
      </c>
      <c r="E1678" s="5">
        <f t="shared" ref="E1678:F1678" si="871">E1682+E1688</f>
        <v>-42507.88</v>
      </c>
      <c r="F1678" s="5">
        <f t="shared" si="871"/>
        <v>-41824.57</v>
      </c>
      <c r="G1678" s="5">
        <f t="shared" si="870"/>
        <v>683.30999999999767</v>
      </c>
      <c r="H1678" s="25"/>
      <c r="I1678" s="2"/>
    </row>
    <row r="1679" spans="1:9" s="39" customFormat="1" x14ac:dyDescent="0.25">
      <c r="A1679" s="41"/>
      <c r="B1679" s="3"/>
      <c r="C1679" s="3" t="s">
        <v>53</v>
      </c>
      <c r="D1679" s="5">
        <f>D1683+D1689</f>
        <v>0</v>
      </c>
      <c r="E1679" s="5">
        <f t="shared" ref="E1679:F1679" si="872">E1683+E1689</f>
        <v>-7891.56</v>
      </c>
      <c r="F1679" s="5">
        <f t="shared" si="872"/>
        <v>-5229.8200000000006</v>
      </c>
      <c r="G1679" s="5">
        <f t="shared" si="870"/>
        <v>2661.74</v>
      </c>
      <c r="H1679" s="25"/>
      <c r="I1679" s="2"/>
    </row>
    <row r="1680" spans="1:9" s="39" customFormat="1" x14ac:dyDescent="0.25">
      <c r="A1680" s="41"/>
      <c r="B1680" s="3"/>
      <c r="C1680" s="3" t="s">
        <v>114</v>
      </c>
      <c r="D1680" s="5">
        <f>D1690+D1685</f>
        <v>0</v>
      </c>
      <c r="E1680" s="5">
        <f t="shared" ref="E1680:F1680" si="873">E1690+E1685</f>
        <v>0</v>
      </c>
      <c r="F1680" s="5">
        <f t="shared" si="873"/>
        <v>-29610.38</v>
      </c>
      <c r="G1680" s="5">
        <f t="shared" si="870"/>
        <v>-29610.38</v>
      </c>
      <c r="H1680" s="25"/>
      <c r="I1680" s="2"/>
    </row>
    <row r="1681" spans="1:9" s="39" customFormat="1" x14ac:dyDescent="0.25">
      <c r="A1681" s="41"/>
      <c r="B1681" s="41"/>
      <c r="C1681" s="41" t="s">
        <v>117</v>
      </c>
      <c r="D1681" s="42">
        <f>SUM(D1682:D1683)</f>
        <v>0</v>
      </c>
      <c r="E1681" s="42">
        <f>SUM(E1682:E1683)</f>
        <v>-50399.439999999995</v>
      </c>
      <c r="F1681" s="42">
        <f>SUM(F1682:F1683)</f>
        <v>-45546.240000000005</v>
      </c>
      <c r="G1681" s="42">
        <f>F1681-E1681</f>
        <v>4853.1999999999898</v>
      </c>
      <c r="H1681" s="25"/>
      <c r="I1681" s="2"/>
    </row>
    <row r="1682" spans="1:9" s="39" customFormat="1" x14ac:dyDescent="0.25">
      <c r="A1682" s="41"/>
      <c r="B1682" s="3"/>
      <c r="C1682" s="3" t="s">
        <v>52</v>
      </c>
      <c r="D1682" s="5">
        <v>0</v>
      </c>
      <c r="E1682" s="5">
        <v>-42507.88</v>
      </c>
      <c r="F1682" s="5">
        <v>-40400.230000000003</v>
      </c>
      <c r="G1682" s="5">
        <f t="shared" ref="G1682:G1685" si="874">F1682-E1682</f>
        <v>2107.6499999999942</v>
      </c>
      <c r="H1682" s="25"/>
      <c r="I1682" s="2"/>
    </row>
    <row r="1683" spans="1:9" s="39" customFormat="1" x14ac:dyDescent="0.25">
      <c r="A1683" s="41"/>
      <c r="B1683" s="3"/>
      <c r="C1683" s="3" t="s">
        <v>53</v>
      </c>
      <c r="D1683" s="5">
        <v>0</v>
      </c>
      <c r="E1683" s="5">
        <v>-7891.56</v>
      </c>
      <c r="F1683" s="5">
        <v>-5146.01</v>
      </c>
      <c r="G1683" s="5">
        <f t="shared" si="874"/>
        <v>2745.55</v>
      </c>
      <c r="H1683" s="25"/>
      <c r="I1683" s="2"/>
    </row>
    <row r="1684" spans="1:9" s="39" customFormat="1" x14ac:dyDescent="0.25">
      <c r="A1684" s="41"/>
      <c r="B1684" s="41"/>
      <c r="C1684" s="41" t="s">
        <v>118</v>
      </c>
      <c r="D1684" s="42">
        <f>D1685</f>
        <v>0</v>
      </c>
      <c r="E1684" s="42">
        <f t="shared" ref="E1684:F1684" si="875">E1685</f>
        <v>0</v>
      </c>
      <c r="F1684" s="42">
        <f t="shared" si="875"/>
        <v>0.03</v>
      </c>
      <c r="G1684" s="42">
        <f t="shared" si="874"/>
        <v>0.03</v>
      </c>
      <c r="H1684" s="25"/>
      <c r="I1684" s="2"/>
    </row>
    <row r="1685" spans="1:9" s="39" customFormat="1" x14ac:dyDescent="0.25">
      <c r="A1685" s="41"/>
      <c r="B1685" s="3"/>
      <c r="C1685" s="3" t="s">
        <v>54</v>
      </c>
      <c r="D1685" s="5">
        <v>0</v>
      </c>
      <c r="E1685" s="5">
        <v>0</v>
      </c>
      <c r="F1685" s="5">
        <v>0.03</v>
      </c>
      <c r="G1685" s="5">
        <f t="shared" si="874"/>
        <v>0.03</v>
      </c>
      <c r="H1685" s="25"/>
      <c r="I1685" s="2"/>
    </row>
    <row r="1686" spans="1:9" s="39" customFormat="1" x14ac:dyDescent="0.25">
      <c r="A1686" s="41"/>
      <c r="B1686" s="41"/>
      <c r="C1686" s="41" t="s">
        <v>119</v>
      </c>
      <c r="D1686" s="42">
        <f>SUM(D1687:D1689)</f>
        <v>0</v>
      </c>
      <c r="E1686" s="42">
        <f t="shared" ref="E1686:F1686" si="876">SUM(E1687:E1689)</f>
        <v>-2252.4699999999998</v>
      </c>
      <c r="F1686" s="42">
        <f t="shared" si="876"/>
        <v>-1508.1499999999999</v>
      </c>
      <c r="G1686" s="42">
        <f>F1686-E1686</f>
        <v>744.31999999999994</v>
      </c>
      <c r="H1686" s="25"/>
      <c r="I1686" s="2"/>
    </row>
    <row r="1687" spans="1:9" s="39" customFormat="1" x14ac:dyDescent="0.25">
      <c r="A1687" s="41"/>
      <c r="B1687" s="41"/>
      <c r="C1687" s="3" t="s">
        <v>193</v>
      </c>
      <c r="D1687" s="42">
        <v>0</v>
      </c>
      <c r="E1687" s="5">
        <v>-2252.4699999999998</v>
      </c>
      <c r="F1687" s="5">
        <v>0</v>
      </c>
      <c r="G1687" s="5">
        <f t="shared" ref="G1687:G1689" si="877">F1687-E1687</f>
        <v>2252.4699999999998</v>
      </c>
      <c r="H1687" s="25"/>
      <c r="I1687" s="2"/>
    </row>
    <row r="1688" spans="1:9" s="39" customFormat="1" x14ac:dyDescent="0.25">
      <c r="A1688" s="41"/>
      <c r="B1688" s="3"/>
      <c r="C1688" s="3" t="s">
        <v>52</v>
      </c>
      <c r="D1688" s="5">
        <v>0</v>
      </c>
      <c r="E1688" s="5">
        <v>0</v>
      </c>
      <c r="F1688" s="5">
        <v>-1424.34</v>
      </c>
      <c r="G1688" s="5">
        <f t="shared" si="877"/>
        <v>-1424.34</v>
      </c>
      <c r="H1688" s="25"/>
      <c r="I1688" s="2"/>
    </row>
    <row r="1689" spans="1:9" s="39" customFormat="1" x14ac:dyDescent="0.25">
      <c r="A1689" s="41"/>
      <c r="B1689" s="41"/>
      <c r="C1689" s="3" t="s">
        <v>53</v>
      </c>
      <c r="D1689" s="5">
        <v>0</v>
      </c>
      <c r="E1689" s="5">
        <v>0</v>
      </c>
      <c r="F1689" s="5">
        <v>-83.81</v>
      </c>
      <c r="G1689" s="5">
        <f t="shared" si="877"/>
        <v>-83.81</v>
      </c>
      <c r="H1689" s="25"/>
      <c r="I1689" s="2"/>
    </row>
    <row r="1690" spans="1:9" s="39" customFormat="1" x14ac:dyDescent="0.25">
      <c r="A1690" s="41"/>
      <c r="B1690" s="41"/>
      <c r="C1690" s="41" t="s">
        <v>121</v>
      </c>
      <c r="D1690" s="42">
        <v>0</v>
      </c>
      <c r="E1690" s="42">
        <f>D1690</f>
        <v>0</v>
      </c>
      <c r="F1690" s="5">
        <v>-29610.41</v>
      </c>
      <c r="G1690" s="42">
        <f>F1690-E1690</f>
        <v>-29610.41</v>
      </c>
      <c r="H1690" s="25"/>
      <c r="I1690" s="2"/>
    </row>
    <row r="1691" spans="1:9" s="39" customFormat="1" ht="15.75" x14ac:dyDescent="0.25">
      <c r="A1691" s="56" t="s">
        <v>125</v>
      </c>
      <c r="B1691" s="41"/>
      <c r="C1691" s="41"/>
      <c r="D1691" s="42">
        <f>SUM(D1692:D1696)</f>
        <v>-17425414</v>
      </c>
      <c r="E1691" s="42">
        <f>SUM(E1692:E1696)</f>
        <v>-13407524.459999999</v>
      </c>
      <c r="F1691" s="42">
        <f>SUM(F1692:F1696)</f>
        <v>-12418191.020000001</v>
      </c>
      <c r="G1691" s="42">
        <f t="shared" ref="G1691:G1702" si="878">F1691-E1691</f>
        <v>989333.43999999762</v>
      </c>
      <c r="H1691" s="25"/>
      <c r="I1691" s="2"/>
    </row>
    <row r="1692" spans="1:9" ht="15.75" x14ac:dyDescent="0.25">
      <c r="A1692" s="55"/>
      <c r="B1692" s="3" t="s">
        <v>117</v>
      </c>
      <c r="C1692" s="3"/>
      <c r="D1692" s="5">
        <f>D1698</f>
        <v>-2333429</v>
      </c>
      <c r="E1692" s="5">
        <f t="shared" ref="E1692:F1692" si="879">E1698</f>
        <v>-2952884.51</v>
      </c>
      <c r="F1692" s="5">
        <f t="shared" si="879"/>
        <v>-2059809.61</v>
      </c>
      <c r="G1692" s="5">
        <f t="shared" si="878"/>
        <v>893074.89999999967</v>
      </c>
      <c r="I1692" s="2"/>
    </row>
    <row r="1693" spans="1:9" ht="15.75" x14ac:dyDescent="0.25">
      <c r="A1693" s="55"/>
      <c r="B1693" s="3" t="s">
        <v>118</v>
      </c>
      <c r="C1693" s="3"/>
      <c r="D1693" s="5">
        <v>0</v>
      </c>
      <c r="E1693" s="5">
        <v>0</v>
      </c>
      <c r="F1693" s="5">
        <f>F1699</f>
        <v>-9342.77</v>
      </c>
      <c r="G1693" s="5">
        <f t="shared" si="878"/>
        <v>-9342.77</v>
      </c>
      <c r="I1693" s="2"/>
    </row>
    <row r="1694" spans="1:9" x14ac:dyDescent="0.25">
      <c r="A1694" s="3"/>
      <c r="B1694" s="3" t="s">
        <v>119</v>
      </c>
      <c r="C1694" s="3"/>
      <c r="D1694" s="5">
        <f>D1700</f>
        <v>-14948547</v>
      </c>
      <c r="E1694" s="5">
        <f t="shared" ref="E1694:F1694" si="880">E1700</f>
        <v>-10307121.689999999</v>
      </c>
      <c r="F1694" s="5">
        <f t="shared" si="880"/>
        <v>-10213663.040000001</v>
      </c>
      <c r="G1694" s="5">
        <f t="shared" si="878"/>
        <v>93458.64999999851</v>
      </c>
      <c r="I1694" s="2"/>
    </row>
    <row r="1695" spans="1:9" x14ac:dyDescent="0.25">
      <c r="A1695" s="3"/>
      <c r="B1695" s="3" t="s">
        <v>120</v>
      </c>
      <c r="C1695" s="3"/>
      <c r="D1695" s="5">
        <v>0</v>
      </c>
      <c r="E1695" s="5">
        <f>E1701</f>
        <v>-4080.26</v>
      </c>
      <c r="F1695" s="5">
        <f>F1701</f>
        <v>-197.44</v>
      </c>
      <c r="G1695" s="5">
        <f t="shared" ref="G1695" si="881">F1695-E1695</f>
        <v>3882.82</v>
      </c>
      <c r="I1695" s="2"/>
    </row>
    <row r="1696" spans="1:9" x14ac:dyDescent="0.25">
      <c r="A1696" s="3"/>
      <c r="B1696" s="3" t="s">
        <v>121</v>
      </c>
      <c r="C1696" s="3"/>
      <c r="D1696" s="5">
        <f>D1702</f>
        <v>-143438</v>
      </c>
      <c r="E1696" s="5">
        <f t="shared" ref="E1696:F1696" si="882">E1702</f>
        <v>-143438</v>
      </c>
      <c r="F1696" s="5">
        <f t="shared" si="882"/>
        <v>-135178.16</v>
      </c>
      <c r="G1696" s="5">
        <f t="shared" si="878"/>
        <v>8259.8399999999965</v>
      </c>
      <c r="I1696" s="2"/>
    </row>
    <row r="1697" spans="1:9" s="39" customFormat="1" ht="15.75" x14ac:dyDescent="0.25">
      <c r="A1697" s="71" t="s">
        <v>188</v>
      </c>
      <c r="B1697" s="41"/>
      <c r="C1697" s="41"/>
      <c r="D1697" s="42">
        <f>SUM(D1698:D1702)</f>
        <v>-17425414</v>
      </c>
      <c r="E1697" s="42">
        <f>SUM(E1698:E1702)</f>
        <v>-13407524.459999999</v>
      </c>
      <c r="F1697" s="42">
        <f>SUM(F1698:F1702)</f>
        <v>-12418191.020000001</v>
      </c>
      <c r="G1697" s="42">
        <f t="shared" si="878"/>
        <v>989333.43999999762</v>
      </c>
      <c r="H1697" s="25"/>
      <c r="I1697" s="2"/>
    </row>
    <row r="1698" spans="1:9" x14ac:dyDescent="0.25">
      <c r="A1698" s="3"/>
      <c r="B1698" s="3" t="s">
        <v>117</v>
      </c>
      <c r="C1698" s="3"/>
      <c r="D1698" s="5">
        <f>D1709+D1731</f>
        <v>-2333429</v>
      </c>
      <c r="E1698" s="5">
        <f>E1709+E1731+E1756</f>
        <v>-2952884.51</v>
      </c>
      <c r="F1698" s="5">
        <f>F1709+F1731+F1756</f>
        <v>-2059809.61</v>
      </c>
      <c r="G1698" s="5">
        <f t="shared" si="878"/>
        <v>893074.89999999967</v>
      </c>
      <c r="I1698" s="2"/>
    </row>
    <row r="1699" spans="1:9" x14ac:dyDescent="0.25">
      <c r="A1699" s="3"/>
      <c r="B1699" s="3" t="s">
        <v>118</v>
      </c>
      <c r="C1699" s="3"/>
      <c r="D1699" s="5">
        <v>0</v>
      </c>
      <c r="E1699" s="5">
        <v>0</v>
      </c>
      <c r="F1699" s="5">
        <f>F1714+F1736</f>
        <v>-9342.77</v>
      </c>
      <c r="G1699" s="5">
        <f t="shared" ref="G1699" si="883">F1699-E1699</f>
        <v>-9342.77</v>
      </c>
      <c r="I1699" s="2"/>
    </row>
    <row r="1700" spans="1:9" x14ac:dyDescent="0.25">
      <c r="A1700" s="3"/>
      <c r="B1700" s="3" t="s">
        <v>119</v>
      </c>
      <c r="C1700" s="3"/>
      <c r="D1700" s="5">
        <f>D1716+D1739</f>
        <v>-14948547</v>
      </c>
      <c r="E1700" s="5">
        <f>E1716+E1739+E1761</f>
        <v>-10307121.689999999</v>
      </c>
      <c r="F1700" s="5">
        <f>F1716+F1739+F1761</f>
        <v>-10213663.040000001</v>
      </c>
      <c r="G1700" s="5">
        <f t="shared" si="878"/>
        <v>93458.64999999851</v>
      </c>
      <c r="I1700" s="2"/>
    </row>
    <row r="1701" spans="1:9" x14ac:dyDescent="0.25">
      <c r="A1701" s="3"/>
      <c r="B1701" s="3" t="s">
        <v>120</v>
      </c>
      <c r="C1701" s="3"/>
      <c r="D1701" s="5">
        <v>0</v>
      </c>
      <c r="E1701" s="5">
        <f>E1720+E1746</f>
        <v>-4080.26</v>
      </c>
      <c r="F1701" s="5">
        <f>F1720+F1746</f>
        <v>-197.44</v>
      </c>
      <c r="G1701" s="5">
        <f t="shared" si="878"/>
        <v>3882.82</v>
      </c>
      <c r="I1701" s="2"/>
    </row>
    <row r="1702" spans="1:9" x14ac:dyDescent="0.25">
      <c r="A1702" s="3"/>
      <c r="B1702" s="3" t="s">
        <v>121</v>
      </c>
      <c r="C1702" s="3"/>
      <c r="D1702" s="5">
        <f>D1722+D1750</f>
        <v>-143438</v>
      </c>
      <c r="E1702" s="5">
        <f>E1722+E1750</f>
        <v>-143438</v>
      </c>
      <c r="F1702" s="5">
        <f>F1722+F1750+F1765</f>
        <v>-135178.16</v>
      </c>
      <c r="G1702" s="5">
        <f t="shared" si="878"/>
        <v>8259.8399999999965</v>
      </c>
      <c r="I1702" s="2"/>
    </row>
    <row r="1703" spans="1:9" x14ac:dyDescent="0.25">
      <c r="A1703" s="41"/>
      <c r="B1703" s="41" t="s">
        <v>87</v>
      </c>
      <c r="C1703" s="41"/>
      <c r="D1703" s="42">
        <f>SUM(D1705:D1708)</f>
        <v>-1291831</v>
      </c>
      <c r="E1703" s="42">
        <f>SUM(E1704:E1708)</f>
        <v>-1556506.67</v>
      </c>
      <c r="F1703" s="42">
        <f>SUM(F1705:F1708)</f>
        <v>-909882.21</v>
      </c>
      <c r="G1703" s="42">
        <f>F1703-E1703</f>
        <v>646624.46</v>
      </c>
      <c r="I1703" s="2"/>
    </row>
    <row r="1704" spans="1:9" x14ac:dyDescent="0.25">
      <c r="A1704" s="41"/>
      <c r="B1704" s="41"/>
      <c r="C1704" s="3" t="s">
        <v>193</v>
      </c>
      <c r="D1704" s="5">
        <v>0</v>
      </c>
      <c r="E1704" s="5">
        <f>E1717+E1721</f>
        <v>-278447.67</v>
      </c>
      <c r="F1704" s="5">
        <v>0</v>
      </c>
      <c r="G1704" s="5">
        <f t="shared" ref="G1704" si="884">F1704-E1704</f>
        <v>278447.67</v>
      </c>
      <c r="I1704" s="2"/>
    </row>
    <row r="1705" spans="1:9" x14ac:dyDescent="0.25">
      <c r="A1705" s="3"/>
      <c r="B1705" s="3"/>
      <c r="C1705" s="3" t="s">
        <v>52</v>
      </c>
      <c r="D1705" s="91">
        <f>D1710+D1718</f>
        <v>-828769</v>
      </c>
      <c r="E1705" s="5">
        <f t="shared" ref="E1705:F1705" si="885">E1710+E1718</f>
        <v>-668203.54</v>
      </c>
      <c r="F1705" s="5">
        <f t="shared" si="885"/>
        <v>-847995.46</v>
      </c>
      <c r="G1705" s="5">
        <f t="shared" ref="G1705:G1708" si="886">F1705-E1705</f>
        <v>-179791.91999999993</v>
      </c>
      <c r="I1705" s="2"/>
    </row>
    <row r="1706" spans="1:9" x14ac:dyDescent="0.25">
      <c r="A1706" s="3"/>
      <c r="B1706" s="3"/>
      <c r="C1706" s="3" t="s">
        <v>53</v>
      </c>
      <c r="D1706" s="91">
        <f>D1711+D1719</f>
        <v>-448744</v>
      </c>
      <c r="E1706" s="5">
        <f t="shared" ref="E1706:F1706" si="887">E1711+E1719</f>
        <v>-584066.07999999996</v>
      </c>
      <c r="F1706" s="5">
        <f t="shared" si="887"/>
        <v>-24362.079999999998</v>
      </c>
      <c r="G1706" s="5">
        <f t="shared" si="886"/>
        <v>559704</v>
      </c>
      <c r="I1706" s="2"/>
    </row>
    <row r="1707" spans="1:9" x14ac:dyDescent="0.25">
      <c r="A1707" s="3"/>
      <c r="B1707" s="3"/>
      <c r="C1707" s="3" t="s">
        <v>113</v>
      </c>
      <c r="D1707" s="5">
        <f>D1712</f>
        <v>-2000</v>
      </c>
      <c r="E1707" s="5">
        <f t="shared" ref="E1707:F1707" si="888">E1712</f>
        <v>-13000</v>
      </c>
      <c r="F1707" s="5">
        <f t="shared" si="888"/>
        <v>-13000</v>
      </c>
      <c r="G1707" s="5">
        <f t="shared" si="886"/>
        <v>0</v>
      </c>
      <c r="I1707" s="2"/>
    </row>
    <row r="1708" spans="1:9" x14ac:dyDescent="0.25">
      <c r="A1708" s="3"/>
      <c r="B1708" s="3"/>
      <c r="C1708" s="3" t="s">
        <v>114</v>
      </c>
      <c r="D1708" s="5">
        <f>D1722</f>
        <v>-12318</v>
      </c>
      <c r="E1708" s="5">
        <f>E1722+E1713</f>
        <v>-12789.38</v>
      </c>
      <c r="F1708" s="5">
        <f>F1722+F1713+F1715</f>
        <v>-24524.67</v>
      </c>
      <c r="G1708" s="5">
        <f t="shared" si="886"/>
        <v>-11735.289999999999</v>
      </c>
      <c r="I1708" s="2"/>
    </row>
    <row r="1709" spans="1:9" x14ac:dyDescent="0.25">
      <c r="A1709" s="41"/>
      <c r="B1709" s="41"/>
      <c r="C1709" s="41" t="s">
        <v>117</v>
      </c>
      <c r="D1709" s="42">
        <f>SUM(D1710:D1712)</f>
        <v>-961511</v>
      </c>
      <c r="E1709" s="42">
        <f>SUM(E1710:E1713)</f>
        <v>-1265741</v>
      </c>
      <c r="F1709" s="42">
        <f>SUM(F1710:F1713)</f>
        <v>-679721.51</v>
      </c>
      <c r="G1709" s="42">
        <f>F1709-E1709</f>
        <v>586019.49</v>
      </c>
      <c r="I1709" s="2"/>
    </row>
    <row r="1710" spans="1:9" x14ac:dyDescent="0.25">
      <c r="A1710" s="3"/>
      <c r="B1710" s="3"/>
      <c r="C1710" s="3" t="s">
        <v>52</v>
      </c>
      <c r="D1710" s="5">
        <v>-583899</v>
      </c>
      <c r="E1710" s="5">
        <v>-668203.54</v>
      </c>
      <c r="F1710" s="5">
        <v>-646998.49</v>
      </c>
      <c r="G1710" s="5">
        <f t="shared" ref="G1710:G1713" si="889">F1710-E1710</f>
        <v>21205.050000000047</v>
      </c>
      <c r="I1710" s="2"/>
    </row>
    <row r="1711" spans="1:9" x14ac:dyDescent="0.25">
      <c r="A1711" s="3"/>
      <c r="B1711" s="3"/>
      <c r="C1711" s="3" t="s">
        <v>53</v>
      </c>
      <c r="D1711" s="5">
        <v>-375612</v>
      </c>
      <c r="E1711" s="5">
        <f>-582763.99-1302.09</f>
        <v>-584066.07999999996</v>
      </c>
      <c r="F1711" s="5">
        <v>-19245.419999999998</v>
      </c>
      <c r="G1711" s="5">
        <f t="shared" si="889"/>
        <v>564820.65999999992</v>
      </c>
      <c r="I1711" s="2"/>
    </row>
    <row r="1712" spans="1:9" x14ac:dyDescent="0.25">
      <c r="A1712" s="3"/>
      <c r="B1712" s="3"/>
      <c r="C1712" s="3" t="s">
        <v>113</v>
      </c>
      <c r="D1712" s="5">
        <v>-2000</v>
      </c>
      <c r="E1712" s="5">
        <v>-13000</v>
      </c>
      <c r="F1712" s="5">
        <v>-13000</v>
      </c>
      <c r="G1712" s="5">
        <f t="shared" si="889"/>
        <v>0</v>
      </c>
      <c r="I1712" s="2"/>
    </row>
    <row r="1713" spans="1:9" x14ac:dyDescent="0.25">
      <c r="A1713" s="3"/>
      <c r="B1713" s="3"/>
      <c r="C1713" s="3" t="s">
        <v>54</v>
      </c>
      <c r="D1713" s="5">
        <v>0</v>
      </c>
      <c r="E1713" s="5">
        <v>-471.38</v>
      </c>
      <c r="F1713" s="5">
        <v>-477.6</v>
      </c>
      <c r="G1713" s="5">
        <f t="shared" si="889"/>
        <v>-6.2200000000000273</v>
      </c>
      <c r="I1713" s="2"/>
    </row>
    <row r="1714" spans="1:9" x14ac:dyDescent="0.25">
      <c r="A1714" s="3"/>
      <c r="B1714" s="3"/>
      <c r="C1714" s="41" t="s">
        <v>118</v>
      </c>
      <c r="D1714" s="42">
        <v>0</v>
      </c>
      <c r="E1714" s="42">
        <v>0</v>
      </c>
      <c r="F1714" s="42">
        <f>F1715</f>
        <v>-36.76</v>
      </c>
      <c r="G1714" s="42">
        <f>F1714-E1714</f>
        <v>-36.76</v>
      </c>
      <c r="I1714" s="2"/>
    </row>
    <row r="1715" spans="1:9" x14ac:dyDescent="0.25">
      <c r="A1715" s="3"/>
      <c r="B1715" s="3"/>
      <c r="C1715" s="3" t="s">
        <v>114</v>
      </c>
      <c r="D1715" s="5">
        <v>0</v>
      </c>
      <c r="E1715" s="5">
        <v>0</v>
      </c>
      <c r="F1715" s="5">
        <v>-36.76</v>
      </c>
      <c r="G1715" s="5">
        <f t="shared" ref="G1715" si="890">F1715-E1715</f>
        <v>-36.76</v>
      </c>
      <c r="I1715" s="2"/>
    </row>
    <row r="1716" spans="1:9" x14ac:dyDescent="0.25">
      <c r="A1716" s="41"/>
      <c r="B1716" s="41"/>
      <c r="C1716" s="41" t="s">
        <v>119</v>
      </c>
      <c r="D1716" s="42">
        <f>SUM(D1718:D1719)</f>
        <v>-318002</v>
      </c>
      <c r="E1716" s="42">
        <f>E1717</f>
        <v>-274564.84999999998</v>
      </c>
      <c r="F1716" s="42">
        <f>SUM(F1718:F1719)</f>
        <v>-206113.63</v>
      </c>
      <c r="G1716" s="42">
        <f>F1716-E1716</f>
        <v>68451.219999999972</v>
      </c>
      <c r="I1716" s="2"/>
    </row>
    <row r="1717" spans="1:9" x14ac:dyDescent="0.25">
      <c r="A1717" s="41"/>
      <c r="B1717" s="41"/>
      <c r="C1717" s="3" t="s">
        <v>193</v>
      </c>
      <c r="D1717" s="5">
        <v>0</v>
      </c>
      <c r="E1717" s="5">
        <v>-274564.84999999998</v>
      </c>
      <c r="F1717" s="5"/>
      <c r="G1717" s="5">
        <f t="shared" ref="G1717" si="891">F1717-E1717</f>
        <v>274564.84999999998</v>
      </c>
      <c r="I1717" s="2"/>
    </row>
    <row r="1718" spans="1:9" x14ac:dyDescent="0.25">
      <c r="A1718" s="3"/>
      <c r="B1718" s="3"/>
      <c r="C1718" s="3" t="s">
        <v>52</v>
      </c>
      <c r="D1718" s="91">
        <v>-244870</v>
      </c>
      <c r="E1718" s="5">
        <v>0</v>
      </c>
      <c r="F1718" s="5">
        <v>-200996.97</v>
      </c>
      <c r="G1718" s="5">
        <f t="shared" ref="G1718:G1719" si="892">F1718-E1718</f>
        <v>-200996.97</v>
      </c>
      <c r="H1718" s="25" t="s">
        <v>124</v>
      </c>
      <c r="I1718" s="2"/>
    </row>
    <row r="1719" spans="1:9" x14ac:dyDescent="0.25">
      <c r="A1719" s="41"/>
      <c r="B1719" s="41"/>
      <c r="C1719" s="3" t="s">
        <v>53</v>
      </c>
      <c r="D1719" s="91">
        <v>-73132</v>
      </c>
      <c r="E1719" s="5">
        <v>0</v>
      </c>
      <c r="F1719" s="5">
        <v>-5116.66</v>
      </c>
      <c r="G1719" s="5">
        <f t="shared" si="892"/>
        <v>-5116.66</v>
      </c>
      <c r="I1719" s="2"/>
    </row>
    <row r="1720" spans="1:9" x14ac:dyDescent="0.25">
      <c r="A1720" s="41"/>
      <c r="B1720" s="41"/>
      <c r="C1720" s="41" t="s">
        <v>120</v>
      </c>
      <c r="D1720" s="42">
        <v>0</v>
      </c>
      <c r="E1720" s="42">
        <f>E1721</f>
        <v>-3882.82</v>
      </c>
      <c r="F1720" s="42">
        <v>0</v>
      </c>
      <c r="G1720" s="42">
        <f>F1720-E1720</f>
        <v>3882.82</v>
      </c>
      <c r="I1720" s="2"/>
    </row>
    <row r="1721" spans="1:9" x14ac:dyDescent="0.25">
      <c r="A1721" s="41"/>
      <c r="B1721" s="41"/>
      <c r="C1721" s="3" t="s">
        <v>193</v>
      </c>
      <c r="D1721" s="5">
        <v>0</v>
      </c>
      <c r="E1721" s="5">
        <v>-3882.82</v>
      </c>
      <c r="F1721" s="5">
        <v>0</v>
      </c>
      <c r="G1721" s="5">
        <f t="shared" ref="G1721" si="893">F1721-E1721</f>
        <v>3882.82</v>
      </c>
      <c r="I1721" s="2"/>
    </row>
    <row r="1722" spans="1:9" s="39" customFormat="1" x14ac:dyDescent="0.25">
      <c r="A1722" s="41"/>
      <c r="B1722" s="41"/>
      <c r="C1722" s="41" t="s">
        <v>121</v>
      </c>
      <c r="D1722" s="42">
        <v>-12318</v>
      </c>
      <c r="E1722" s="42">
        <f>D1722</f>
        <v>-12318</v>
      </c>
      <c r="F1722" s="5">
        <v>-24010.31</v>
      </c>
      <c r="G1722" s="42">
        <f>F1722-E1722</f>
        <v>-11692.310000000001</v>
      </c>
      <c r="H1722" s="25"/>
      <c r="I1722" s="2"/>
    </row>
    <row r="1723" spans="1:9" x14ac:dyDescent="0.25">
      <c r="A1723" s="41"/>
      <c r="B1723" s="41" t="s">
        <v>129</v>
      </c>
      <c r="C1723" s="41"/>
      <c r="D1723" s="42">
        <f>SUM(D1725:D1729)</f>
        <v>-16133583</v>
      </c>
      <c r="E1723" s="42">
        <f>SUM(E1724:E1729)</f>
        <v>-11685715.419999998</v>
      </c>
      <c r="F1723" s="42">
        <f>SUM(F1725:F1730)</f>
        <v>-11438674.550000001</v>
      </c>
      <c r="G1723" s="42">
        <f>F1723-E1723</f>
        <v>247040.86999999732</v>
      </c>
      <c r="I1723" s="2"/>
    </row>
    <row r="1724" spans="1:9" x14ac:dyDescent="0.25">
      <c r="A1724" s="41"/>
      <c r="B1724" s="41"/>
      <c r="C1724" s="3" t="s">
        <v>193</v>
      </c>
      <c r="D1724" s="5">
        <v>0</v>
      </c>
      <c r="E1724" s="5">
        <f>E1740+E1747</f>
        <v>-10030708.369999999</v>
      </c>
      <c r="F1724" s="5">
        <v>0</v>
      </c>
      <c r="G1724" s="5">
        <f t="shared" ref="G1724" si="894">F1724-E1724</f>
        <v>10030708.369999999</v>
      </c>
      <c r="I1724" s="2"/>
    </row>
    <row r="1725" spans="1:9" x14ac:dyDescent="0.25">
      <c r="A1725" s="3"/>
      <c r="B1725" s="3"/>
      <c r="C1725" s="3" t="s">
        <v>52</v>
      </c>
      <c r="D1725" s="5">
        <f>D1732+D1741</f>
        <v>-376324</v>
      </c>
      <c r="E1725" s="5">
        <f>E1732+E1741</f>
        <v>-225665.77</v>
      </c>
      <c r="F1725" s="5">
        <f>F1732+F1741+F1748</f>
        <v>-377246.77</v>
      </c>
      <c r="G1725" s="5">
        <f t="shared" ref="G1725:G1730" si="895">F1725-E1725</f>
        <v>-151581.00000000003</v>
      </c>
      <c r="I1725" s="2"/>
    </row>
    <row r="1726" spans="1:9" x14ac:dyDescent="0.25">
      <c r="A1726" s="3"/>
      <c r="B1726" s="3"/>
      <c r="C1726" s="3" t="s">
        <v>53</v>
      </c>
      <c r="D1726" s="5">
        <f>D1733+D1742</f>
        <v>-78815</v>
      </c>
      <c r="E1726" s="5">
        <f>E1733+E1742</f>
        <v>-51409.86</v>
      </c>
      <c r="F1726" s="5">
        <f>F1733+F1742+F1749</f>
        <v>-100039.5</v>
      </c>
      <c r="G1726" s="5">
        <f t="shared" si="895"/>
        <v>-48629.64</v>
      </c>
      <c r="I1726" s="2"/>
    </row>
    <row r="1727" spans="1:9" x14ac:dyDescent="0.25">
      <c r="A1727" s="3"/>
      <c r="B1727" s="3"/>
      <c r="C1727" s="3" t="s">
        <v>122</v>
      </c>
      <c r="D1727" s="5">
        <f>D1743</f>
        <v>-9433414</v>
      </c>
      <c r="E1727" s="5">
        <f t="shared" ref="E1727:F1727" si="896">E1743</f>
        <v>0</v>
      </c>
      <c r="F1727" s="5">
        <f t="shared" si="896"/>
        <v>-3307741.2</v>
      </c>
      <c r="G1727" s="5">
        <f t="shared" si="895"/>
        <v>-3307741.2</v>
      </c>
      <c r="I1727" s="2"/>
    </row>
    <row r="1728" spans="1:9" x14ac:dyDescent="0.25">
      <c r="A1728" s="3"/>
      <c r="B1728" s="3"/>
      <c r="C1728" s="3" t="s">
        <v>113</v>
      </c>
      <c r="D1728" s="5">
        <f>D1734+D1744</f>
        <v>-6113910</v>
      </c>
      <c r="E1728" s="5">
        <f t="shared" ref="E1728:F1728" si="897">E1734+E1744</f>
        <v>-1246811.42</v>
      </c>
      <c r="F1728" s="5">
        <f t="shared" si="897"/>
        <v>-7490640.9900000002</v>
      </c>
      <c r="G1728" s="5">
        <f t="shared" si="895"/>
        <v>-6243829.5700000003</v>
      </c>
      <c r="I1728" s="2"/>
    </row>
    <row r="1729" spans="1:9" x14ac:dyDescent="0.25">
      <c r="A1729" s="3"/>
      <c r="B1729" s="3"/>
      <c r="C1729" s="3" t="s">
        <v>114</v>
      </c>
      <c r="D1729" s="5">
        <f>D1750</f>
        <v>-131120</v>
      </c>
      <c r="E1729" s="5">
        <f t="shared" ref="E1729" si="898">E1750</f>
        <v>-131120</v>
      </c>
      <c r="F1729" s="5">
        <f>F1750+F1735+F1737+F1745</f>
        <v>-156393.20000000001</v>
      </c>
      <c r="G1729" s="5">
        <f t="shared" si="895"/>
        <v>-25273.200000000012</v>
      </c>
      <c r="I1729" s="2"/>
    </row>
    <row r="1730" spans="1:9" x14ac:dyDescent="0.25">
      <c r="A1730" s="3"/>
      <c r="B1730" s="3"/>
      <c r="C1730" s="3" t="s">
        <v>30</v>
      </c>
      <c r="D1730" s="5">
        <v>0</v>
      </c>
      <c r="E1730" s="5">
        <v>0</v>
      </c>
      <c r="F1730" s="5">
        <f>F1738</f>
        <v>-6612.89</v>
      </c>
      <c r="G1730" s="5">
        <f t="shared" si="895"/>
        <v>-6612.89</v>
      </c>
      <c r="I1730" s="2"/>
    </row>
    <row r="1731" spans="1:9" x14ac:dyDescent="0.25">
      <c r="A1731" s="41"/>
      <c r="B1731" s="41"/>
      <c r="C1731" s="41" t="s">
        <v>117</v>
      </c>
      <c r="D1731" s="42">
        <f>SUM(D1732:D1734)</f>
        <v>-1371918</v>
      </c>
      <c r="E1731" s="42">
        <f>SUM(E1732:E1734)</f>
        <v>-1523887.0499999998</v>
      </c>
      <c r="F1731" s="42">
        <f>SUM(F1732:F1735)</f>
        <v>-1338718.6700000002</v>
      </c>
      <c r="G1731" s="42">
        <f>F1731-E1731</f>
        <v>185168.37999999966</v>
      </c>
      <c r="I1731" s="2"/>
    </row>
    <row r="1732" spans="1:9" x14ac:dyDescent="0.25">
      <c r="A1732" s="3"/>
      <c r="B1732" s="3"/>
      <c r="C1732" s="3" t="s">
        <v>52</v>
      </c>
      <c r="D1732" s="5">
        <v>-239357</v>
      </c>
      <c r="E1732" s="5">
        <v>-225665.77</v>
      </c>
      <c r="F1732" s="5">
        <v>-224533.07</v>
      </c>
      <c r="G1732" s="5">
        <f t="shared" ref="G1732:G1735" si="899">F1732-E1732</f>
        <v>1132.6999999999825</v>
      </c>
      <c r="I1732" s="2"/>
    </row>
    <row r="1733" spans="1:9" x14ac:dyDescent="0.25">
      <c r="A1733" s="3"/>
      <c r="B1733" s="3"/>
      <c r="C1733" s="3" t="s">
        <v>53</v>
      </c>
      <c r="D1733" s="5">
        <v>-52465</v>
      </c>
      <c r="E1733" s="5">
        <f>-51351.58-58.28</f>
        <v>-51409.86</v>
      </c>
      <c r="F1733" s="5">
        <v>-42715.23</v>
      </c>
      <c r="G1733" s="5">
        <f t="shared" si="899"/>
        <v>8694.6299999999974</v>
      </c>
      <c r="I1733" s="2"/>
    </row>
    <row r="1734" spans="1:9" x14ac:dyDescent="0.25">
      <c r="A1734" s="3"/>
      <c r="B1734" s="3"/>
      <c r="C1734" s="3" t="s">
        <v>113</v>
      </c>
      <c r="D1734" s="5">
        <v>-1080096</v>
      </c>
      <c r="E1734" s="5">
        <v>-1246811.42</v>
      </c>
      <c r="F1734" s="5">
        <v>-1071158.6200000001</v>
      </c>
      <c r="G1734" s="5">
        <f t="shared" si="899"/>
        <v>175652.79999999981</v>
      </c>
      <c r="I1734" s="2"/>
    </row>
    <row r="1735" spans="1:9" x14ac:dyDescent="0.25">
      <c r="A1735" s="3"/>
      <c r="B1735" s="3"/>
      <c r="C1735" s="3" t="s">
        <v>54</v>
      </c>
      <c r="D1735" s="5">
        <v>0</v>
      </c>
      <c r="E1735" s="5">
        <v>0</v>
      </c>
      <c r="F1735" s="5">
        <v>-311.75</v>
      </c>
      <c r="G1735" s="5">
        <f t="shared" si="899"/>
        <v>-311.75</v>
      </c>
      <c r="I1735" s="2"/>
    </row>
    <row r="1736" spans="1:9" x14ac:dyDescent="0.25">
      <c r="A1736" s="3"/>
      <c r="B1736" s="3"/>
      <c r="C1736" s="41" t="s">
        <v>118</v>
      </c>
      <c r="D1736" s="42">
        <f>SUM(D1737:D1738)</f>
        <v>0</v>
      </c>
      <c r="E1736" s="42">
        <f t="shared" ref="E1736:F1736" si="900">SUM(E1737:E1738)</f>
        <v>0</v>
      </c>
      <c r="F1736" s="42">
        <f t="shared" si="900"/>
        <v>-9306.01</v>
      </c>
      <c r="G1736" s="42">
        <f>F1736-E1736</f>
        <v>-9306.01</v>
      </c>
      <c r="I1736" s="2"/>
    </row>
    <row r="1737" spans="1:9" x14ac:dyDescent="0.25">
      <c r="A1737" s="3"/>
      <c r="B1737" s="3"/>
      <c r="C1737" s="3" t="s">
        <v>114</v>
      </c>
      <c r="D1737" s="5">
        <v>0</v>
      </c>
      <c r="E1737" s="5">
        <v>0</v>
      </c>
      <c r="F1737" s="5">
        <v>-2693.12</v>
      </c>
      <c r="G1737" s="5">
        <f t="shared" ref="G1737:G1738" si="901">F1737-E1737</f>
        <v>-2693.12</v>
      </c>
      <c r="I1737" s="2"/>
    </row>
    <row r="1738" spans="1:9" x14ac:dyDescent="0.25">
      <c r="A1738" s="3"/>
      <c r="B1738" s="3"/>
      <c r="C1738" s="3" t="s">
        <v>30</v>
      </c>
      <c r="D1738" s="5">
        <v>0</v>
      </c>
      <c r="E1738" s="5">
        <v>0</v>
      </c>
      <c r="F1738" s="5">
        <v>-6612.89</v>
      </c>
      <c r="G1738" s="5">
        <f t="shared" si="901"/>
        <v>-6612.89</v>
      </c>
      <c r="I1738" s="2"/>
    </row>
    <row r="1739" spans="1:9" x14ac:dyDescent="0.25">
      <c r="A1739" s="41"/>
      <c r="B1739" s="41"/>
      <c r="C1739" s="41" t="s">
        <v>119</v>
      </c>
      <c r="D1739" s="42">
        <f>SUM(D1741:D1744)</f>
        <v>-14630545</v>
      </c>
      <c r="E1739" s="42">
        <f>E1740</f>
        <v>-10030510.93</v>
      </c>
      <c r="F1739" s="42">
        <f>SUM(F1741:F1745)</f>
        <v>-10006179.57</v>
      </c>
      <c r="G1739" s="42">
        <f>F1739-E1739</f>
        <v>24331.359999999404</v>
      </c>
      <c r="I1739" s="2"/>
    </row>
    <row r="1740" spans="1:9" x14ac:dyDescent="0.25">
      <c r="A1740" s="41"/>
      <c r="B1740" s="41"/>
      <c r="C1740" s="3" t="s">
        <v>193</v>
      </c>
      <c r="D1740" s="5">
        <v>0</v>
      </c>
      <c r="E1740" s="5">
        <v>-10030510.93</v>
      </c>
      <c r="F1740" s="5">
        <v>0</v>
      </c>
      <c r="G1740" s="5">
        <f t="shared" ref="G1740" si="902">F1740-E1740</f>
        <v>10030510.93</v>
      </c>
      <c r="I1740" s="2"/>
    </row>
    <row r="1741" spans="1:9" x14ac:dyDescent="0.25">
      <c r="A1741" s="3"/>
      <c r="B1741" s="3"/>
      <c r="C1741" s="3" t="s">
        <v>52</v>
      </c>
      <c r="D1741" s="5">
        <v>-136967</v>
      </c>
      <c r="E1741" s="5">
        <v>0</v>
      </c>
      <c r="F1741" s="5">
        <v>-152612.74</v>
      </c>
      <c r="G1741" s="5">
        <f t="shared" ref="G1741:G1742" si="903">F1741-E1741</f>
        <v>-152612.74</v>
      </c>
      <c r="I1741" s="2"/>
    </row>
    <row r="1742" spans="1:9" x14ac:dyDescent="0.25">
      <c r="A1742" s="3"/>
      <c r="B1742" s="3"/>
      <c r="C1742" s="3" t="s">
        <v>53</v>
      </c>
      <c r="D1742" s="5">
        <v>-26350</v>
      </c>
      <c r="E1742" s="5">
        <v>0</v>
      </c>
      <c r="F1742" s="5">
        <v>-57227.79</v>
      </c>
      <c r="G1742" s="5">
        <f t="shared" si="903"/>
        <v>-57227.79</v>
      </c>
      <c r="I1742" s="2"/>
    </row>
    <row r="1743" spans="1:9" x14ac:dyDescent="0.25">
      <c r="A1743" s="3"/>
      <c r="B1743" s="3"/>
      <c r="C1743" s="3" t="s">
        <v>122</v>
      </c>
      <c r="D1743" s="5">
        <v>-9433414</v>
      </c>
      <c r="E1743" s="5">
        <v>0</v>
      </c>
      <c r="F1743" s="5">
        <v>-3307741.2</v>
      </c>
      <c r="G1743" s="5">
        <f t="shared" ref="G1743:G1745" si="904">F1743-E1743</f>
        <v>-3307741.2</v>
      </c>
      <c r="H1743" s="25" t="s">
        <v>136</v>
      </c>
      <c r="I1743" s="2"/>
    </row>
    <row r="1744" spans="1:9" x14ac:dyDescent="0.25">
      <c r="A1744" s="41"/>
      <c r="B1744" s="41"/>
      <c r="C1744" s="3" t="s">
        <v>113</v>
      </c>
      <c r="D1744" s="5">
        <f>-10610257-3856971+9433414</f>
        <v>-5033814</v>
      </c>
      <c r="E1744" s="5">
        <v>0</v>
      </c>
      <c r="F1744" s="5">
        <v>-6419482.3700000001</v>
      </c>
      <c r="G1744" s="5">
        <f t="shared" si="904"/>
        <v>-6419482.3700000001</v>
      </c>
      <c r="I1744" s="2"/>
    </row>
    <row r="1745" spans="1:9" x14ac:dyDescent="0.25">
      <c r="A1745" s="41"/>
      <c r="B1745" s="41"/>
      <c r="C1745" s="3" t="s">
        <v>54</v>
      </c>
      <c r="D1745" s="5">
        <v>0</v>
      </c>
      <c r="E1745" s="5">
        <v>0</v>
      </c>
      <c r="F1745" s="5">
        <v>-69115.47</v>
      </c>
      <c r="G1745" s="5">
        <f t="shared" si="904"/>
        <v>-69115.47</v>
      </c>
      <c r="I1745" s="2"/>
    </row>
    <row r="1746" spans="1:9" x14ac:dyDescent="0.25">
      <c r="A1746" s="41"/>
      <c r="B1746" s="41"/>
      <c r="C1746" s="41" t="s">
        <v>120</v>
      </c>
      <c r="D1746" s="42">
        <v>0</v>
      </c>
      <c r="E1746" s="42">
        <f>E1747</f>
        <v>-197.44</v>
      </c>
      <c r="F1746" s="42">
        <f>SUM(F1748:F1749)</f>
        <v>-197.44</v>
      </c>
      <c r="G1746" s="42">
        <f>F1746-E1746</f>
        <v>0</v>
      </c>
      <c r="I1746" s="2"/>
    </row>
    <row r="1747" spans="1:9" x14ac:dyDescent="0.25">
      <c r="A1747" s="41"/>
      <c r="B1747" s="41"/>
      <c r="C1747" s="3" t="s">
        <v>193</v>
      </c>
      <c r="D1747" s="5">
        <v>0</v>
      </c>
      <c r="E1747" s="5">
        <v>-197.44</v>
      </c>
      <c r="F1747" s="5">
        <v>0</v>
      </c>
      <c r="G1747" s="5">
        <f t="shared" ref="G1747:G1749" si="905">F1747-E1747</f>
        <v>197.44</v>
      </c>
      <c r="I1747" s="2"/>
    </row>
    <row r="1748" spans="1:9" x14ac:dyDescent="0.25">
      <c r="A1748" s="41"/>
      <c r="B1748" s="41"/>
      <c r="C1748" s="3" t="s">
        <v>52</v>
      </c>
      <c r="D1748" s="5">
        <v>0</v>
      </c>
      <c r="E1748" s="5">
        <v>0</v>
      </c>
      <c r="F1748" s="5">
        <v>-100.96</v>
      </c>
      <c r="G1748" s="5">
        <f t="shared" si="905"/>
        <v>-100.96</v>
      </c>
      <c r="I1748" s="2"/>
    </row>
    <row r="1749" spans="1:9" x14ac:dyDescent="0.25">
      <c r="A1749" s="41"/>
      <c r="B1749" s="41"/>
      <c r="C1749" s="3" t="s">
        <v>53</v>
      </c>
      <c r="D1749" s="5">
        <v>0</v>
      </c>
      <c r="E1749" s="5">
        <v>0</v>
      </c>
      <c r="F1749" s="5">
        <v>-96.48</v>
      </c>
      <c r="G1749" s="5">
        <f t="shared" si="905"/>
        <v>-96.48</v>
      </c>
      <c r="I1749" s="2"/>
    </row>
    <row r="1750" spans="1:9" s="39" customFormat="1" x14ac:dyDescent="0.25">
      <c r="A1750" s="41"/>
      <c r="B1750" s="41"/>
      <c r="C1750" s="41" t="s">
        <v>121</v>
      </c>
      <c r="D1750" s="42">
        <v>-131120</v>
      </c>
      <c r="E1750" s="42">
        <f>D1750</f>
        <v>-131120</v>
      </c>
      <c r="F1750" s="5">
        <v>-84272.86</v>
      </c>
      <c r="G1750" s="42">
        <f>F1750-E1750</f>
        <v>46847.14</v>
      </c>
      <c r="H1750" s="25"/>
      <c r="I1750" s="2"/>
    </row>
    <row r="1751" spans="1:9" s="39" customFormat="1" x14ac:dyDescent="0.25">
      <c r="A1751" s="41"/>
      <c r="B1751" s="39" t="s">
        <v>195</v>
      </c>
      <c r="C1751" s="41"/>
      <c r="D1751" s="42">
        <f>SUM(D1752:D1755)</f>
        <v>0</v>
      </c>
      <c r="E1751" s="42">
        <f t="shared" ref="E1751:F1751" si="906">SUM(E1752:E1755)</f>
        <v>-165302.37</v>
      </c>
      <c r="F1751" s="42">
        <f t="shared" si="906"/>
        <v>-69634.23000000001</v>
      </c>
      <c r="G1751" s="42">
        <f>F1751-E1751</f>
        <v>95668.139999999985</v>
      </c>
      <c r="H1751" s="25"/>
      <c r="I1751" s="2"/>
    </row>
    <row r="1752" spans="1:9" s="39" customFormat="1" x14ac:dyDescent="0.25">
      <c r="A1752" s="41"/>
      <c r="B1752" s="41"/>
      <c r="C1752" s="3" t="s">
        <v>193</v>
      </c>
      <c r="D1752" s="42">
        <v>0</v>
      </c>
      <c r="E1752" s="5">
        <f>E1762</f>
        <v>-2045.91</v>
      </c>
      <c r="F1752" s="5">
        <v>0</v>
      </c>
      <c r="G1752" s="5">
        <f t="shared" ref="G1752:G1755" si="907">F1752-E1752</f>
        <v>2045.91</v>
      </c>
      <c r="H1752" s="25"/>
      <c r="I1752" s="2"/>
    </row>
    <row r="1753" spans="1:9" s="39" customFormat="1" x14ac:dyDescent="0.25">
      <c r="A1753" s="41"/>
      <c r="B1753" s="3"/>
      <c r="C1753" s="3" t="s">
        <v>52</v>
      </c>
      <c r="D1753" s="5">
        <f>D1757+D1763</f>
        <v>0</v>
      </c>
      <c r="E1753" s="5">
        <f t="shared" ref="E1753:F1753" si="908">E1757+E1763</f>
        <v>-39538.1</v>
      </c>
      <c r="F1753" s="5">
        <f t="shared" si="908"/>
        <v>-37989.050000000003</v>
      </c>
      <c r="G1753" s="5">
        <f t="shared" si="907"/>
        <v>1549.0499999999956</v>
      </c>
      <c r="H1753" s="25"/>
      <c r="I1753" s="2"/>
    </row>
    <row r="1754" spans="1:9" s="39" customFormat="1" x14ac:dyDescent="0.25">
      <c r="A1754" s="41"/>
      <c r="B1754" s="3"/>
      <c r="C1754" s="3" t="s">
        <v>53</v>
      </c>
      <c r="D1754" s="5">
        <f>D1758+D1764</f>
        <v>0</v>
      </c>
      <c r="E1754" s="5">
        <f t="shared" ref="E1754:F1754" si="909">E1758+E1764</f>
        <v>-123718.36</v>
      </c>
      <c r="F1754" s="5">
        <f t="shared" si="909"/>
        <v>-4750.22</v>
      </c>
      <c r="G1754" s="5">
        <f t="shared" si="907"/>
        <v>118968.14</v>
      </c>
      <c r="H1754" s="25"/>
      <c r="I1754" s="2"/>
    </row>
    <row r="1755" spans="1:9" s="39" customFormat="1" x14ac:dyDescent="0.25">
      <c r="A1755" s="41"/>
      <c r="B1755" s="3"/>
      <c r="C1755" s="3" t="s">
        <v>114</v>
      </c>
      <c r="D1755" s="5">
        <f>D1765+D1760</f>
        <v>0</v>
      </c>
      <c r="E1755" s="5">
        <f t="shared" ref="E1755:F1755" si="910">E1765+E1760</f>
        <v>0</v>
      </c>
      <c r="F1755" s="5">
        <f t="shared" si="910"/>
        <v>-26894.960000000003</v>
      </c>
      <c r="G1755" s="5">
        <f t="shared" si="907"/>
        <v>-26894.960000000003</v>
      </c>
      <c r="H1755" s="25"/>
      <c r="I1755" s="2"/>
    </row>
    <row r="1756" spans="1:9" s="39" customFormat="1" x14ac:dyDescent="0.25">
      <c r="A1756" s="41"/>
      <c r="B1756" s="41"/>
      <c r="C1756" s="41" t="s">
        <v>117</v>
      </c>
      <c r="D1756" s="42">
        <f>SUM(D1757:D1758)</f>
        <v>0</v>
      </c>
      <c r="E1756" s="42">
        <f>SUM(E1757:E1758)</f>
        <v>-163256.46</v>
      </c>
      <c r="F1756" s="42">
        <f>SUM(F1757:F1758)</f>
        <v>-41369.43</v>
      </c>
      <c r="G1756" s="42">
        <f>F1756-E1756</f>
        <v>121887.03</v>
      </c>
      <c r="H1756" s="25"/>
      <c r="I1756" s="2"/>
    </row>
    <row r="1757" spans="1:9" s="39" customFormat="1" x14ac:dyDescent="0.25">
      <c r="A1757" s="41"/>
      <c r="B1757" s="3"/>
      <c r="C1757" s="3" t="s">
        <v>52</v>
      </c>
      <c r="D1757" s="5">
        <v>0</v>
      </c>
      <c r="E1757" s="5">
        <v>-39538.1</v>
      </c>
      <c r="F1757" s="5">
        <v>-36695.33</v>
      </c>
      <c r="G1757" s="5">
        <f t="shared" ref="G1757:G1760" si="911">F1757-E1757</f>
        <v>2842.7699999999968</v>
      </c>
      <c r="H1757" s="25"/>
      <c r="I1757" s="2"/>
    </row>
    <row r="1758" spans="1:9" s="39" customFormat="1" x14ac:dyDescent="0.25">
      <c r="A1758" s="41"/>
      <c r="B1758" s="3"/>
      <c r="C1758" s="3" t="s">
        <v>53</v>
      </c>
      <c r="D1758" s="5">
        <v>0</v>
      </c>
      <c r="E1758" s="5">
        <v>-123718.36</v>
      </c>
      <c r="F1758" s="5">
        <v>-4674.1000000000004</v>
      </c>
      <c r="G1758" s="5">
        <f t="shared" si="911"/>
        <v>119044.26</v>
      </c>
      <c r="H1758" s="25"/>
      <c r="I1758" s="2"/>
    </row>
    <row r="1759" spans="1:9" s="39" customFormat="1" x14ac:dyDescent="0.25">
      <c r="A1759" s="41"/>
      <c r="B1759" s="41"/>
      <c r="C1759" s="41" t="s">
        <v>118</v>
      </c>
      <c r="D1759" s="42">
        <f>D1760</f>
        <v>0</v>
      </c>
      <c r="E1759" s="42">
        <f t="shared" ref="E1759:F1759" si="912">E1760</f>
        <v>0</v>
      </c>
      <c r="F1759" s="42">
        <f t="shared" si="912"/>
        <v>0.03</v>
      </c>
      <c r="G1759" s="42">
        <f t="shared" si="911"/>
        <v>0.03</v>
      </c>
      <c r="H1759" s="25"/>
      <c r="I1759" s="2"/>
    </row>
    <row r="1760" spans="1:9" s="39" customFormat="1" x14ac:dyDescent="0.25">
      <c r="A1760" s="41"/>
      <c r="B1760" s="3"/>
      <c r="C1760" s="3" t="s">
        <v>54</v>
      </c>
      <c r="D1760" s="5">
        <v>0</v>
      </c>
      <c r="E1760" s="5">
        <v>0</v>
      </c>
      <c r="F1760" s="5">
        <v>0.03</v>
      </c>
      <c r="G1760" s="5">
        <f t="shared" si="911"/>
        <v>0.03</v>
      </c>
      <c r="H1760" s="25"/>
      <c r="I1760" s="2"/>
    </row>
    <row r="1761" spans="1:9" s="39" customFormat="1" x14ac:dyDescent="0.25">
      <c r="A1761" s="41"/>
      <c r="B1761" s="41"/>
      <c r="C1761" s="41" t="s">
        <v>119</v>
      </c>
      <c r="D1761" s="42">
        <f>SUM(D1762:D1764)</f>
        <v>0</v>
      </c>
      <c r="E1761" s="42">
        <f t="shared" ref="E1761:F1761" si="913">SUM(E1762:E1764)</f>
        <v>-2045.91</v>
      </c>
      <c r="F1761" s="42">
        <f t="shared" si="913"/>
        <v>-1369.8400000000001</v>
      </c>
      <c r="G1761" s="42">
        <f>F1761-E1761</f>
        <v>676.06999999999994</v>
      </c>
      <c r="H1761" s="25"/>
      <c r="I1761" s="2"/>
    </row>
    <row r="1762" spans="1:9" s="39" customFormat="1" x14ac:dyDescent="0.25">
      <c r="A1762" s="41"/>
      <c r="B1762" s="41"/>
      <c r="C1762" s="3" t="s">
        <v>193</v>
      </c>
      <c r="D1762" s="42">
        <v>0</v>
      </c>
      <c r="E1762" s="5">
        <v>-2045.91</v>
      </c>
      <c r="F1762" s="5">
        <v>0</v>
      </c>
      <c r="G1762" s="5">
        <f t="shared" ref="G1762:G1764" si="914">F1762-E1762</f>
        <v>2045.91</v>
      </c>
      <c r="H1762" s="25"/>
      <c r="I1762" s="2"/>
    </row>
    <row r="1763" spans="1:9" s="39" customFormat="1" x14ac:dyDescent="0.25">
      <c r="A1763" s="41"/>
      <c r="B1763" s="3"/>
      <c r="C1763" s="3" t="s">
        <v>52</v>
      </c>
      <c r="D1763" s="5">
        <v>0</v>
      </c>
      <c r="E1763" s="5">
        <v>0</v>
      </c>
      <c r="F1763" s="5">
        <v>-1293.72</v>
      </c>
      <c r="G1763" s="5">
        <f t="shared" si="914"/>
        <v>-1293.72</v>
      </c>
      <c r="H1763" s="25"/>
      <c r="I1763" s="2"/>
    </row>
    <row r="1764" spans="1:9" s="39" customFormat="1" x14ac:dyDescent="0.25">
      <c r="A1764" s="41"/>
      <c r="B1764" s="41"/>
      <c r="C1764" s="3" t="s">
        <v>53</v>
      </c>
      <c r="D1764" s="5">
        <v>0</v>
      </c>
      <c r="E1764" s="5">
        <v>0</v>
      </c>
      <c r="F1764" s="5">
        <v>-76.12</v>
      </c>
      <c r="G1764" s="5">
        <f t="shared" si="914"/>
        <v>-76.12</v>
      </c>
      <c r="H1764" s="25"/>
      <c r="I1764" s="2"/>
    </row>
    <row r="1765" spans="1:9" s="39" customFormat="1" x14ac:dyDescent="0.25">
      <c r="A1765" s="41"/>
      <c r="B1765" s="41"/>
      <c r="C1765" s="41" t="s">
        <v>121</v>
      </c>
      <c r="D1765" s="42">
        <v>0</v>
      </c>
      <c r="E1765" s="42">
        <f>D1765</f>
        <v>0</v>
      </c>
      <c r="F1765" s="5">
        <v>-26894.99</v>
      </c>
      <c r="G1765" s="42">
        <f>F1765-E1765</f>
        <v>-26894.99</v>
      </c>
      <c r="H1765" s="25"/>
      <c r="I1765" s="2"/>
    </row>
    <row r="1766" spans="1:9" s="39" customFormat="1" x14ac:dyDescent="0.25">
      <c r="A1766" s="41" t="s">
        <v>49</v>
      </c>
      <c r="B1766" s="41"/>
      <c r="C1766" s="41"/>
      <c r="D1766" s="42">
        <f>SUM(D1767:D1769)</f>
        <v>-4952831</v>
      </c>
      <c r="E1766" s="42">
        <f>SUM(E1767:E1769)</f>
        <v>-5244629.67</v>
      </c>
      <c r="F1766" s="42">
        <f>SUM(F1767:F1769)</f>
        <v>-4973559.68</v>
      </c>
      <c r="G1766" s="42">
        <f>SUM(G1767:G1769)</f>
        <v>271069.99000000022</v>
      </c>
      <c r="H1766" s="25"/>
      <c r="I1766" s="2"/>
    </row>
    <row r="1767" spans="1:9" x14ac:dyDescent="0.25">
      <c r="A1767" s="3"/>
      <c r="B1767" s="3" t="s">
        <v>118</v>
      </c>
      <c r="C1767" s="3"/>
      <c r="D1767" s="5">
        <v>-4203037</v>
      </c>
      <c r="E1767" s="5">
        <f t="shared" ref="E1767" si="915">D1767</f>
        <v>-4203037</v>
      </c>
      <c r="F1767" s="5">
        <f>-3931964.96-2.05</f>
        <v>-3931967.01</v>
      </c>
      <c r="G1767" s="5">
        <f t="shared" ref="G1767:G1769" si="916">F1767-E1767</f>
        <v>271069.99000000022</v>
      </c>
      <c r="I1767" s="2"/>
    </row>
    <row r="1768" spans="1:9" x14ac:dyDescent="0.25">
      <c r="A1768" s="3"/>
      <c r="B1768" s="3" t="s">
        <v>119</v>
      </c>
      <c r="C1768" s="3"/>
      <c r="D1768" s="5">
        <v>-608950</v>
      </c>
      <c r="E1768" s="5">
        <v>-1006892.51</v>
      </c>
      <c r="F1768" s="5">
        <v>-1006892.51</v>
      </c>
      <c r="G1768" s="5">
        <f t="shared" si="916"/>
        <v>0</v>
      </c>
      <c r="I1768" s="2"/>
    </row>
    <row r="1769" spans="1:9" x14ac:dyDescent="0.25">
      <c r="A1769" s="3"/>
      <c r="B1769" s="3" t="s">
        <v>120</v>
      </c>
      <c r="C1769" s="3"/>
      <c r="D1769" s="5">
        <v>-140844</v>
      </c>
      <c r="E1769" s="5">
        <v>-34700.160000000003</v>
      </c>
      <c r="F1769" s="5">
        <v>-34700.160000000003</v>
      </c>
      <c r="G1769" s="5">
        <f t="shared" si="916"/>
        <v>0</v>
      </c>
      <c r="I1769" s="2"/>
    </row>
  </sheetData>
  <autoFilter ref="A4:I4" xr:uid="{1EA5352C-D577-4AC0-AB2D-448D0F264886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F9403-50E9-43C6-AF9D-B37F0A9328D9}">
  <dimension ref="A1:O24"/>
  <sheetViews>
    <sheetView workbookViewId="0">
      <selection activeCell="H22" sqref="H22"/>
    </sheetView>
  </sheetViews>
  <sheetFormatPr defaultRowHeight="15" x14ac:dyDescent="0.25"/>
  <cols>
    <col min="1" max="1" width="7.140625" customWidth="1"/>
    <col min="2" max="2" width="39.140625" customWidth="1"/>
    <col min="3" max="3" width="16.7109375" style="43" bestFit="1" customWidth="1"/>
    <col min="4" max="4" width="16.140625" style="43" bestFit="1" customWidth="1"/>
    <col min="5" max="5" width="16.7109375" style="43" bestFit="1" customWidth="1"/>
    <col min="6" max="6" width="9.140625" style="25"/>
    <col min="7" max="7" width="16" style="25" bestFit="1" customWidth="1"/>
    <col min="8" max="8" width="16.7109375" style="25" bestFit="1" customWidth="1"/>
    <col min="9" max="9" width="15.85546875" style="25" bestFit="1" customWidth="1"/>
    <col min="11" max="11" width="14.28515625" bestFit="1" customWidth="1"/>
    <col min="13" max="13" width="14.28515625" bestFit="1" customWidth="1"/>
    <col min="14" max="14" width="10.7109375" bestFit="1" customWidth="1"/>
    <col min="15" max="15" width="13.28515625" customWidth="1"/>
  </cols>
  <sheetData>
    <row r="1" spans="1:15" x14ac:dyDescent="0.25">
      <c r="A1" s="19" t="s">
        <v>25</v>
      </c>
      <c r="B1" s="20"/>
      <c r="C1" s="48"/>
      <c r="D1" s="48"/>
      <c r="E1" s="48"/>
      <c r="F1" s="21"/>
      <c r="G1" s="22"/>
      <c r="H1" s="23"/>
      <c r="I1" s="24"/>
      <c r="J1" s="25"/>
    </row>
    <row r="2" spans="1:15" x14ac:dyDescent="0.25">
      <c r="A2" s="19" t="s">
        <v>26</v>
      </c>
      <c r="B2" s="20"/>
      <c r="C2" s="48"/>
      <c r="D2" s="48"/>
      <c r="E2" s="48"/>
      <c r="F2" s="21"/>
      <c r="G2" s="48"/>
      <c r="H2" s="48"/>
      <c r="I2" s="23"/>
      <c r="J2" s="25"/>
    </row>
    <row r="3" spans="1:15" x14ac:dyDescent="0.25">
      <c r="A3" s="19"/>
      <c r="B3" s="20"/>
      <c r="C3" s="49">
        <f>SUBTOTAL(9,C5:C25)</f>
        <v>-1048748071.46</v>
      </c>
      <c r="D3" s="49">
        <f>SUBTOTAL(9,D5:D25)</f>
        <v>-1048748071.0525682</v>
      </c>
      <c r="E3" s="49">
        <f>SUBTOTAL(9,E5:E25)</f>
        <v>-0.40743177384138107</v>
      </c>
      <c r="F3" s="21"/>
      <c r="G3" s="49">
        <f>SUBTOTAL(9,G5:G25)</f>
        <v>-967522072.63</v>
      </c>
      <c r="H3" s="49">
        <f>SUBTOTAL(9,H5:H25)</f>
        <v>-967522072.52999997</v>
      </c>
      <c r="I3" s="49">
        <f>SUBTOTAL(9,I5:I25)</f>
        <v>-9.9999970465432853E-2</v>
      </c>
    </row>
    <row r="4" spans="1:15" ht="25.5" x14ac:dyDescent="0.25">
      <c r="A4" s="26" t="s">
        <v>34</v>
      </c>
      <c r="B4" s="26" t="s">
        <v>27</v>
      </c>
      <c r="C4" s="82" t="s">
        <v>197</v>
      </c>
      <c r="D4" s="82" t="s">
        <v>198</v>
      </c>
      <c r="E4" s="82" t="s">
        <v>199</v>
      </c>
      <c r="F4" s="83" t="s">
        <v>28</v>
      </c>
      <c r="G4" s="84" t="s">
        <v>100</v>
      </c>
      <c r="H4" s="84" t="s">
        <v>101</v>
      </c>
      <c r="I4" s="84" t="s">
        <v>102</v>
      </c>
      <c r="J4" s="85" t="s">
        <v>28</v>
      </c>
      <c r="K4" s="86"/>
    </row>
    <row r="5" spans="1:15" x14ac:dyDescent="0.25">
      <c r="A5" t="s">
        <v>97</v>
      </c>
      <c r="B5" t="s">
        <v>5</v>
      </c>
      <c r="C5" s="43">
        <v>1233780.3600000001</v>
      </c>
      <c r="D5" s="23">
        <f>aruanne!E6</f>
        <v>1242282.96</v>
      </c>
      <c r="E5" s="43">
        <f>C5-D5</f>
        <v>-8502.5999999998603</v>
      </c>
      <c r="G5" s="43">
        <v>1379879.15</v>
      </c>
      <c r="H5" s="23">
        <f>aruanne!F6</f>
        <v>1387745.04</v>
      </c>
      <c r="I5" s="23">
        <f t="shared" ref="I5:I24" si="0">G5-H5</f>
        <v>-7865.8900000001304</v>
      </c>
      <c r="K5" s="25"/>
      <c r="O5" s="25"/>
    </row>
    <row r="6" spans="1:15" x14ac:dyDescent="0.25">
      <c r="A6" t="s">
        <v>97</v>
      </c>
      <c r="B6" t="s">
        <v>6</v>
      </c>
      <c r="C6" s="43">
        <v>9956458.4199999999</v>
      </c>
      <c r="D6" s="23">
        <f>aruanne!E7+aruanne!E104</f>
        <v>10014360.65</v>
      </c>
      <c r="E6" s="43">
        <f t="shared" ref="E6:E24" si="1">C6-D6</f>
        <v>-57902.230000000447</v>
      </c>
      <c r="G6" s="43">
        <v>18042521.190000001</v>
      </c>
      <c r="H6" s="23">
        <f>aruanne!F7+aruanne!F104</f>
        <v>18117876.82</v>
      </c>
      <c r="I6" s="23">
        <f t="shared" si="0"/>
        <v>-75355.629999998957</v>
      </c>
      <c r="K6" s="25"/>
      <c r="O6" s="25"/>
    </row>
    <row r="7" spans="1:15" x14ac:dyDescent="0.25">
      <c r="A7" t="s">
        <v>97</v>
      </c>
      <c r="B7" t="s">
        <v>4</v>
      </c>
      <c r="C7" s="43">
        <v>456102596.05000001</v>
      </c>
      <c r="D7" s="23">
        <f>aruanne!E8+aruanne!E101+aruanne!E102</f>
        <v>456102596.05000001</v>
      </c>
      <c r="E7" s="43">
        <f t="shared" si="1"/>
        <v>0</v>
      </c>
      <c r="G7" s="43">
        <v>324503530.88999999</v>
      </c>
      <c r="H7" s="23">
        <f>aruanne!F8+aruanne!F101+aruanne!F102</f>
        <v>324503530.89000005</v>
      </c>
      <c r="I7" s="23">
        <f t="shared" si="0"/>
        <v>0</v>
      </c>
      <c r="K7" s="25"/>
      <c r="O7" s="25"/>
    </row>
    <row r="8" spans="1:15" x14ac:dyDescent="0.25">
      <c r="A8" t="s">
        <v>97</v>
      </c>
      <c r="B8" t="s">
        <v>110</v>
      </c>
      <c r="C8" s="43">
        <v>0</v>
      </c>
      <c r="D8" s="23">
        <f>aruanne!E9+aruanne!E106</f>
        <v>0</v>
      </c>
      <c r="E8" s="43">
        <f t="shared" si="1"/>
        <v>0</v>
      </c>
      <c r="G8" s="43">
        <v>19539781.059999999</v>
      </c>
      <c r="H8" s="23">
        <f>aruanne!F9+aruanne!F106</f>
        <v>19539781.059999999</v>
      </c>
      <c r="I8" s="23">
        <f t="shared" si="0"/>
        <v>0</v>
      </c>
      <c r="K8" s="25"/>
      <c r="O8" s="25"/>
    </row>
    <row r="9" spans="1:15" x14ac:dyDescent="0.25">
      <c r="A9" t="s">
        <v>97</v>
      </c>
      <c r="B9" t="s">
        <v>8</v>
      </c>
      <c r="C9" s="43">
        <v>31817.360000000001</v>
      </c>
      <c r="D9" s="23">
        <f>aruanne!E10</f>
        <v>31817.360000000001</v>
      </c>
      <c r="E9" s="43">
        <f t="shared" si="1"/>
        <v>0</v>
      </c>
      <c r="G9" s="43">
        <v>19235.490000000002</v>
      </c>
      <c r="H9" s="23">
        <f>aruanne!F10</f>
        <v>19235.490000000002</v>
      </c>
      <c r="I9" s="23">
        <f t="shared" si="0"/>
        <v>0</v>
      </c>
      <c r="K9" s="25"/>
      <c r="M9" s="25"/>
      <c r="O9" s="25"/>
    </row>
    <row r="10" spans="1:15" x14ac:dyDescent="0.25">
      <c r="A10" t="s">
        <v>97</v>
      </c>
      <c r="B10" t="s">
        <v>9</v>
      </c>
      <c r="C10" s="43">
        <v>1582696.52</v>
      </c>
      <c r="D10" s="23">
        <f>aruanne!E11</f>
        <v>1582696.52</v>
      </c>
      <c r="E10" s="43">
        <f t="shared" si="1"/>
        <v>0</v>
      </c>
      <c r="G10" s="43">
        <v>1294265.6499999999</v>
      </c>
      <c r="H10" s="23">
        <f>aruanne!F11</f>
        <v>1294265.6499999999</v>
      </c>
      <c r="I10" s="23">
        <f t="shared" si="0"/>
        <v>0</v>
      </c>
      <c r="K10" s="25"/>
      <c r="O10" s="25"/>
    </row>
    <row r="11" spans="1:15" x14ac:dyDescent="0.25">
      <c r="A11" t="s">
        <v>97</v>
      </c>
      <c r="B11" t="s">
        <v>51</v>
      </c>
      <c r="C11" s="43">
        <f>543421.59+1922005.84-C10</f>
        <v>882730.91000000015</v>
      </c>
      <c r="D11" s="23">
        <f>aruanne!E12</f>
        <v>882730.91000000015</v>
      </c>
      <c r="E11" s="43">
        <f t="shared" si="1"/>
        <v>0</v>
      </c>
      <c r="G11" s="43">
        <f>1528873.31+372375.33-1294265.65</f>
        <v>606982.99000000022</v>
      </c>
      <c r="H11" s="23">
        <f>aruanne!F12</f>
        <v>606982.99</v>
      </c>
      <c r="I11" s="23">
        <f t="shared" si="0"/>
        <v>0</v>
      </c>
      <c r="K11" s="25"/>
      <c r="O11" s="25"/>
    </row>
    <row r="12" spans="1:15" x14ac:dyDescent="0.25">
      <c r="A12" t="s">
        <v>97</v>
      </c>
      <c r="B12" t="s">
        <v>31</v>
      </c>
      <c r="C12" s="43">
        <f>8502.6+57902.23</f>
        <v>66404.83</v>
      </c>
      <c r="D12" s="23"/>
      <c r="E12" s="43">
        <f t="shared" si="1"/>
        <v>66404.83</v>
      </c>
      <c r="G12" s="43">
        <f>7865.89+75355.63</f>
        <v>83221.52</v>
      </c>
      <c r="H12" s="23"/>
      <c r="I12" s="23">
        <f t="shared" si="0"/>
        <v>83221.52</v>
      </c>
      <c r="K12" s="25"/>
      <c r="O12" s="25"/>
    </row>
    <row r="13" spans="1:15" x14ac:dyDescent="0.25">
      <c r="A13" t="s">
        <v>97</v>
      </c>
      <c r="B13" t="s">
        <v>29</v>
      </c>
      <c r="C13" s="43">
        <f>66461.57+7372017.12-9468.84</f>
        <v>7429009.8500000006</v>
      </c>
      <c r="D13" s="23">
        <f>aruanne!E13</f>
        <v>7429009.8500000006</v>
      </c>
      <c r="E13" s="43">
        <f t="shared" si="1"/>
        <v>0</v>
      </c>
      <c r="G13" s="43">
        <f>81662.02+5740324.3+1524062.2</f>
        <v>7346048.5199999996</v>
      </c>
      <c r="H13" s="23">
        <f>aruanne!F13</f>
        <v>7346048.5199999996</v>
      </c>
      <c r="I13" s="23">
        <f t="shared" si="0"/>
        <v>0</v>
      </c>
      <c r="K13" s="25"/>
      <c r="O13" s="25"/>
    </row>
    <row r="14" spans="1:15" x14ac:dyDescent="0.25">
      <c r="A14" t="s">
        <v>97</v>
      </c>
      <c r="B14" t="s">
        <v>59</v>
      </c>
      <c r="C14" s="43">
        <f>-1507067077.14-C17-C20</f>
        <v>-1500870657.2</v>
      </c>
      <c r="D14" s="23">
        <f>aruanne!E14+aruanne!E108+aruanne!E107+aruanne!E105-D17+aruanne!E103</f>
        <v>-1501220035.2225683</v>
      </c>
      <c r="E14" s="43">
        <f t="shared" si="1"/>
        <v>349378.02256822586</v>
      </c>
      <c r="G14" s="43">
        <f>-1371104283.41-G17-G20</f>
        <v>-1363827068.9300001</v>
      </c>
      <c r="H14" s="23">
        <f>aruanne!F14+aruanne!F108+aruanne!F107+aruanne!F105-H17+aruanne!F103</f>
        <v>-1364069733.4000001</v>
      </c>
      <c r="I14" s="23">
        <f t="shared" si="0"/>
        <v>242664.47000002861</v>
      </c>
      <c r="K14" s="25"/>
      <c r="O14" s="25"/>
    </row>
    <row r="15" spans="1:15" x14ac:dyDescent="0.25">
      <c r="A15" t="s">
        <v>97</v>
      </c>
      <c r="B15" t="s">
        <v>32</v>
      </c>
      <c r="C15" s="43">
        <f>-3741.4-54160.79-8502.6</f>
        <v>-66404.790000000008</v>
      </c>
      <c r="D15" s="23"/>
      <c r="E15" s="43">
        <f t="shared" si="1"/>
        <v>-66404.790000000008</v>
      </c>
      <c r="G15" s="43">
        <f>-75298.63-7922.89</f>
        <v>-83221.52</v>
      </c>
      <c r="H15" s="23"/>
      <c r="I15" s="23">
        <f t="shared" si="0"/>
        <v>-83221.52</v>
      </c>
      <c r="K15" s="25"/>
      <c r="O15" s="25"/>
    </row>
    <row r="16" spans="1:15" x14ac:dyDescent="0.25">
      <c r="A16" t="s">
        <v>97</v>
      </c>
      <c r="B16" t="s">
        <v>30</v>
      </c>
      <c r="C16" s="43">
        <v>-282973.64</v>
      </c>
      <c r="D16" s="23"/>
      <c r="E16" s="43">
        <f t="shared" si="1"/>
        <v>-282973.64</v>
      </c>
      <c r="G16" s="43">
        <v>-159443.04999999999</v>
      </c>
      <c r="H16" s="23"/>
      <c r="I16" s="23">
        <f t="shared" si="0"/>
        <v>-159443.04999999999</v>
      </c>
      <c r="K16" s="25"/>
      <c r="O16" s="25"/>
    </row>
    <row r="17" spans="1:15" x14ac:dyDescent="0.25">
      <c r="A17" t="s">
        <v>97</v>
      </c>
      <c r="B17" s="27" t="s">
        <v>50</v>
      </c>
      <c r="C17" s="43">
        <v>-4973559.68</v>
      </c>
      <c r="D17" s="23">
        <f>aruanne!E88</f>
        <v>-4973559.68</v>
      </c>
      <c r="E17" s="43">
        <f t="shared" si="1"/>
        <v>0</v>
      </c>
      <c r="F17" s="28"/>
      <c r="G17" s="43">
        <v>-5249595.83</v>
      </c>
      <c r="H17" s="23">
        <f>aruanne!F88</f>
        <v>-5249595.83</v>
      </c>
      <c r="I17" s="23">
        <f t="shared" si="0"/>
        <v>0</v>
      </c>
      <c r="K17" s="25"/>
      <c r="O17" s="25"/>
    </row>
    <row r="18" spans="1:15" x14ac:dyDescent="0.25">
      <c r="A18" t="s">
        <v>97</v>
      </c>
      <c r="B18" s="27" t="s">
        <v>20</v>
      </c>
      <c r="C18" s="43">
        <f>-3719139.96+90809-5461498.18+52169.3</f>
        <v>-9037659.8399999999</v>
      </c>
      <c r="D18" s="23">
        <f>aruanne!E89-aruanne!E91</f>
        <v>-9057468.8399999999</v>
      </c>
      <c r="E18" s="43">
        <f t="shared" si="1"/>
        <v>19809</v>
      </c>
      <c r="F18" s="28"/>
      <c r="G18" s="43">
        <f>-5650935-5359103.55</f>
        <v>-11010038.550000001</v>
      </c>
      <c r="H18" s="23">
        <f>aruanne!F89-aruanne!F91</f>
        <v>-10990229.550000001</v>
      </c>
      <c r="I18" s="23">
        <f t="shared" si="0"/>
        <v>-19809</v>
      </c>
      <c r="K18" s="25"/>
      <c r="O18" s="25"/>
    </row>
    <row r="19" spans="1:15" x14ac:dyDescent="0.25">
      <c r="A19" t="s">
        <v>97</v>
      </c>
      <c r="B19" t="s">
        <v>33</v>
      </c>
      <c r="C19" s="43">
        <v>-19809</v>
      </c>
      <c r="D19" s="23">
        <v>0</v>
      </c>
      <c r="E19" s="43">
        <f t="shared" si="1"/>
        <v>-19809</v>
      </c>
      <c r="G19" s="43">
        <v>19809</v>
      </c>
      <c r="H19" s="23">
        <v>0</v>
      </c>
      <c r="I19" s="23">
        <f t="shared" si="0"/>
        <v>19809</v>
      </c>
      <c r="K19" s="25"/>
      <c r="O19" s="25"/>
    </row>
    <row r="20" spans="1:15" x14ac:dyDescent="0.25">
      <c r="A20" t="s">
        <v>97</v>
      </c>
      <c r="B20" s="27" t="s">
        <v>58</v>
      </c>
      <c r="C20" s="43">
        <v>-1222860.26</v>
      </c>
      <c r="D20" s="23">
        <f>aruanne!E91</f>
        <v>-1222860.26</v>
      </c>
      <c r="E20" s="43">
        <f t="shared" si="1"/>
        <v>0</v>
      </c>
      <c r="G20" s="43">
        <v>-2027618.65</v>
      </c>
      <c r="H20" s="23">
        <f>aruanne!F91</f>
        <v>-2027618.65</v>
      </c>
      <c r="I20" s="23">
        <f t="shared" si="0"/>
        <v>0</v>
      </c>
      <c r="K20" s="25"/>
      <c r="O20" s="25"/>
    </row>
    <row r="21" spans="1:15" x14ac:dyDescent="0.25">
      <c r="A21" t="s">
        <v>97</v>
      </c>
      <c r="B21" s="27" t="s">
        <v>60</v>
      </c>
      <c r="C21" s="43">
        <v>0</v>
      </c>
      <c r="D21" s="23">
        <f>aruanne!E94</f>
        <v>0</v>
      </c>
      <c r="E21" s="43">
        <f t="shared" si="1"/>
        <v>0</v>
      </c>
      <c r="F21" s="28"/>
      <c r="G21" s="43">
        <f>-1862.07-4800.78-17287.02-25446.69+2137627.21+1336390.21</f>
        <v>3424620.86</v>
      </c>
      <c r="H21" s="23">
        <f>aruanne!F94</f>
        <v>3424620.86</v>
      </c>
      <c r="I21" s="23">
        <f t="shared" si="0"/>
        <v>0</v>
      </c>
      <c r="K21" s="25"/>
      <c r="O21" s="25"/>
    </row>
    <row r="22" spans="1:15" x14ac:dyDescent="0.25">
      <c r="A22" t="s">
        <v>97</v>
      </c>
      <c r="B22" s="27" t="s">
        <v>109</v>
      </c>
      <c r="C22" s="43">
        <v>0</v>
      </c>
      <c r="D22" s="23">
        <f>aruanne!E96</f>
        <v>0</v>
      </c>
      <c r="E22" s="43">
        <f t="shared" si="1"/>
        <v>0</v>
      </c>
      <c r="F22" s="28"/>
      <c r="G22" s="43">
        <f>-20000000+44839558</f>
        <v>24839558</v>
      </c>
      <c r="H22" s="23">
        <v>24839558</v>
      </c>
      <c r="I22" s="23">
        <f t="shared" si="0"/>
        <v>0</v>
      </c>
      <c r="K22" s="25"/>
      <c r="O22" s="25"/>
    </row>
    <row r="23" spans="1:15" x14ac:dyDescent="0.25">
      <c r="A23" t="s">
        <v>97</v>
      </c>
      <c r="B23" s="27" t="s">
        <v>64</v>
      </c>
      <c r="C23" s="43">
        <v>-24000000</v>
      </c>
      <c r="D23" s="23">
        <f>aruanne!E98</f>
        <v>-9559641.3499999996</v>
      </c>
      <c r="E23" s="43">
        <f t="shared" ref="E23" si="2">C23-D23</f>
        <v>-14440358.65</v>
      </c>
      <c r="F23" s="28"/>
      <c r="G23" s="43">
        <v>13735459.58</v>
      </c>
      <c r="H23" s="23">
        <f>aruanne!F98</f>
        <v>13735459.58</v>
      </c>
      <c r="I23" s="23">
        <f t="shared" ref="I23" si="3">G23-H23</f>
        <v>0</v>
      </c>
      <c r="K23" s="25"/>
      <c r="O23" s="25"/>
    </row>
    <row r="24" spans="1:15" x14ac:dyDescent="0.25">
      <c r="A24" t="s">
        <v>97</v>
      </c>
      <c r="B24" s="27" t="s">
        <v>194</v>
      </c>
      <c r="C24" s="43">
        <v>14440358.65</v>
      </c>
      <c r="D24" s="23"/>
      <c r="E24" s="43">
        <f t="shared" si="1"/>
        <v>14440358.65</v>
      </c>
      <c r="F24" s="28"/>
      <c r="G24" s="43">
        <v>0</v>
      </c>
      <c r="H24" s="23">
        <v>0</v>
      </c>
      <c r="I24" s="23">
        <f t="shared" si="0"/>
        <v>0</v>
      </c>
      <c r="K24" s="25"/>
      <c r="O24" s="25"/>
    </row>
  </sheetData>
  <autoFilter ref="A4:J25" xr:uid="{EF1F9403-50E9-43C6-AF9D-B37F0A9328D9}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086A9-CF0E-4B82-AA53-D93B7E26FB31}">
  <dimension ref="A1:H39"/>
  <sheetViews>
    <sheetView topLeftCell="A2" workbookViewId="0">
      <pane xSplit="1" ySplit="4" topLeftCell="B6" activePane="bottomRight" state="frozen"/>
      <selection activeCell="A2" sqref="A2"/>
      <selection pane="topRight" activeCell="B2" sqref="B2"/>
      <selection pane="bottomLeft" activeCell="A7" sqref="A7"/>
      <selection pane="bottomRight" activeCell="F27" sqref="F27"/>
    </sheetView>
  </sheetViews>
  <sheetFormatPr defaultRowHeight="15" x14ac:dyDescent="0.25"/>
  <cols>
    <col min="1" max="1" width="58.28515625" customWidth="1"/>
    <col min="2" max="2" width="11.85546875" customWidth="1"/>
    <col min="3" max="4" width="11.140625" customWidth="1"/>
  </cols>
  <sheetData>
    <row r="1" spans="1:8" x14ac:dyDescent="0.25">
      <c r="A1" s="19" t="s">
        <v>25</v>
      </c>
    </row>
    <row r="2" spans="1:8" x14ac:dyDescent="0.25">
      <c r="A2" s="19" t="s">
        <v>35</v>
      </c>
      <c r="C2" s="2"/>
      <c r="D2" s="2"/>
    </row>
    <row r="3" spans="1:8" x14ac:dyDescent="0.25">
      <c r="A3" s="29" t="s">
        <v>0</v>
      </c>
      <c r="C3" s="2"/>
      <c r="D3" s="2"/>
    </row>
    <row r="4" spans="1:8" x14ac:dyDescent="0.25">
      <c r="A4" s="19"/>
      <c r="B4" s="30">
        <v>13</v>
      </c>
      <c r="C4" s="30">
        <v>13</v>
      </c>
      <c r="D4" s="30">
        <v>13</v>
      </c>
    </row>
    <row r="5" spans="1:8" ht="52.5" customHeight="1" x14ac:dyDescent="0.25">
      <c r="A5" s="31"/>
      <c r="B5" s="32" t="s">
        <v>36</v>
      </c>
      <c r="C5" s="32" t="s">
        <v>61</v>
      </c>
      <c r="D5" s="32" t="s">
        <v>37</v>
      </c>
    </row>
    <row r="6" spans="1:8" x14ac:dyDescent="0.25">
      <c r="A6" s="33" t="s">
        <v>38</v>
      </c>
      <c r="B6" s="34">
        <f>aruanne!C5</f>
        <v>487369241</v>
      </c>
      <c r="C6" s="34">
        <f>aruanne!C14+aruanne!C89</f>
        <v>-797424122</v>
      </c>
      <c r="D6" s="34">
        <f>aruanne!C92</f>
        <v>6000000</v>
      </c>
    </row>
    <row r="7" spans="1:8" x14ac:dyDescent="0.25">
      <c r="A7" s="33" t="s">
        <v>39</v>
      </c>
      <c r="B7" s="34"/>
      <c r="C7" s="34">
        <v>-39687208.460000001</v>
      </c>
      <c r="D7" s="34"/>
    </row>
    <row r="8" spans="1:8" x14ac:dyDescent="0.25">
      <c r="A8" s="33" t="s">
        <v>191</v>
      </c>
      <c r="B8" s="34"/>
      <c r="C8" s="34">
        <v>237513</v>
      </c>
      <c r="D8" s="34"/>
    </row>
    <row r="9" spans="1:8" x14ac:dyDescent="0.25">
      <c r="A9" s="33" t="s">
        <v>192</v>
      </c>
      <c r="B9" s="34"/>
      <c r="C9" s="34">
        <v>4200000</v>
      </c>
      <c r="D9" s="34"/>
    </row>
    <row r="10" spans="1:8" x14ac:dyDescent="0.25">
      <c r="A10" s="35" t="s">
        <v>40</v>
      </c>
      <c r="B10" s="34"/>
      <c r="C10" s="34">
        <v>-48323935.409999996</v>
      </c>
      <c r="D10" s="34"/>
    </row>
    <row r="11" spans="1:8" x14ac:dyDescent="0.25">
      <c r="A11" s="33" t="s">
        <v>41</v>
      </c>
      <c r="B11" s="34"/>
      <c r="C11" s="34">
        <v>474861176</v>
      </c>
      <c r="D11" s="34"/>
    </row>
    <row r="12" spans="1:8" x14ac:dyDescent="0.25">
      <c r="A12" s="33" t="s">
        <v>42</v>
      </c>
      <c r="B12" s="34"/>
      <c r="C12" s="34">
        <v>-448281220.22000003</v>
      </c>
      <c r="D12" s="97">
        <v>-24000000</v>
      </c>
      <c r="E12" s="98"/>
      <c r="F12" s="98"/>
      <c r="G12" s="98"/>
    </row>
    <row r="13" spans="1:8" x14ac:dyDescent="0.25">
      <c r="A13" s="33" t="s">
        <v>55</v>
      </c>
      <c r="B13" s="34"/>
      <c r="C13" s="34">
        <f>49184006+481706560-474861176</f>
        <v>56029390</v>
      </c>
      <c r="D13" s="34"/>
      <c r="E13" s="98"/>
      <c r="F13" s="98"/>
      <c r="G13" s="98"/>
      <c r="H13" s="98"/>
    </row>
    <row r="14" spans="1:8" x14ac:dyDescent="0.25">
      <c r="A14" s="33" t="s">
        <v>56</v>
      </c>
      <c r="B14" s="34"/>
      <c r="C14" s="34">
        <v>-35097589.140000001</v>
      </c>
      <c r="D14" s="34"/>
    </row>
    <row r="15" spans="1:8" x14ac:dyDescent="0.25">
      <c r="A15" s="33" t="s">
        <v>43</v>
      </c>
      <c r="B15" s="34"/>
      <c r="C15" s="34">
        <v>27971062</v>
      </c>
      <c r="D15" s="34"/>
      <c r="E15" s="98"/>
      <c r="F15" s="98"/>
      <c r="G15" s="98"/>
    </row>
    <row r="16" spans="1:8" x14ac:dyDescent="0.25">
      <c r="A16" s="33" t="s">
        <v>44</v>
      </c>
      <c r="B16" s="34"/>
      <c r="C16" s="34">
        <v>-22106663.359999999</v>
      </c>
      <c r="D16" s="34"/>
    </row>
    <row r="17" spans="1:4" x14ac:dyDescent="0.25">
      <c r="A17" s="33" t="s">
        <v>45</v>
      </c>
      <c r="B17" s="34"/>
      <c r="C17" s="34">
        <v>9100452</v>
      </c>
      <c r="D17" s="34"/>
    </row>
    <row r="18" spans="1:4" x14ac:dyDescent="0.25">
      <c r="A18" s="33" t="s">
        <v>46</v>
      </c>
      <c r="B18" s="34"/>
      <c r="C18" s="34">
        <v>-9797520.4600000009</v>
      </c>
      <c r="D18" s="34"/>
    </row>
    <row r="19" spans="1:4" x14ac:dyDescent="0.25">
      <c r="A19" s="33" t="s">
        <v>47</v>
      </c>
      <c r="B19" s="34"/>
      <c r="C19" s="34">
        <v>-11547314</v>
      </c>
      <c r="D19" s="34"/>
    </row>
    <row r="20" spans="1:4" x14ac:dyDescent="0.25">
      <c r="A20" s="36" t="s">
        <v>48</v>
      </c>
      <c r="B20" s="37">
        <f>SUM(B6:B19)</f>
        <v>487369241</v>
      </c>
      <c r="C20" s="37">
        <f>SUM(C6:C19)</f>
        <v>-839865980.05000007</v>
      </c>
      <c r="D20" s="37">
        <f>SUM(D6:D19)</f>
        <v>-18000000</v>
      </c>
    </row>
    <row r="21" spans="1:4" x14ac:dyDescent="0.25">
      <c r="A21" s="38"/>
      <c r="B21" s="38">
        <f>aruanne!D5</f>
        <v>487369241</v>
      </c>
      <c r="C21" s="38">
        <f>aruanne!D14+aruanne!D89</f>
        <v>-839865992.4656781</v>
      </c>
      <c r="D21" s="38">
        <f>aruanne!D92</f>
        <v>-18000000</v>
      </c>
    </row>
    <row r="22" spans="1:4" x14ac:dyDescent="0.25">
      <c r="A22" s="38"/>
      <c r="B22" s="38">
        <f t="shared" ref="B22:D22" si="0">B20-B21</f>
        <v>0</v>
      </c>
      <c r="C22" s="38">
        <f t="shared" si="0"/>
        <v>12.415678024291992</v>
      </c>
      <c r="D22" s="38">
        <f t="shared" si="0"/>
        <v>0</v>
      </c>
    </row>
    <row r="24" spans="1:4" x14ac:dyDescent="0.25">
      <c r="C24" s="2"/>
    </row>
    <row r="29" spans="1:4" x14ac:dyDescent="0.25">
      <c r="C29" s="2"/>
    </row>
    <row r="39" spans="3:3" ht="15.75" x14ac:dyDescent="0.25">
      <c r="C39" s="8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aruanne</vt:lpstr>
      <vt:lpstr>LISA</vt:lpstr>
      <vt:lpstr>vordlus</vt:lpstr>
      <vt:lpstr>lisa1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Juta Maar</dc:creator>
  <cp:lastModifiedBy>Inda Vaht</cp:lastModifiedBy>
  <dcterms:created xsi:type="dcterms:W3CDTF">2022-02-14T16:37:54Z</dcterms:created>
  <dcterms:modified xsi:type="dcterms:W3CDTF">2026-07-13T05:55:26Z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2025-05-15T14:01:08Z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4b5872ad-0275-42f8-b861-6180ced29fc8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