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kik1-my.sharepoint.com/personal/jaanika_vilde_kik_ee/Documents/Documents/MKM vesinik/"/>
    </mc:Choice>
  </mc:AlternateContent>
  <xr:revisionPtr revIDLastSave="0" documentId="8_{E92C9E10-39F5-4A77-96FD-20E2C9F4EF7F}" xr6:coauthVersionLast="47" xr6:coauthVersionMax="47" xr10:uidLastSave="{00000000-0000-0000-0000-000000000000}"/>
  <workbookProtection workbookAlgorithmName="SHA-512" workbookHashValue="CKpo+339ENLhhuOWPBPxF29qHnoJrL/GEwA6mUr4TpPY3sw0CnWlAejW9J5AjeUk2t8UreAnECeIaubYnFhP4A==" workbookSaltValue="WLbe/mt2Lr2dV/1X4LlWBQ==" workbookSpinCount="100000" lockStructure="1"/>
  <bookViews>
    <workbookView xWindow="-108" yWindow="-108" windowWidth="30936" windowHeight="16776" tabRatio="864" activeTab="1" xr2:uid="{D785599C-F50B-46AF-915F-0DDB8F3282DA}"/>
  </bookViews>
  <sheets>
    <sheet name="TED art 25(2)" sheetId="16" r:id="rId1"/>
    <sheet name="Tulemused Tööstus" sheetId="14" r:id="rId2"/>
    <sheet name="Tulemused Transport" sheetId="5" r:id="rId3"/>
    <sheet name="Kütuste ümberarvutused" sheetId="13" r:id="rId4"/>
    <sheet name="Sõidukid" sheetId="3" r:id="rId5"/>
    <sheet name="Lähteained ja kütused" sheetId="1" r:id="rId6"/>
    <sheet name="Elekter 2020" sheetId="10" r:id="rId7"/>
    <sheet name="Sõidukite heited 2020" sheetId="11" r:id="rId8"/>
    <sheet name="Sõidukite läbisõidud 2020" sheetId="12" r:id="rId9"/>
    <sheet name="Process diagram" sheetId="15" r:id="rId10"/>
    <sheet name="Seletused" sheetId="4" r:id="rId11"/>
  </sheets>
  <externalReferences>
    <externalReference r:id="rId12"/>
    <externalReference r:id="rId13"/>
  </externalReferences>
  <definedNames>
    <definedName name="Biogaas" localSheetId="0">'TED art 25(2)'!$Q$9:$Q$12</definedName>
    <definedName name="Biogaas" localSheetId="1">'Tulemused Tööstus'!$Q$18:$Q$22</definedName>
    <definedName name="Biogaas">'Tulemused Transport'!$Q$17:$Q$26</definedName>
    <definedName name="Fatores_Categoria">OFFSET([1]Fatores!$E$1,0,0,COUNTA([1]Fatores!$E:$E))</definedName>
    <definedName name="Fatores_Nome">OFFSET([1]Fatores!$F$1,0,0,COUNTA([1]Fatores!$F:$F))</definedName>
    <definedName name="Fatores_TipoFonte">OFFSET([1]Fatores!$C$1,0,0,COUNTA([1]Fatores!$C:$C))</definedName>
    <definedName name="Fatores_Unidade1">OFFSET([1]Fatores!$I$1,0,0,COUNTA([1]Fatores!$I:$I))</definedName>
    <definedName name="Fatores_Unidade2">OFFSET([1]Fatores!$J$1,0,0,COUNTA([1]Fatores!$J:$J))</definedName>
    <definedName name="Fatores_Valor">OFFSET([1]Fatores!$G$1,0,0,COUNTA([1]Fatores!$G:$G))</definedName>
    <definedName name="Option_A_0_B_1">[2]About!$B$87</definedName>
    <definedName name="Päike" localSheetId="0">'TED art 25(2)'!$S$9:$S$15</definedName>
    <definedName name="Päike" localSheetId="1">'Tulemused Tööstus'!$S$18:$S$24</definedName>
    <definedName name="Päike">'Tulemused Transport'!$S$17:$S$29</definedName>
    <definedName name="Tuul" localSheetId="0">'TED art 25(2)'!$R$9:$R$12</definedName>
    <definedName name="Tuul" localSheetId="1">'Tulemused Tööstus'!$R$18:$R$22</definedName>
    <definedName name="Tuul">'Tulemused Transport'!$R$17:$R$26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16" l="1"/>
  <c r="B6" i="14"/>
  <c r="B8" i="14"/>
  <c r="B72" i="5"/>
  <c r="B63" i="5"/>
  <c r="B64" i="5" s="1"/>
  <c r="B51" i="5"/>
  <c r="B50" i="5"/>
  <c r="B41" i="5"/>
  <c r="B153" i="14"/>
  <c r="B119" i="14"/>
  <c r="B120" i="14" s="1"/>
  <c r="B96" i="14"/>
  <c r="B97" i="14" s="1"/>
  <c r="B59" i="14"/>
  <c r="B60" i="14" s="1"/>
  <c r="B46" i="14"/>
  <c r="I16" i="1"/>
  <c r="F12" i="13"/>
  <c r="H12" i="13"/>
  <c r="B12" i="14"/>
  <c r="B125" i="14" a="1"/>
  <c r="B125" i="14"/>
  <c r="B154" i="14" s="1"/>
  <c r="B43" i="14"/>
  <c r="B65" i="14"/>
  <c r="B68" i="14" s="1"/>
  <c r="B59" i="5"/>
  <c r="B127" i="5"/>
  <c r="I93" i="10"/>
  <c r="C98" i="10"/>
  <c r="I98" i="10"/>
  <c r="I101" i="10"/>
  <c r="I94" i="10"/>
  <c r="C94" i="10"/>
  <c r="I95" i="10"/>
  <c r="C95" i="10"/>
  <c r="I96" i="10"/>
  <c r="C96" i="10"/>
  <c r="I97" i="10"/>
  <c r="C97" i="10"/>
  <c r="B11" i="5"/>
  <c r="B11" i="14"/>
  <c r="B20" i="14"/>
  <c r="B88" i="14"/>
  <c r="B32" i="14"/>
  <c r="B36" i="14" s="1"/>
  <c r="B37" i="14" s="1"/>
  <c r="B55" i="14"/>
  <c r="C168" i="14"/>
  <c r="B15" i="14"/>
  <c r="B16" i="14" s="1"/>
  <c r="B69" i="5"/>
  <c r="K21" i="11"/>
  <c r="B19" i="14"/>
  <c r="B19" i="5"/>
  <c r="B9" i="16"/>
  <c r="B12" i="16" s="1"/>
  <c r="B18" i="14"/>
  <c r="B12" i="1"/>
  <c r="B13" i="1"/>
  <c r="B14" i="1"/>
  <c r="I14" i="1"/>
  <c r="I13" i="1"/>
  <c r="I12" i="1"/>
  <c r="B10" i="1"/>
  <c r="B11" i="1"/>
  <c r="I11" i="1"/>
  <c r="I10" i="1"/>
  <c r="B9" i="1"/>
  <c r="I9" i="1"/>
  <c r="B169" i="5"/>
  <c r="C92" i="1"/>
  <c r="C171" i="5"/>
  <c r="D171" i="5"/>
  <c r="E171" i="5"/>
  <c r="F171" i="5"/>
  <c r="B171" i="5"/>
  <c r="C169" i="5"/>
  <c r="D169" i="5"/>
  <c r="E169" i="5"/>
  <c r="F169" i="5"/>
  <c r="B168" i="5"/>
  <c r="F168" i="5"/>
  <c r="B175" i="5"/>
  <c r="B174" i="5"/>
  <c r="B172" i="5"/>
  <c r="B14" i="5"/>
  <c r="B15" i="5"/>
  <c r="B16" i="5"/>
  <c r="B117" i="5"/>
  <c r="B108" i="5"/>
  <c r="B17" i="5"/>
  <c r="B99" i="5"/>
  <c r="B90" i="5"/>
  <c r="K7" i="3"/>
  <c r="E10" i="3"/>
  <c r="E7" i="3"/>
  <c r="E6" i="3"/>
  <c r="E5" i="3"/>
  <c r="F256" i="12"/>
  <c r="F192" i="12"/>
  <c r="F164" i="12"/>
  <c r="F137" i="12"/>
  <c r="F65" i="12"/>
  <c r="F2" i="12"/>
  <c r="C17" i="10"/>
  <c r="C9" i="10"/>
  <c r="C48" i="3"/>
  <c r="D32" i="3"/>
  <c r="B26" i="13"/>
  <c r="E26" i="13"/>
  <c r="B25" i="13"/>
  <c r="E25" i="13"/>
  <c r="D9" i="3"/>
  <c r="F11" i="13"/>
  <c r="H11" i="13"/>
  <c r="B18" i="5"/>
  <c r="I92" i="1"/>
  <c r="C91" i="1"/>
  <c r="I91" i="1"/>
  <c r="C93" i="1"/>
  <c r="I93" i="1"/>
  <c r="C94" i="1"/>
  <c r="I94" i="1"/>
  <c r="C95" i="1"/>
  <c r="I95" i="1"/>
  <c r="C96" i="1"/>
  <c r="I96" i="1"/>
  <c r="C97" i="1"/>
  <c r="I97" i="1"/>
  <c r="C90" i="1"/>
  <c r="I90" i="1"/>
  <c r="B8" i="1"/>
  <c r="I8" i="1"/>
  <c r="D13" i="3"/>
  <c r="C13" i="3"/>
  <c r="K22" i="11"/>
  <c r="K23" i="11"/>
  <c r="K25" i="11"/>
  <c r="K26" i="11"/>
  <c r="D5" i="13"/>
  <c r="F5" i="13"/>
  <c r="H5" i="13"/>
  <c r="B37" i="5"/>
  <c r="E33" i="13"/>
  <c r="E34" i="13"/>
  <c r="D8" i="13"/>
  <c r="F8" i="13"/>
  <c r="H8" i="13"/>
  <c r="D70" i="13"/>
  <c r="E70" i="13"/>
  <c r="F70" i="13"/>
  <c r="G70" i="13"/>
  <c r="H70" i="13"/>
  <c r="I70" i="13"/>
  <c r="D71" i="13"/>
  <c r="E71" i="13"/>
  <c r="F71" i="13"/>
  <c r="G71" i="13"/>
  <c r="H71" i="13"/>
  <c r="I71" i="13"/>
  <c r="C70" i="13"/>
  <c r="C71" i="13"/>
  <c r="D69" i="13"/>
  <c r="E69" i="13"/>
  <c r="F69" i="13"/>
  <c r="G69" i="13"/>
  <c r="H69" i="13"/>
  <c r="D9" i="13"/>
  <c r="F9" i="13"/>
  <c r="H9" i="13"/>
  <c r="I69" i="13"/>
  <c r="C69" i="13"/>
  <c r="D10" i="13"/>
  <c r="F10" i="13"/>
  <c r="H10" i="13"/>
  <c r="D7" i="13"/>
  <c r="F7" i="13"/>
  <c r="H7" i="13"/>
  <c r="D6" i="13"/>
  <c r="F6" i="13"/>
  <c r="H6" i="13"/>
  <c r="C21" i="13"/>
  <c r="B32" i="13"/>
  <c r="E32" i="13"/>
  <c r="C25" i="10"/>
  <c r="C47" i="10"/>
  <c r="C49" i="10"/>
  <c r="B91" i="10"/>
  <c r="C86" i="10"/>
  <c r="I3" i="3"/>
  <c r="E4" i="3"/>
  <c r="E3" i="3"/>
  <c r="C119" i="10"/>
  <c r="I7" i="3"/>
  <c r="J7" i="3"/>
  <c r="I8" i="3"/>
  <c r="J8" i="3"/>
  <c r="I9" i="3"/>
  <c r="J9" i="3"/>
  <c r="I10" i="3"/>
  <c r="J10" i="3"/>
  <c r="I6" i="3"/>
  <c r="J6" i="3"/>
  <c r="I5" i="3"/>
  <c r="J5" i="3"/>
  <c r="I4" i="3"/>
  <c r="J4" i="3"/>
  <c r="J3" i="3"/>
  <c r="B36" i="3"/>
  <c r="B40" i="3"/>
  <c r="B38" i="3"/>
  <c r="B65" i="3"/>
  <c r="H9" i="3"/>
  <c r="H10" i="3"/>
  <c r="H7" i="3"/>
  <c r="H8" i="3"/>
  <c r="H6" i="3"/>
  <c r="H5" i="3"/>
  <c r="H4" i="3"/>
  <c r="H3" i="3"/>
  <c r="C3" i="3"/>
  <c r="D3" i="3"/>
  <c r="B42" i="3"/>
  <c r="A28" i="3"/>
  <c r="C9" i="3"/>
  <c r="E9" i="3"/>
  <c r="C10" i="3"/>
  <c r="C6" i="3"/>
  <c r="C4" i="3"/>
  <c r="C8" i="3"/>
  <c r="C5" i="3"/>
  <c r="C7" i="3"/>
  <c r="C83" i="10"/>
  <c r="C84" i="10"/>
  <c r="C82" i="10"/>
  <c r="C75" i="10"/>
  <c r="C74" i="10"/>
  <c r="C72" i="10"/>
  <c r="C66" i="10"/>
  <c r="C65" i="10"/>
  <c r="C63" i="10"/>
  <c r="C58" i="10"/>
  <c r="C57" i="10"/>
  <c r="C55" i="10"/>
  <c r="C50" i="10"/>
  <c r="C41" i="10"/>
  <c r="C42" i="10"/>
  <c r="C39" i="10"/>
  <c r="C40" i="10"/>
  <c r="C28" i="10"/>
  <c r="C27" i="10"/>
  <c r="C20" i="10"/>
  <c r="C21" i="10"/>
  <c r="C13" i="10"/>
  <c r="A29" i="3"/>
  <c r="E8" i="3"/>
  <c r="B126" i="5"/>
  <c r="C172" i="5"/>
  <c r="D172" i="5"/>
  <c r="E172" i="5"/>
  <c r="F172" i="5"/>
  <c r="C190" i="5"/>
  <c r="B82" i="5"/>
  <c r="C175" i="5"/>
  <c r="D175" i="5"/>
  <c r="E175" i="5"/>
  <c r="F175" i="5"/>
  <c r="D174" i="5"/>
  <c r="E174" i="5"/>
  <c r="F174" i="5"/>
  <c r="C174" i="5"/>
  <c r="C173" i="5"/>
  <c r="D173" i="5"/>
  <c r="E173" i="5"/>
  <c r="F173" i="5"/>
  <c r="B173" i="5"/>
  <c r="C170" i="5"/>
  <c r="D170" i="5"/>
  <c r="E170" i="5"/>
  <c r="F170" i="5"/>
  <c r="B170" i="5"/>
  <c r="E168" i="5"/>
  <c r="C168" i="5"/>
  <c r="D168" i="5"/>
  <c r="D8" i="3"/>
  <c r="D7" i="3"/>
  <c r="D4" i="3"/>
  <c r="D5" i="3"/>
  <c r="D6" i="3"/>
  <c r="D10" i="3"/>
  <c r="B81" i="5"/>
  <c r="B47" i="5"/>
  <c r="B18" i="1"/>
  <c r="B144" i="5"/>
  <c r="B135" i="5"/>
  <c r="B30" i="1"/>
  <c r="B28" i="1"/>
  <c r="I30" i="1"/>
  <c r="I28" i="1"/>
  <c r="B19" i="1"/>
  <c r="B29" i="1"/>
  <c r="I29" i="1"/>
  <c r="I19" i="1"/>
  <c r="B23" i="1"/>
  <c r="B21" i="1"/>
  <c r="B27" i="1"/>
  <c r="B17" i="1"/>
  <c r="B20" i="1"/>
  <c r="B32" i="1"/>
  <c r="B25" i="1"/>
  <c r="B24" i="1"/>
  <c r="B22" i="1"/>
  <c r="B26" i="1"/>
  <c r="B31" i="1"/>
  <c r="I21" i="1"/>
  <c r="I24" i="1"/>
  <c r="I27" i="1"/>
  <c r="I26" i="1"/>
  <c r="I22" i="1"/>
  <c r="I31" i="1"/>
  <c r="I23" i="1"/>
  <c r="I20" i="1"/>
  <c r="I17" i="1"/>
  <c r="I18" i="1"/>
  <c r="I25" i="1"/>
  <c r="I32" i="1"/>
  <c r="B8" i="5"/>
  <c r="B10" i="14"/>
  <c r="B17" i="14"/>
  <c r="C76" i="10"/>
  <c r="C67" i="10"/>
  <c r="C103" i="10"/>
  <c r="C88" i="10"/>
  <c r="C51" i="10"/>
  <c r="C59" i="10"/>
  <c r="C29" i="10"/>
  <c r="C43" i="10"/>
  <c r="C105" i="10"/>
  <c r="C104" i="10"/>
  <c r="C107" i="10"/>
  <c r="C87" i="10"/>
  <c r="C102" i="10"/>
  <c r="C121" i="10"/>
  <c r="B91" i="5"/>
  <c r="B24" i="5"/>
  <c r="B100" i="5"/>
  <c r="B26" i="5"/>
  <c r="B23" i="5"/>
  <c r="B22" i="5"/>
  <c r="B25" i="5"/>
  <c r="B109" i="5"/>
  <c r="B118" i="5"/>
  <c r="B136" i="5"/>
  <c r="B145" i="5"/>
  <c r="C109" i="10"/>
  <c r="C124" i="10"/>
  <c r="C112" i="10"/>
  <c r="C115" i="10"/>
  <c r="C113" i="10"/>
  <c r="C116" i="10"/>
  <c r="C122" i="10"/>
  <c r="E122" i="10"/>
  <c r="C110" i="10"/>
  <c r="B27" i="5"/>
  <c r="C165" i="14"/>
  <c r="C187" i="5"/>
  <c r="C166" i="14"/>
  <c r="B69" i="14" s="1"/>
  <c r="C188" i="5"/>
  <c r="B73" i="5"/>
  <c r="B47" i="14" l="1"/>
  <c r="B22" i="14" s="1"/>
  <c r="B11" i="16"/>
  <c r="B14" i="16"/>
  <c r="B20" i="5"/>
  <c r="B42" i="5"/>
  <c r="B21" i="5" s="1"/>
  <c r="B6" i="5" s="1"/>
  <c r="B2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Eva-Ingrid Rõõm</author>
    <author>User</author>
  </authors>
  <commentList>
    <comment ref="D8" authorId="0" shapeId="0" xr:uid="{ECECBE01-7F4C-4A7F-80F7-43BCF06FD3B0}">
      <text>
        <r>
          <rPr>
            <b/>
            <sz val="9"/>
            <color indexed="81"/>
            <rFont val="Segoe UI"/>
            <family val="2"/>
          </rPr>
          <t>Eva-Ingrid Rõõm:</t>
        </r>
        <r>
          <rPr>
            <sz val="9"/>
            <color indexed="81"/>
            <rFont val="Segoe UI"/>
            <family val="2"/>
          </rPr>
          <t xml:space="preserve">
Allikas C128</t>
        </r>
      </text>
    </comment>
    <comment ref="D11" authorId="1" shapeId="0" xr:uid="{F64695DC-90EE-41D3-9FE6-DFF2B657D3C7}">
      <text>
        <r>
          <rPr>
            <b/>
            <sz val="9"/>
            <color indexed="81"/>
            <rFont val="Tahoma"/>
            <family val="2"/>
          </rPr>
          <t>User:</t>
        </r>
        <r>
          <rPr>
            <sz val="9"/>
            <color indexed="81"/>
            <rFont val="Tahoma"/>
            <family val="2"/>
          </rPr>
          <t xml:space="preserve">
2020. aasta keskmine https://elering.ee/vorgugaasi-kvaliteet, arvestades et biometaan peab vastama võrgugaasi kvaliteedi nõuetele:https://www.riigiteataja.ee/akt/129072017006?leiaKehtiv</t>
        </r>
      </text>
    </comment>
    <comment ref="D12" authorId="0" shapeId="0" xr:uid="{79E56E39-2010-4673-ABEE-CCBC6C3A42C1}">
      <text>
        <r>
          <rPr>
            <b/>
            <sz val="9"/>
            <color indexed="81"/>
            <rFont val="Segoe UI"/>
            <family val="2"/>
          </rPr>
          <t>Eva-Ingrid Rõõm:</t>
        </r>
        <r>
          <rPr>
            <sz val="9"/>
            <color indexed="81"/>
            <rFont val="Segoe UI"/>
            <family val="2"/>
          </rPr>
          <t xml:space="preserve">
EL taastuvenergia direktiiv 2018/2001, III LISA, Kütuste energiasisaldus, lk 143. Viide: https://eur-lex.europa.eu/legal-content/ET/TXT/PDF/?uri=CELEX:32018L2001&amp;from=ET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46" authorId="0" shapeId="0" xr:uid="{F857D174-19BF-4883-A915-E090ABA7E13F}">
      <text>
        <r>
          <rPr>
            <b/>
            <sz val="9"/>
            <color indexed="81"/>
            <rFont val="Tahoma"/>
            <family val="2"/>
          </rPr>
          <t>User:</t>
        </r>
        <r>
          <rPr>
            <sz val="9"/>
            <color indexed="81"/>
            <rFont val="Tahoma"/>
            <family val="2"/>
          </rPr>
          <t xml:space="preserve">
Talvine</t>
        </r>
      </text>
    </comment>
    <comment ref="A47" authorId="0" shapeId="0" xr:uid="{C4973B05-27C7-4821-9F8C-5682C8835419}">
      <text>
        <r>
          <rPr>
            <b/>
            <sz val="9"/>
            <color indexed="81"/>
            <rFont val="Tahoma"/>
            <family val="2"/>
          </rPr>
          <t>User:</t>
        </r>
        <r>
          <rPr>
            <sz val="9"/>
            <color indexed="81"/>
            <rFont val="Tahoma"/>
            <family val="2"/>
          </rPr>
          <t xml:space="preserve">
Suvine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Eva-Ingrid Rõõm</author>
  </authors>
  <commentList>
    <comment ref="C16" authorId="0" shapeId="0" xr:uid="{CFC7391B-C168-4A1A-A4B2-02217B723D56}">
      <text>
        <r>
          <rPr>
            <b/>
            <sz val="9"/>
            <color indexed="81"/>
            <rFont val="Segoe UI"/>
            <charset val="1"/>
          </rPr>
          <t>Eva-Ingrid Rõõm:</t>
        </r>
        <r>
          <rPr>
            <sz val="9"/>
            <color indexed="81"/>
            <rFont val="Segoe UI"/>
            <charset val="1"/>
          </rPr>
          <t xml:space="preserve">
Gaasi tootmine</t>
        </r>
      </text>
    </comment>
    <comment ref="E16" authorId="0" shapeId="0" xr:uid="{C06B3006-EB92-48F5-84A0-65F64A284EA1}">
      <text>
        <r>
          <rPr>
            <b/>
            <sz val="9"/>
            <color indexed="81"/>
            <rFont val="Segoe UI"/>
            <charset val="1"/>
          </rPr>
          <t>Eva-Ingrid Rõõm:</t>
        </r>
        <r>
          <rPr>
            <sz val="9"/>
            <color indexed="81"/>
            <rFont val="Segoe UI"/>
            <charset val="1"/>
          </rPr>
          <t xml:space="preserve">
toerutransport ja jaotus</t>
        </r>
      </text>
    </comment>
    <comment ref="F16" authorId="0" shapeId="0" xr:uid="{0B50109D-99CA-4A27-B20F-7C78FD4C73B5}">
      <text>
        <r>
          <rPr>
            <b/>
            <sz val="9"/>
            <color indexed="81"/>
            <rFont val="Segoe UI"/>
            <charset val="1"/>
          </rPr>
          <t>Eva-Ingrid Rõõm:</t>
        </r>
        <r>
          <rPr>
            <sz val="9"/>
            <color indexed="81"/>
            <rFont val="Segoe UI"/>
            <charset val="1"/>
          </rPr>
          <t xml:space="preserve">
aurureformimine</t>
        </r>
      </text>
    </comment>
    <comment ref="G16" authorId="0" shapeId="0" xr:uid="{D2537AC3-D638-412E-8B6B-30F5FEFCDDB8}">
      <text>
        <r>
          <rPr>
            <b/>
            <sz val="9"/>
            <color indexed="81"/>
            <rFont val="Segoe UI"/>
            <charset val="1"/>
          </rPr>
          <t>Eva-Ingrid Rõõm:</t>
        </r>
        <r>
          <rPr>
            <sz val="9"/>
            <color indexed="81"/>
            <rFont val="Segoe UI"/>
            <charset val="1"/>
          </rPr>
          <t xml:space="preserve">
kompresseerimine 880 bar: transpordi korral tegelikult kuni 1000 bar, ammonjaagil 200 bar.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Tanel</author>
  </authors>
  <commentList>
    <comment ref="B72" authorId="0" shapeId="0" xr:uid="{C2CBA720-F7CC-44D8-A535-032E1D76D577}">
      <text>
        <r>
          <rPr>
            <b/>
            <sz val="9"/>
            <color indexed="81"/>
            <rFont val="Tahoma"/>
            <family val="2"/>
            <charset val="186"/>
          </rPr>
          <t>Tanel:</t>
        </r>
        <r>
          <rPr>
            <sz val="9"/>
            <color indexed="81"/>
            <rFont val="Tahoma"/>
            <family val="2"/>
            <charset val="186"/>
          </rPr>
          <t xml:space="preserve">
tCO2/t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35" authorId="0" shapeId="0" xr:uid="{9CD6BB8D-8036-40E8-A1B2-6D65DB1BF760}">
      <text>
        <r>
          <rPr>
            <sz val="11"/>
            <color theme="1"/>
            <rFont val="Calibri"/>
            <family val="2"/>
            <scheme val="minor"/>
          </rPr>
          <t>the IE notation key is to be used because of the difference between the CRF sectoral approach and Eurostat data, due to the difference of methodology used by Statistics Estonia. Because of this 1A3bi cars other fossil fuels is included in the category 1A3bi cars diesel oil</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EB27614-6979-4DFE-9A48-93AD85EE2981}" keepAlive="1" name="Päring - rohevesiniku lähteaine" description="Ühendus päringusse rohevesiniku lähteaine töövihikus." type="5" refreshedVersion="6" background="1">
    <dbPr connection="Provider=Microsoft.Mashup.OleDb.1;Data Source=$Workbook$;Location=&quot;rohevesiniku lähteaine&quot;;Extended Properties=&quot;&quot;" command="SELECT * FROM [rohevesiniku lähteaine]"/>
  </connection>
  <connection id="2" xr16:uid="{A7E39349-203D-4CD3-96DF-6E6986E36D92}" keepAlive="1" name="Päring - Tabel5" description="Ühendus päringusse Tabel5 töövihikus." type="5" refreshedVersion="6" background="1" saveData="1">
    <dbPr connection="Provider=Microsoft.Mashup.OleDb.1;Data Source=$Workbook$;Location=Tabel5;Extended Properties=&quot;&quot;" command="SELECT * FROM [Tabel5]"/>
  </connection>
</connection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<sst xmlns="http://schemas.openxmlformats.org/spreadsheetml/2006/main" count="3607" uniqueCount="1071">
  <si>
    <t>TTW</t>
  </si>
  <si>
    <t>Kokku</t>
  </si>
  <si>
    <t>Tootmine ja kohandamine allika juures</t>
  </si>
  <si>
    <t>Transformeeri-mine allika juures</t>
  </si>
  <si>
    <t>Transportimine turule</t>
  </si>
  <si>
    <t>Transformeeri-mine enne turule viimist</t>
  </si>
  <si>
    <t>Kohandamine ja tarbijatele jagamine</t>
  </si>
  <si>
    <t>Põlemise heide</t>
  </si>
  <si>
    <t>Vesiniku tootmise skeem</t>
  </si>
  <si>
    <t>WTW</t>
  </si>
  <si>
    <t>Diisel (nafta baasil)</t>
  </si>
  <si>
    <t>Bensiin (nafta baasil)</t>
  </si>
  <si>
    <t>Sõiduki tüüp</t>
  </si>
  <si>
    <t>Kütus</t>
  </si>
  <si>
    <t>Sõiduauto</t>
  </si>
  <si>
    <t>Bensiin</t>
  </si>
  <si>
    <t>Diisel</t>
  </si>
  <si>
    <t>Kaubik</t>
  </si>
  <si>
    <t>Veok</t>
  </si>
  <si>
    <t>Buss</t>
  </si>
  <si>
    <t>NB! Täita ainult kollased lahtrid</t>
  </si>
  <si>
    <t>Uute busside arv</t>
  </si>
  <si>
    <t>Uute busside kütuseliik</t>
  </si>
  <si>
    <t>Sisesta busside aasta summaarne läbisõit</t>
  </si>
  <si>
    <t>tk</t>
  </si>
  <si>
    <t>Rohevesinik</t>
  </si>
  <si>
    <t>Biogaas</t>
  </si>
  <si>
    <t>%</t>
  </si>
  <si>
    <t>km</t>
  </si>
  <si>
    <t>Sisesta aastas toodetav rohevesiniku kogus</t>
  </si>
  <si>
    <t>t/a</t>
  </si>
  <si>
    <t>MWh/a</t>
  </si>
  <si>
    <t>Rohevesiniku tarne</t>
  </si>
  <si>
    <t>Torutransport</t>
  </si>
  <si>
    <t>Rohekütust kasutav transport</t>
  </si>
  <si>
    <t>Veoki kütuseliik</t>
  </si>
  <si>
    <t>NOx</t>
  </si>
  <si>
    <t>NMVOC</t>
  </si>
  <si>
    <t xml:space="preserve">SOx </t>
  </si>
  <si>
    <r>
      <t>NH</t>
    </r>
    <r>
      <rPr>
        <b/>
        <vertAlign val="subscript"/>
        <sz val="10"/>
        <color theme="0"/>
        <rFont val="Arial"/>
        <family val="2"/>
      </rPr>
      <t>3</t>
    </r>
  </si>
  <si>
    <r>
      <t>PM</t>
    </r>
    <r>
      <rPr>
        <b/>
        <vertAlign val="subscript"/>
        <sz val="10"/>
        <color theme="0"/>
        <rFont val="Arial"/>
        <family val="2"/>
      </rPr>
      <t>2.5</t>
    </r>
  </si>
  <si>
    <t>Uute sõidukite kütuseliik</t>
  </si>
  <si>
    <t>Sisesta sõiduki aastane summaarne läbisõit</t>
  </si>
  <si>
    <r>
      <t>Tekkiv CO</t>
    </r>
    <r>
      <rPr>
        <vertAlign val="subscript"/>
        <sz val="11"/>
        <color theme="1"/>
        <rFont val="Calibri"/>
        <family val="2"/>
        <scheme val="minor"/>
      </rPr>
      <t>2ekv</t>
    </r>
  </si>
  <si>
    <r>
      <t>Säästetud CO</t>
    </r>
    <r>
      <rPr>
        <vertAlign val="subscript"/>
        <sz val="11"/>
        <color theme="1"/>
        <rFont val="Calibri"/>
        <family val="2"/>
        <scheme val="minor"/>
      </rPr>
      <t>2ekv</t>
    </r>
  </si>
  <si>
    <t>Uute rongide arv</t>
  </si>
  <si>
    <t>Uute rongide kütuseliik</t>
  </si>
  <si>
    <t>Uute laevade arv</t>
  </si>
  <si>
    <t>Uute laevade kütuseliik</t>
  </si>
  <si>
    <t>Sisesta laevade aasta summaarne läbisõit</t>
  </si>
  <si>
    <t>Sisesta rongide aasta summaarne läbisõit</t>
  </si>
  <si>
    <t>Rohevesiniku summaarne tootmisahel</t>
  </si>
  <si>
    <t>Aastas toodetav rohevesiniku kogus</t>
  </si>
  <si>
    <t>Kasutatav tarneviis</t>
  </si>
  <si>
    <t>Päike</t>
  </si>
  <si>
    <t xml:space="preserve">Tuul </t>
  </si>
  <si>
    <t>Vedel läga (avatud süsteem)</t>
  </si>
  <si>
    <t>Vedel läga (suletud süsteem)</t>
  </si>
  <si>
    <t>Elektri lähteaine</t>
  </si>
  <si>
    <t>NA</t>
  </si>
  <si>
    <t>Sisesta soojustootmise katla kasutegur</t>
  </si>
  <si>
    <t>Kohapeal toodetud taastuvelektri kütuse liik</t>
  </si>
  <si>
    <t>Sisesta kuluv elektri kogus</t>
  </si>
  <si>
    <t>Sisesta busside aasta summaarne rohevesiniku tarbimine</t>
  </si>
  <si>
    <t>Sisesta sõiduki aasta summaarne rohevesiniku tarbimine</t>
  </si>
  <si>
    <t>Sisesta rongide aasta summaarne rohevesiniku tarbimine</t>
  </si>
  <si>
    <t>Sisesta laevade aasta summaarne rohevesiniku tarbimine</t>
  </si>
  <si>
    <t>tkm</t>
  </si>
  <si>
    <t>Säästetud diisli kogus</t>
  </si>
  <si>
    <t>Säästetud kütuse kogus</t>
  </si>
  <si>
    <t>Kuluv elektri kogus</t>
  </si>
  <si>
    <t>Cc-H2 - cryocompressed hydrogen (krüokompresseeritud vesinik - vesinik, mis on jahutatud temperatuurini -253 °C ja hoitakse rõhul 250-350 atm)</t>
  </si>
  <si>
    <t>C-H2 - compressed hydrogen (kompresseeritud vesinik - on vesinik, mida hoitakse 350 atm või 700 atm rõhu juures vesinikumahutis)</t>
  </si>
  <si>
    <t>SMR - steam methane reforming (metaani aurtöötlus - vesiniku tootmine metaanist veeauru abil, saadusteks on lisaks vesinikule süsinikmonooksiid ja süsinikdioksiid)</t>
  </si>
  <si>
    <t>IGCC - integrated gasification combined cycle (integreeritud gaasistamise kombineeritud tsükkel - tahke kütuse gaasistamine vähese hapnikuga, saadusteks süsinikdioksiid ja vesinik)</t>
  </si>
  <si>
    <t>O/S - on-site (kohapealne tootmine, mitte võrgust saadav elekter)</t>
  </si>
  <si>
    <t>CCGT - combined cycle gas turbine (kombineeritud tsükliga gaasturbiin - jääksoojust kasutav gaasturbiin eesmärgiga toota täiendav elektri kogus)</t>
  </si>
  <si>
    <t>CCS - carbon capture and storage (süsiniku kinnipüüdmine ja ladustamine - süsinikdioksiidi kogumine ja geoloogiline säilitamine, reguleeritud EL direktiiviga 2009/31/EÜ)</t>
  </si>
  <si>
    <t>EU-mix - EL keskmine kasutatav kütuste segu</t>
  </si>
  <si>
    <t>PM10 - peenosakesed läbimõõduga kuni 10 μm</t>
  </si>
  <si>
    <t>PM2.5 - peenosakesed läbimõõduga kuni 2.5 μm</t>
  </si>
  <si>
    <t>NOx - lämmastikoksiidi ja lämmastikdioksiidi summaarne kogus</t>
  </si>
  <si>
    <t>NMVOC - mittemetaansed lenduvad orgaanilised ühendid</t>
  </si>
  <si>
    <t>SOx - väävli oksiidid</t>
  </si>
  <si>
    <t>NH3 - ammoniaak</t>
  </si>
  <si>
    <t>CO2e - kasvuhoonegaaside kogus arvutatuna süsinikdioksiidi ekvivalentides</t>
  </si>
  <si>
    <t>WTT - well to tank (heitmed energiaallikast kuni kütusepaagini)</t>
  </si>
  <si>
    <t>TTW - tank to wheel (kütuse põlemisel tekkivad heitmed)</t>
  </si>
  <si>
    <t>WTW - well to wheel (WTT ja TTW heitmete summa, kogutsükli heitmed)</t>
  </si>
  <si>
    <t>Sektor</t>
  </si>
  <si>
    <t>g/km</t>
  </si>
  <si>
    <t>Raskeveokid</t>
  </si>
  <si>
    <t>Bussid</t>
  </si>
  <si>
    <t>Raudtee</t>
  </si>
  <si>
    <t>Laev[g/tkm]</t>
  </si>
  <si>
    <t>Lisamärkused:</t>
  </si>
  <si>
    <r>
      <rPr>
        <b/>
        <sz val="11"/>
        <color theme="1"/>
        <rFont val="Calibri"/>
        <family val="2"/>
        <charset val="186"/>
        <scheme val="minor"/>
      </rPr>
      <t>NMVOC</t>
    </r>
    <r>
      <rPr>
        <sz val="11"/>
        <color theme="1"/>
        <rFont val="Calibri"/>
        <family val="2"/>
        <charset val="186"/>
        <scheme val="minor"/>
      </rPr>
      <t xml:space="preserve"> heitkogused sisaldavad lisaks heitgaasidele ka bensiini aurustumisel tekkivaid NMVOC heitkoguseid</t>
    </r>
  </si>
  <si>
    <t>Diiselbusside asendus täielikult rohevesinikku kasutavate bussidega</t>
  </si>
  <si>
    <t>Rongide asendus täielikult rohevesinikku kasutavate rongidega</t>
  </si>
  <si>
    <t>Laevade asendus täielikult rohevesinikku kasutavate laevadega</t>
  </si>
  <si>
    <t>Uute veokite arv</t>
  </si>
  <si>
    <t>Uute veokite kütuseliik</t>
  </si>
  <si>
    <t>Sisesta veokite aasta summaarne läbisõit</t>
  </si>
  <si>
    <t>Sisesta veokite aasta summaarne rohevesiniku tarbimine</t>
  </si>
  <si>
    <t>Uute sõidukite arv</t>
  </si>
  <si>
    <t>Säästetud,t/a</t>
  </si>
  <si>
    <r>
      <rPr>
        <b/>
        <sz val="11"/>
        <color theme="1"/>
        <rFont val="Calibri"/>
        <family val="2"/>
        <charset val="186"/>
        <scheme val="minor"/>
      </rPr>
      <t>PM2.5/PM10</t>
    </r>
    <r>
      <rPr>
        <sz val="11"/>
        <color theme="1"/>
        <rFont val="Calibri"/>
        <family val="2"/>
        <charset val="186"/>
        <scheme val="minor"/>
      </rPr>
      <t xml:space="preserve"> heitkogused sisaldavad lisaks heitgaasidele ka sõiduteekatete, rehvide ja piduriklotside kulumisel tekkinud heitkoguseid (säilib vesinikule üleminekul)</t>
    </r>
  </si>
  <si>
    <t>Laev</t>
  </si>
  <si>
    <t>Rohevesiniku lähteaine</t>
  </si>
  <si>
    <t>Rohevesiniku saamisviis</t>
  </si>
  <si>
    <t>EU mix - EL keskmine kütusesegu vastavalt JRC/EUCAR/CONCAWE tööle: https://publications.jrc.ec.europa.eu/repository/bitstream/JRC119036/jec_wtt_v5_119036_annexes_final.pdf</t>
  </si>
  <si>
    <t>IEA hinnang -  Rahvusvahelise energiaagentuuri hinnang bioenergeetikale http://task39.ieabioenergy.com/publications/</t>
  </si>
  <si>
    <t>C-H2: puit, puidujäägid, konventsionaalne O/S energiatootmine ja vesiniku tootmine elektrolüüsiga jaemüügikohas</t>
  </si>
  <si>
    <t>C-H2: puit, puidujäätmed, 200 MW seadmega gaasistamine, CCGT, tsentraalelekter, vesinik torutranspordiga</t>
  </si>
  <si>
    <t>Cc-H2: puit, puidujäätmed, 200 MW gaasistamine, CCGT, tsentraalelekter, vesinik maanteetranspordiga</t>
  </si>
  <si>
    <t>C-H2: puit ja puidujäätmed, tsentraalgaasistamine, maanteetransport (500 km)</t>
  </si>
  <si>
    <t>C-H2: Puidu ja puidujäätmete veeldamine, O/S vesiniku tootmine mustleelisest</t>
  </si>
  <si>
    <t>Vesi</t>
  </si>
  <si>
    <t>Elektrolüüs</t>
  </si>
  <si>
    <t>SMR</t>
  </si>
  <si>
    <t>IGCC</t>
  </si>
  <si>
    <t>Bio-olmejäätmed</t>
  </si>
  <si>
    <t>Jäätmepuit</t>
  </si>
  <si>
    <t>Kohapeal toodetud taastuvelektri osakaal</t>
  </si>
  <si>
    <t>Soojuse lähteaine</t>
  </si>
  <si>
    <t>Säästetud NOx</t>
  </si>
  <si>
    <t>Säästetud NMVOC</t>
  </si>
  <si>
    <t xml:space="preserve">Säästetud SOx </t>
  </si>
  <si>
    <t>C-H2: energiaallikas ja vesiniku tooraine biometaan reovee sete, O/S SMR</t>
  </si>
  <si>
    <t>C-H2: puit, puidujäätmed, tsentraalgaasistamine, vesiniku torutransport (&gt; 500 km)</t>
  </si>
  <si>
    <t>C-H2: puit, puidujäätmed, O/S gaasistamine, vesiniku maanteetransport (50 km)</t>
  </si>
  <si>
    <t>Cc-H2: puit, puidujäätmed, tsentraalgaasistamine, vesinik vedelkütusena  maanteetranspordiga</t>
  </si>
  <si>
    <t>C-H2: tuul, tsentraalne elektri tootmine, vesinik elektrolüüsiga, vesinik torutranspordiga</t>
  </si>
  <si>
    <t>C-H2: päike, tsentraalelekter, vesinik elektrolüüsiga, vesinik vedelkütusena torutranspordiga</t>
  </si>
  <si>
    <t>Cc-H2: tuul, tsentraalne elektri tootmine, vesinik elektrolüüsiga, vesinik vedelkütusena maanteetranspordiga</t>
  </si>
  <si>
    <t xml:space="preserve">Cc-H2, päike, tsentraalne elektri tootmine, vesinik elektrolüüsiga, vesinik vedelkütusena maanteetranspordiga </t>
  </si>
  <si>
    <t>Konstandid</t>
  </si>
  <si>
    <t>Seletused</t>
  </si>
  <si>
    <t>KONTROLL</t>
  </si>
  <si>
    <t>TJ</t>
  </si>
  <si>
    <r>
      <t>CO</t>
    </r>
    <r>
      <rPr>
        <b/>
        <vertAlign val="subscript"/>
        <sz val="10"/>
        <color indexed="30"/>
        <rFont val="Arial"/>
        <family val="2"/>
        <charset val="186"/>
      </rPr>
      <t>2</t>
    </r>
  </si>
  <si>
    <t>CH4</t>
  </si>
  <si>
    <t>N2O</t>
  </si>
  <si>
    <r>
      <t>CO</t>
    </r>
    <r>
      <rPr>
        <b/>
        <vertAlign val="subscript"/>
        <sz val="10"/>
        <color indexed="30"/>
        <rFont val="Arial"/>
        <family val="2"/>
        <charset val="186"/>
      </rPr>
      <t>2 eq</t>
    </r>
  </si>
  <si>
    <t>Milled Peat</t>
  </si>
  <si>
    <t>BIOMASS</t>
  </si>
  <si>
    <t>Solid Biomass</t>
  </si>
  <si>
    <t>Wood and wood waste</t>
  </si>
  <si>
    <t>CO2 wood</t>
  </si>
  <si>
    <t>CO2 Black liqour</t>
  </si>
  <si>
    <t>CO2</t>
  </si>
  <si>
    <t xml:space="preserve">CH4 Solid </t>
  </si>
  <si>
    <t>Total CH4</t>
  </si>
  <si>
    <t xml:space="preserve">N2OSolid </t>
  </si>
  <si>
    <t>Total N2O</t>
  </si>
  <si>
    <t>Natural Gas</t>
  </si>
  <si>
    <t>Shale Oil (Heavy fraction)</t>
  </si>
  <si>
    <t>Gasoline</t>
  </si>
  <si>
    <t>Gaseous biomass landfill and SW gas</t>
  </si>
  <si>
    <t>Municipal Wastes</t>
  </si>
  <si>
    <t>t</t>
  </si>
  <si>
    <t>Oil Shale Gas</t>
  </si>
  <si>
    <t>Tuul</t>
  </si>
  <si>
    <t>Hüdro</t>
  </si>
  <si>
    <t>Toodetud elekter</t>
  </si>
  <si>
    <t>GWh</t>
  </si>
  <si>
    <t>Biomass</t>
  </si>
  <si>
    <t>TOTAL</t>
  </si>
  <si>
    <t>TOTAL CO2</t>
  </si>
  <si>
    <t>kt</t>
  </si>
  <si>
    <t>TOTAL CH4</t>
  </si>
  <si>
    <t>TOTAL N2O</t>
  </si>
  <si>
    <t>TOTAL CO2 eq.</t>
  </si>
  <si>
    <t>Elektri eriheide</t>
  </si>
  <si>
    <t>kt CO2/TJ</t>
  </si>
  <si>
    <t>kt CO2 eq./TJ</t>
  </si>
  <si>
    <t>t CO2/TJ</t>
  </si>
  <si>
    <t>t CO2 eq./TJ</t>
  </si>
  <si>
    <t>Eesti elektri brutotootmine</t>
  </si>
  <si>
    <t>kt CO2/GWh</t>
  </si>
  <si>
    <t>kt CO2 eq./GWh</t>
  </si>
  <si>
    <r>
      <t xml:space="preserve">Viide: Euroopa keskkonnainfo- ja vaatlusvõrgustiku (EIONET) veebilehelt: </t>
    </r>
    <r>
      <rPr>
        <sz val="11"/>
        <color theme="1"/>
        <rFont val="Calibri"/>
        <family val="2"/>
        <scheme val="minor"/>
      </rPr>
      <t>https://www.eionet.europa.eu/</t>
    </r>
    <r>
      <rPr>
        <sz val="11"/>
        <color rgb="FF1F497D"/>
        <rFont val="Calibri"/>
        <family val="2"/>
        <scheme val="minor"/>
      </rPr>
      <t xml:space="preserve"> (sama aruandluse andmestikuni viivad nii NEC direktiivi kui ka CLRTAPi link: </t>
    </r>
    <r>
      <rPr>
        <sz val="11"/>
        <color theme="1"/>
        <rFont val="Calibri"/>
        <family val="2"/>
        <scheme val="minor"/>
      </rPr>
      <t>https://cdr.eionet.europa.eu/ee/eu/nec_revised/inventories/ või https://cdr.eionet.europa.eu/ee/un/clrtap/ )</t>
    </r>
  </si>
  <si>
    <r>
      <t>WTT  (g CO2eq/</t>
    </r>
    <r>
      <rPr>
        <b/>
        <sz val="11"/>
        <color theme="1"/>
        <rFont val="Calibri"/>
        <family val="2"/>
        <scheme val="minor"/>
      </rPr>
      <t>M</t>
    </r>
    <r>
      <rPr>
        <sz val="11"/>
        <color theme="1"/>
        <rFont val="Calibri"/>
        <family val="2"/>
        <charset val="186"/>
        <scheme val="minor"/>
      </rPr>
      <t>J lõpp-kütus)</t>
    </r>
  </si>
  <si>
    <t>Protsentide teisendus väärtuseks vahemikus 0-1: -&gt; x%/100%</t>
  </si>
  <si>
    <t>Teisendus CO2e [g/km] (siselaev [g/tkm]) / 10^9 = CO2e [kt/km] (siselaev [kt/tkm])</t>
  </si>
  <si>
    <t>Võrgust ostetud päritolusertifikaadiga elektri osakaal</t>
  </si>
  <si>
    <t>Veokite asendus täielikult rohevesinikku kasutavate veokitega</t>
  </si>
  <si>
    <t>Sisesta rohevesiniku tootmiseks kuluv biogaasi kogus</t>
  </si>
  <si>
    <t>Sisesta biogaasi tegemiseks kasutatava biomassi lähteaine</t>
  </si>
  <si>
    <t>Lühendite seletused:</t>
  </si>
  <si>
    <r>
      <rPr>
        <b/>
        <sz val="11"/>
        <color theme="1"/>
        <rFont val="Calibri"/>
        <family val="2"/>
        <scheme val="minor"/>
      </rPr>
      <t>Andmete e-viide</t>
    </r>
    <r>
      <rPr>
        <sz val="11"/>
        <color theme="1"/>
        <rFont val="Calibri"/>
        <family val="2"/>
        <charset val="186"/>
        <scheme val="minor"/>
      </rPr>
      <t xml:space="preserve">: https://publications.jrc.ec.europa.eu/repository/bitstream/JRC119036/jec_wtt_v5_119036_annexes_final.pdf  </t>
    </r>
  </si>
  <si>
    <t>Taastuvelekter</t>
  </si>
  <si>
    <t>Tarne kütus</t>
  </si>
  <si>
    <t>Kastatav tarneviis</t>
  </si>
  <si>
    <t>Rida</t>
  </si>
  <si>
    <t>Sisesta aastas tangitav kütuse kogus</t>
  </si>
  <si>
    <t>Sisesta aastas säästetav diisli kogus</t>
  </si>
  <si>
    <t>Lühendid:</t>
  </si>
  <si>
    <t>Sisesta kasutegur rohevesiniku tootmisel</t>
  </si>
  <si>
    <t>Kasutegur rohevesiniku tootmisel</t>
  </si>
  <si>
    <t>Rohevesiniku tankimine hoiustamiseks ja hoiustamine peale tarnet</t>
  </si>
  <si>
    <t>Sisesta aastas tangitav ja hoisutatav rohevesiniku kogus enne tarnet</t>
  </si>
  <si>
    <t>Sisesta aastas tangitav ja hoisutatav rohevesiniku kogus peale tarnet</t>
  </si>
  <si>
    <t>TABLE 1.A(a)  SECTORAL BACKGROUND DATA  FOR  ENERGY</t>
  </si>
  <si>
    <t>Fuel combustion activities - sectoral approach</t>
  </si>
  <si>
    <t>(Sheet 3 of 4)</t>
  </si>
  <si>
    <t>ESTONIA</t>
  </si>
  <si>
    <t>GREENHOUSE GAS SOURCE AND SINK CATEGORIES</t>
  </si>
  <si>
    <t>AGGREGATE ACTIVITY DATA</t>
  </si>
  <si>
    <t>IMPLIED EMISSION FACTORS</t>
  </si>
  <si>
    <t>EMISSIONS</t>
  </si>
  <si>
    <t xml:space="preserve">Consumption </t>
  </si>
  <si>
    <r>
      <t xml:space="preserve"> CO</t>
    </r>
    <r>
      <rPr>
        <b/>
        <vertAlign val="subscript"/>
        <sz val="9"/>
        <rFont val="Times New Roman"/>
        <family val="1"/>
      </rPr>
      <t>2</t>
    </r>
    <r>
      <rPr>
        <b/>
        <vertAlign val="superscript"/>
        <sz val="9"/>
        <rFont val="Times New Roman"/>
        <family val="1"/>
      </rPr>
      <t>(1)</t>
    </r>
    <r>
      <rPr>
        <b/>
        <sz val="9"/>
        <rFont val="Times New Roman"/>
        <family val="1"/>
      </rPr>
      <t xml:space="preserve">        </t>
    </r>
  </si>
  <si>
    <r>
      <t>CH</t>
    </r>
    <r>
      <rPr>
        <b/>
        <vertAlign val="subscript"/>
        <sz val="9"/>
        <rFont val="Times New Roman"/>
        <family val="1"/>
      </rPr>
      <t>4</t>
    </r>
  </si>
  <si>
    <r>
      <t>N</t>
    </r>
    <r>
      <rPr>
        <b/>
        <vertAlign val="subscript"/>
        <sz val="9"/>
        <rFont val="Times New Roman"/>
        <family val="1"/>
      </rPr>
      <t>2</t>
    </r>
    <r>
      <rPr>
        <b/>
        <sz val="9"/>
        <rFont val="Times New Roman"/>
        <family val="1"/>
      </rPr>
      <t>O</t>
    </r>
  </si>
  <si>
    <r>
      <t xml:space="preserve"> CO</t>
    </r>
    <r>
      <rPr>
        <b/>
        <vertAlign val="subscript"/>
        <sz val="9"/>
        <rFont val="Times New Roman"/>
        <family val="1"/>
      </rPr>
      <t>2</t>
    </r>
    <r>
      <rPr>
        <b/>
        <vertAlign val="superscript"/>
        <sz val="9"/>
        <rFont val="Times New Roman"/>
        <family val="1"/>
      </rPr>
      <t>(2)</t>
    </r>
  </si>
  <si>
    <t>(TJ)</t>
  </si>
  <si>
    <r>
      <t>NCV/GCV</t>
    </r>
    <r>
      <rPr>
        <b/>
        <vertAlign val="superscript"/>
        <sz val="9"/>
        <rFont val="Times New Roman"/>
        <family val="1"/>
      </rPr>
      <t>(3)</t>
    </r>
  </si>
  <si>
    <t>(t/TJ)</t>
  </si>
  <si>
    <t>(kg/TJ)</t>
  </si>
  <si>
    <t>(kt)</t>
  </si>
  <si>
    <t>1.A.3  Transport</t>
  </si>
  <si>
    <t>NCV</t>
  </si>
  <si>
    <t/>
  </si>
  <si>
    <t>Liquid fuels</t>
  </si>
  <si>
    <t>Solid fuels</t>
  </si>
  <si>
    <t>NO</t>
  </si>
  <si>
    <t>Gaseous fuels</t>
  </si>
  <si>
    <r>
      <t>Other fossil fuels</t>
    </r>
    <r>
      <rPr>
        <vertAlign val="superscript"/>
        <sz val="9"/>
        <rFont val="Times New Roman"/>
        <family val="1"/>
      </rPr>
      <t>(4)</t>
    </r>
  </si>
  <si>
    <t>NO,IE</t>
  </si>
  <si>
    <r>
      <t>Biomass</t>
    </r>
    <r>
      <rPr>
        <vertAlign val="superscript"/>
        <sz val="9"/>
        <rFont val="Times New Roman"/>
        <family val="1"/>
      </rPr>
      <t>(6)</t>
    </r>
  </si>
  <si>
    <r>
      <t>a.  Domestic aviation</t>
    </r>
    <r>
      <rPr>
        <vertAlign val="superscript"/>
        <sz val="9"/>
        <rFont val="Times New Roman"/>
        <family val="1"/>
      </rPr>
      <t>(10)</t>
    </r>
  </si>
  <si>
    <t>Aviation gasoline</t>
  </si>
  <si>
    <t>Jet kerosene</t>
  </si>
  <si>
    <r>
      <t>b.  Road transportation</t>
    </r>
    <r>
      <rPr>
        <vertAlign val="superscript"/>
        <sz val="9"/>
        <rFont val="Times New Roman"/>
        <family val="1"/>
      </rPr>
      <t>(11)</t>
    </r>
  </si>
  <si>
    <t>Diesel oil</t>
  </si>
  <si>
    <t>Liquefied petroleum gases (LPG)</t>
  </si>
  <si>
    <r>
      <t>Other liquid fuels (</t>
    </r>
    <r>
      <rPr>
        <i/>
        <sz val="9"/>
        <rFont val="Times New Roman"/>
        <family val="1"/>
      </rPr>
      <t>please specify</t>
    </r>
    <r>
      <rPr>
        <sz val="9"/>
        <rFont val="Times New Roman"/>
        <family val="1"/>
      </rPr>
      <t>)</t>
    </r>
  </si>
  <si>
    <r>
      <t xml:space="preserve">Other fossil fuels </t>
    </r>
    <r>
      <rPr>
        <i/>
        <sz val="9"/>
        <rFont val="Times New Roman"/>
        <family val="1"/>
      </rPr>
      <t>(please specify)</t>
    </r>
    <r>
      <rPr>
        <vertAlign val="superscript"/>
        <sz val="9"/>
        <rFont val="Times New Roman"/>
        <family val="1"/>
      </rPr>
      <t>(4)</t>
    </r>
  </si>
  <si>
    <t>i.  Cars</t>
  </si>
  <si>
    <t>IE</t>
  </si>
  <si>
    <t>ii.  Light duty trucks</t>
  </si>
  <si>
    <t>iii.  Heavy duty trucks and buses</t>
  </si>
  <si>
    <r>
      <t>Other liquid fFuels (</t>
    </r>
    <r>
      <rPr>
        <i/>
        <sz val="9"/>
        <rFont val="Times New Roman"/>
        <family val="1"/>
      </rPr>
      <t>please specify</t>
    </r>
    <r>
      <rPr>
        <sz val="9"/>
        <rFont val="Times New Roman"/>
        <family val="1"/>
      </rPr>
      <t>)</t>
    </r>
  </si>
  <si>
    <t>iv.  Motorcycles</t>
  </si>
  <si>
    <t>v.  Other (please specify)</t>
  </si>
  <si>
    <t>c.  Railways</t>
  </si>
  <si>
    <r>
      <t>Other fossil  fuels (</t>
    </r>
    <r>
      <rPr>
        <i/>
        <sz val="9"/>
        <rFont val="Times New Roman"/>
        <family val="1"/>
      </rPr>
      <t>please specify)</t>
    </r>
  </si>
  <si>
    <r>
      <t>d.  Domestic Navigation</t>
    </r>
    <r>
      <rPr>
        <vertAlign val="superscript"/>
        <sz val="9"/>
        <rFont val="Times New Roman"/>
        <family val="1"/>
      </rPr>
      <t>(10)</t>
    </r>
    <r>
      <rPr>
        <sz val="9"/>
        <rFont val="Times New Roman"/>
        <family val="1"/>
      </rPr>
      <t xml:space="preserve"> </t>
    </r>
  </si>
  <si>
    <t>Residual fuel oil</t>
  </si>
  <si>
    <t>Gas/diesel oil</t>
  </si>
  <si>
    <r>
      <t>Other liquid fuels</t>
    </r>
    <r>
      <rPr>
        <i/>
        <sz val="9"/>
        <rFont val="Times New Roman"/>
        <family val="1"/>
      </rPr>
      <t xml:space="preserve"> (please specify)</t>
    </r>
  </si>
  <si>
    <r>
      <t>Other fossil fuels (</t>
    </r>
    <r>
      <rPr>
        <i/>
        <sz val="9"/>
        <rFont val="Times New Roman"/>
        <family val="1"/>
      </rPr>
      <t>please specify)</t>
    </r>
    <r>
      <rPr>
        <vertAlign val="superscript"/>
        <sz val="9"/>
        <rFont val="Times New Roman"/>
        <family val="1"/>
      </rPr>
      <t>(4)</t>
    </r>
  </si>
  <si>
    <r>
      <t xml:space="preserve">e.  Other transportation </t>
    </r>
    <r>
      <rPr>
        <i/>
        <sz val="9"/>
        <rFont val="Times New Roman"/>
        <family val="1"/>
      </rPr>
      <t>(please specify)</t>
    </r>
  </si>
  <si>
    <r>
      <t>Other fossil fuels</t>
    </r>
    <r>
      <rPr>
        <vertAlign val="superscript"/>
        <sz val="9"/>
        <color indexed="8"/>
        <rFont val="Times New Roman"/>
        <family val="1"/>
      </rPr>
      <t>(4)</t>
    </r>
  </si>
  <si>
    <r>
      <t>Biomass</t>
    </r>
    <r>
      <rPr>
        <vertAlign val="superscript"/>
        <sz val="9"/>
        <color indexed="8"/>
        <rFont val="Times New Roman"/>
        <family val="1"/>
      </rPr>
      <t>(6)</t>
    </r>
  </si>
  <si>
    <t>i. Pipeline transport</t>
  </si>
  <si>
    <r>
      <t>ii. Other</t>
    </r>
    <r>
      <rPr>
        <i/>
        <sz val="9"/>
        <color indexed="8"/>
        <rFont val="Times New Roman"/>
        <family val="1"/>
      </rPr>
      <t xml:space="preserve"> (please specify)</t>
    </r>
  </si>
  <si>
    <t xml:space="preserve">Table1A(a)s3, </t>
  </si>
  <si>
    <t>Selgitus: Võrdlusena on kasutatud olukorda, kus sama veos oleks tehtud diiselbussiga.</t>
  </si>
  <si>
    <t>Selgitus: Võrdlusena on kasutatud olukorda, kus sama veos oleks tehtud diiselmootoriga rongiga.</t>
  </si>
  <si>
    <t>Selgitus: Võrdlusena on kasutatud olukorda, kus sama veos oleks tehtud diiselmootoriga laevaga.</t>
  </si>
  <si>
    <t>Halli elektri eriheide</t>
  </si>
  <si>
    <t>Elektrijaamade kasutegur bruto</t>
  </si>
  <si>
    <t>läbisõit, milj. km (siselaev milj. tkm)(**)</t>
  </si>
  <si>
    <t>https://ec.europa.eu/jrc/en/publication/eur-scientific-and-technical-research-reports/jec-well-tank-report-v5</t>
  </si>
  <si>
    <t>Sealt laadida alla Exceli tabelid (excel_files.zip), millest avada fail JEC_WTTv5_ Appendix 1_Results.xlsx ja sealt Sheet ”Hydrogen” ja ”Conv fossil” Või Sheet WTT sum</t>
  </si>
  <si>
    <r>
      <t>CO</t>
    </r>
    <r>
      <rPr>
        <vertAlign val="subscript"/>
        <sz val="11"/>
        <rFont val="Calibri"/>
        <family val="2"/>
        <scheme val="minor"/>
      </rPr>
      <t>2e</t>
    </r>
    <r>
      <rPr>
        <sz val="11"/>
        <rFont val="Calibri"/>
        <family val="2"/>
        <scheme val="minor"/>
      </rPr>
      <t xml:space="preserve"> [g/km] (siselaev [g/tkm])</t>
    </r>
  </si>
  <si>
    <r>
      <t xml:space="preserve">Note: </t>
    </r>
    <r>
      <rPr>
        <sz val="9"/>
        <rFont val="Times New Roman"/>
        <family val="1"/>
      </rPr>
      <t>All footnotes for this table are given at the end of the table on sheet 4.</t>
    </r>
  </si>
  <si>
    <t>Light Commercial Vehicles</t>
  </si>
  <si>
    <t>Heavy Duty Trucks and Buses</t>
  </si>
  <si>
    <t>https://www.ccr-zkr.org/files/documents/rapports/Thg_ber_en.pdf</t>
  </si>
  <si>
    <t>Laevade erieheidete andmed lk. 15,  67 , 68:</t>
  </si>
  <si>
    <t>Erinevate viidete alusel on võetud keskmine eriheite väärtus:</t>
  </si>
  <si>
    <t>Viited:</t>
  </si>
  <si>
    <t>Läbisõidu andmed (mittevajalikud arvutustes) on tuletatud.</t>
  </si>
  <si>
    <t>g/tkm</t>
  </si>
  <si>
    <t>Jaan.</t>
  </si>
  <si>
    <t>Veebr.</t>
  </si>
  <si>
    <t>Märts</t>
  </si>
  <si>
    <t>Aprill</t>
  </si>
  <si>
    <t>Mai</t>
  </si>
  <si>
    <t>Juuni</t>
  </si>
  <si>
    <t>Juuli</t>
  </si>
  <si>
    <t>Aug.</t>
  </si>
  <si>
    <t>Sept.</t>
  </si>
  <si>
    <t>Okt.</t>
  </si>
  <si>
    <t>Nov.</t>
  </si>
  <si>
    <t>Dets.</t>
  </si>
  <si>
    <t>Diisli-kütus</t>
  </si>
  <si>
    <t>Eriots-tarbe-line diisli-kütus</t>
  </si>
  <si>
    <t>Diiselkütuse tihedus</t>
  </si>
  <si>
    <t>kg/m3</t>
  </si>
  <si>
    <t xml:space="preserve">Tihedus (temperatuuril 15 °C) kg/m3 </t>
  </si>
  <si>
    <t>keskmine tihedus</t>
  </si>
  <si>
    <t>Viide</t>
  </si>
  <si>
    <t>keskmine hind 2019</t>
  </si>
  <si>
    <t>min</t>
  </si>
  <si>
    <t>max</t>
  </si>
  <si>
    <t>kuu</t>
  </si>
  <si>
    <t>kütuse kogus, l</t>
  </si>
  <si>
    <t>https://www.researchgate.net/figure/Average-fuel-consumption-by-train-type-per-kilometer_fig4_321058362</t>
  </si>
  <si>
    <t>rongide kütusekulud</t>
  </si>
  <si>
    <t>l/km</t>
  </si>
  <si>
    <t>https://en.wikipedia.org/wiki/Energy_efficiency_in_transport#Trains</t>
  </si>
  <si>
    <t>18 kW⋅h/km (65 MJ/km)</t>
  </si>
  <si>
    <t>MJ/km</t>
  </si>
  <si>
    <t>EU</t>
  </si>
  <si>
    <t>Iraan</t>
  </si>
  <si>
    <t>https://web.archive.org/web/20061206183329/http://www2.inrets.fr/infos/cost319/MEETDeliverable17.PDF</t>
  </si>
  <si>
    <t>209.1 L/100 km</t>
  </si>
  <si>
    <t>originaalkirje</t>
  </si>
  <si>
    <t>USA</t>
  </si>
  <si>
    <t>Portugal</t>
  </si>
  <si>
    <t>8.5 kW⋅h/km (31 MJ/km</t>
  </si>
  <si>
    <t>km/l</t>
  </si>
  <si>
    <t>https://www.bts.gov/content/class-i-rail-freight-fuel-consumption-and-travel-metric</t>
  </si>
  <si>
    <t>USA (2019)</t>
  </si>
  <si>
    <t>0,06 l/km</t>
  </si>
  <si>
    <t>Keskmine</t>
  </si>
  <si>
    <t>Rongide läbisõit 2019</t>
  </si>
  <si>
    <t>milj km</t>
  </si>
  <si>
    <t>Rong(***)</t>
  </si>
  <si>
    <t>Siselaev (****)</t>
  </si>
  <si>
    <t>1,6 l/km</t>
  </si>
  <si>
    <t>https://www.neste.ee/ee/kui-palju-tarbib-kytust-kuurakett-voi-elroni-diislirong</t>
  </si>
  <si>
    <t>Elron, kinnitamata (2018)</t>
  </si>
  <si>
    <t>Eriheited</t>
  </si>
  <si>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</si>
  <si>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charset val="186"/>
        <scheme val="minor"/>
      </rPr>
      <t>O</t>
    </r>
  </si>
  <si>
    <r>
      <t>GWP(CH</t>
    </r>
    <r>
      <rPr>
        <vertAlign val="subscript"/>
        <sz val="11"/>
        <color theme="1"/>
        <rFont val="Calibri"/>
        <family val="2"/>
        <scheme val="minor"/>
      </rPr>
      <t>4</t>
    </r>
    <r>
      <rPr>
        <sz val="11"/>
        <color theme="1"/>
        <rFont val="Calibri"/>
        <family val="2"/>
        <charset val="186"/>
        <scheme val="minor"/>
      </rPr>
      <t>)  25 t ekv CO</t>
    </r>
    <r>
      <rPr>
        <vertAlign val="subscript"/>
        <sz val="11"/>
        <color theme="1"/>
        <rFont val="Calibri"/>
        <family val="2"/>
        <scheme val="minor"/>
      </rPr>
      <t>2</t>
    </r>
    <r>
      <rPr>
        <sz val="11"/>
        <color theme="1"/>
        <rFont val="Calibri"/>
        <family val="2"/>
        <charset val="186"/>
        <scheme val="minor"/>
      </rPr>
      <t>/tCH</t>
    </r>
    <r>
      <rPr>
        <vertAlign val="subscript"/>
        <sz val="11"/>
        <color theme="1"/>
        <rFont val="Calibri"/>
        <family val="2"/>
        <scheme val="minor"/>
      </rPr>
      <t>4</t>
    </r>
    <r>
      <rPr>
        <sz val="11"/>
        <color theme="1"/>
        <rFont val="Calibri"/>
        <family val="2"/>
        <charset val="186"/>
        <scheme val="minor"/>
      </rPr>
      <t xml:space="preserve"> ja N</t>
    </r>
    <r>
      <rPr>
        <vertAlign val="subscript"/>
        <sz val="11"/>
        <color theme="1"/>
        <rFont val="Calibri"/>
        <family val="2"/>
        <scheme val="minor"/>
      </rPr>
      <t>2</t>
    </r>
    <r>
      <rPr>
        <sz val="11"/>
        <color theme="1"/>
        <rFont val="Calibri"/>
        <family val="2"/>
        <charset val="186"/>
        <scheme val="minor"/>
      </rPr>
      <t>O 298 t ekv CO</t>
    </r>
    <r>
      <rPr>
        <vertAlign val="subscript"/>
        <sz val="11"/>
        <color theme="1"/>
        <rFont val="Calibri"/>
        <family val="2"/>
        <scheme val="minor"/>
      </rPr>
      <t>2</t>
    </r>
    <r>
      <rPr>
        <sz val="11"/>
        <color theme="1"/>
        <rFont val="Calibri"/>
        <family val="2"/>
        <charset val="186"/>
        <scheme val="minor"/>
      </rPr>
      <t>/tN</t>
    </r>
    <r>
      <rPr>
        <vertAlign val="subscript"/>
        <sz val="11"/>
        <color theme="1"/>
        <rFont val="Calibri"/>
        <family val="2"/>
        <scheme val="minor"/>
      </rPr>
      <t>2</t>
    </r>
    <r>
      <rPr>
        <sz val="11"/>
        <color theme="1"/>
        <rFont val="Calibri"/>
        <family val="2"/>
        <charset val="186"/>
        <scheme val="minor"/>
      </rPr>
      <t>O. GWP - greenhouse warming potential - on antud kasvuhoonegaasi mõjukordaja atmsofääris võrreldes CO</t>
    </r>
    <r>
      <rPr>
        <vertAlign val="subscript"/>
        <sz val="11"/>
        <color theme="1"/>
        <rFont val="Calibri"/>
        <family val="2"/>
        <scheme val="minor"/>
      </rPr>
      <t>2</t>
    </r>
    <r>
      <rPr>
        <sz val="11"/>
        <color theme="1"/>
        <rFont val="Calibri"/>
        <family val="2"/>
        <charset val="186"/>
        <scheme val="minor"/>
      </rPr>
      <t>-ga 100 aasta jooksul.</t>
    </r>
  </si>
  <si>
    <r>
      <t>t ekv CO</t>
    </r>
    <r>
      <rPr>
        <vertAlign val="subscript"/>
        <sz val="11"/>
        <color theme="1"/>
        <rFont val="Calibri"/>
        <family val="2"/>
        <scheme val="minor"/>
      </rPr>
      <t>2</t>
    </r>
    <r>
      <rPr>
        <sz val="11"/>
        <color theme="1"/>
        <rFont val="Calibri"/>
        <family val="2"/>
        <charset val="186"/>
        <scheme val="minor"/>
      </rPr>
      <t>/tCH</t>
    </r>
    <r>
      <rPr>
        <vertAlign val="subscript"/>
        <sz val="11"/>
        <color theme="1"/>
        <rFont val="Calibri"/>
        <family val="2"/>
        <scheme val="minor"/>
      </rPr>
      <t>4</t>
    </r>
  </si>
  <si>
    <r>
      <t>t ekv CO</t>
    </r>
    <r>
      <rPr>
        <vertAlign val="subscript"/>
        <sz val="11"/>
        <color theme="1"/>
        <rFont val="Calibri"/>
        <family val="2"/>
        <scheme val="minor"/>
      </rPr>
      <t>2</t>
    </r>
    <r>
      <rPr>
        <sz val="11"/>
        <color theme="1"/>
        <rFont val="Calibri"/>
        <family val="2"/>
        <charset val="186"/>
        <scheme val="minor"/>
      </rPr>
      <t>/tN</t>
    </r>
    <r>
      <rPr>
        <vertAlign val="subscript"/>
        <sz val="11"/>
        <color theme="1"/>
        <rFont val="Calibri"/>
        <family val="2"/>
        <scheme val="minor"/>
      </rPr>
      <t>2</t>
    </r>
    <r>
      <rPr>
        <sz val="11"/>
        <color theme="1"/>
        <rFont val="Calibri"/>
        <family val="2"/>
        <charset val="186"/>
        <scheme val="minor"/>
      </rPr>
      <t>O</t>
    </r>
  </si>
  <si>
    <r>
      <t>(****) Siselaevade korral puuduvad statistilised kilometraazi andmed Eesti kohta, seetõttu on CO</t>
    </r>
    <r>
      <rPr>
        <vertAlign val="subscript"/>
        <sz val="11"/>
        <color theme="1"/>
        <rFont val="Calibri"/>
        <family val="2"/>
        <scheme val="minor"/>
      </rPr>
      <t>2e</t>
    </r>
    <r>
      <rPr>
        <sz val="11"/>
        <color theme="1"/>
        <rFont val="Calibri"/>
        <family val="2"/>
        <charset val="186"/>
        <scheme val="minor"/>
      </rPr>
      <t xml:space="preserve"> (g/tkm) võetud kirjanduse andmete põhjal:</t>
    </r>
  </si>
  <si>
    <t xml:space="preserve">Lähteandmed tulevad Keskkonnaagentuurist, kes arvutab COPERT 5 mudeli abil. </t>
  </si>
  <si>
    <t>Category</t>
  </si>
  <si>
    <t>Fuel</t>
  </si>
  <si>
    <t>Segment</t>
  </si>
  <si>
    <t>Euro Standard</t>
  </si>
  <si>
    <t>Passenger Cars</t>
  </si>
  <si>
    <t>Petrol</t>
  </si>
  <si>
    <t>Small</t>
  </si>
  <si>
    <t>PRE ECE</t>
  </si>
  <si>
    <t>ECE 15/00-01</t>
  </si>
  <si>
    <t>ECE 15/02</t>
  </si>
  <si>
    <t>ECE 15/03</t>
  </si>
  <si>
    <t>ECE 15/04</t>
  </si>
  <si>
    <t>Euro 1</t>
  </si>
  <si>
    <t>Euro 2</t>
  </si>
  <si>
    <t>Euro 3</t>
  </si>
  <si>
    <t>Euro 4</t>
  </si>
  <si>
    <t>Euro 5</t>
  </si>
  <si>
    <t>Euro 6 a/b/c</t>
  </si>
  <si>
    <t>Euro 6 d-temp</t>
  </si>
  <si>
    <t>Medium</t>
  </si>
  <si>
    <t>Large-SUV-Executive</t>
  </si>
  <si>
    <t>Petrol Hybrid</t>
  </si>
  <si>
    <t>Petrol PHEV</t>
  </si>
  <si>
    <t>Diesel</t>
  </si>
  <si>
    <t>Conventional</t>
  </si>
  <si>
    <t>Diesel PHEV</t>
  </si>
  <si>
    <t>LPG Bifuel</t>
  </si>
  <si>
    <t>CNG Bifuel</t>
  </si>
  <si>
    <t>N1-I</t>
  </si>
  <si>
    <t>N1-II</t>
  </si>
  <si>
    <t>N1-III</t>
  </si>
  <si>
    <t>Heavy Duty Trucks</t>
  </si>
  <si>
    <t>&gt;3,5 t</t>
  </si>
  <si>
    <t>Rigid &lt;=7,5 t</t>
  </si>
  <si>
    <t>Euro I</t>
  </si>
  <si>
    <t>Euro II</t>
  </si>
  <si>
    <t>Euro III</t>
  </si>
  <si>
    <t>Euro IV</t>
  </si>
  <si>
    <t>Euro V</t>
  </si>
  <si>
    <t>Euro VI A/B/C</t>
  </si>
  <si>
    <t>Euro VI D/E</t>
  </si>
  <si>
    <t>Rigid 7,5 - 12 t</t>
  </si>
  <si>
    <t>Rigid 12 - 14 t</t>
  </si>
  <si>
    <t>Rigid 14 - 20 t</t>
  </si>
  <si>
    <t>Rigid 20 - 26 t</t>
  </si>
  <si>
    <t>Rigid 26 - 28 t</t>
  </si>
  <si>
    <t>Rigid 28 - 32 t</t>
  </si>
  <si>
    <t>Rigid &gt;32 t</t>
  </si>
  <si>
    <t>Buses</t>
  </si>
  <si>
    <t>Coaches Standard &lt;=18 t</t>
  </si>
  <si>
    <t>CNG</t>
  </si>
  <si>
    <t>Urban CNG Buses</t>
  </si>
  <si>
    <t>EEV</t>
  </si>
  <si>
    <t>L-Category</t>
  </si>
  <si>
    <t>Mopeds 4-stroke &lt;50 cm³</t>
  </si>
  <si>
    <t>Motorcycles 4-stroke &lt;250 cm³</t>
  </si>
  <si>
    <t>Motorcycles 4-stroke 250 - 750 cm³</t>
  </si>
  <si>
    <t>Motorcycles 4-stroke &gt;750 cm³</t>
  </si>
  <si>
    <t xml:space="preserve">Andmete päritolu: Keskkonnaagentuur, arvutatud COPERT 5 mudeli abil. </t>
  </si>
  <si>
    <t>KE033: ELEKTRIJAAMADE TOODANG JA ENERGIA TOOTMISEKS TARBITUD KÜTUS. Statistika andmebaas</t>
  </si>
  <si>
    <t>Teisendusfaktor TJ &gt; GWh</t>
  </si>
  <si>
    <t>Teisendusfaktor GWh &gt; TJ</t>
  </si>
  <si>
    <r>
      <t>heide, t CO</t>
    </r>
    <r>
      <rPr>
        <b/>
        <vertAlign val="subscript"/>
        <sz val="10"/>
        <color indexed="30"/>
        <rFont val="Arial"/>
        <family val="2"/>
        <charset val="186"/>
      </rPr>
      <t>2</t>
    </r>
  </si>
  <si>
    <t>Carbon Emission Factor, tC/TJ</t>
  </si>
  <si>
    <t>heide, t CH4 või N2O</t>
  </si>
  <si>
    <t>CH4 and N2O emission factors by fuel, kg/TJ</t>
  </si>
  <si>
    <r>
      <t>t CO</t>
    </r>
    <r>
      <rPr>
        <b/>
        <vertAlign val="subscript"/>
        <sz val="10"/>
        <color indexed="30"/>
        <rFont val="Arial"/>
        <family val="2"/>
        <charset val="186"/>
      </rPr>
      <t>2 eq</t>
    </r>
  </si>
  <si>
    <r>
      <t xml:space="preserve">Oil Shale </t>
    </r>
    <r>
      <rPr>
        <b/>
        <vertAlign val="subscript"/>
        <sz val="10"/>
        <rFont val="Arial"/>
        <family val="2"/>
        <charset val="186"/>
      </rPr>
      <t>FBC</t>
    </r>
    <r>
      <rPr>
        <b/>
        <sz val="10"/>
        <rFont val="Arial"/>
        <family val="2"/>
        <charset val="186"/>
      </rPr>
      <t xml:space="preserve"> (fludised bed combustion)</t>
    </r>
  </si>
  <si>
    <r>
      <t>Oil Shale</t>
    </r>
    <r>
      <rPr>
        <b/>
        <vertAlign val="subscript"/>
        <sz val="10"/>
        <rFont val="Arial"/>
        <family val="2"/>
        <charset val="186"/>
      </rPr>
      <t>PC</t>
    </r>
    <r>
      <rPr>
        <b/>
        <sz val="10"/>
        <rFont val="Arial"/>
        <family val="2"/>
        <charset val="186"/>
      </rPr>
      <t xml:space="preserve"> (pulverised combustion)</t>
    </r>
  </si>
  <si>
    <t>Biomass(*)</t>
  </si>
  <si>
    <t>Biogaas(*)</t>
  </si>
  <si>
    <t>(*) Summaarsete väärtuste saamiseks on kasutatud ülaltoodud ETS andmeid ja topeltarvestuse välitimiseks siinseid samaseid andmeid ei kasutata.</t>
  </si>
  <si>
    <t>Arvutustes kasutatud konstandid ja nende seletused</t>
  </si>
  <si>
    <t>Rippmenüüde valikandmed</t>
  </si>
  <si>
    <t>Biogaasi lähteaine</t>
  </si>
  <si>
    <t>Sisesta rohevesiniku tootmisel kasutatava soojuse saamiseks kasutatud kütuse liik</t>
  </si>
  <si>
    <t xml:space="preserve">Tegemist on EL ametliku statistikaga eri tüüpi kütuste toomisel, käitlemisel, transpordil, säilitamisel ja tarbimisel tekkivate CO2e heitmete kohta. Üldviide: https://publications.jrc.ec.europa.eu/repository/bitstream/JRC119036/jec_wtt_v5_119036_annexes_final.pdf  </t>
  </si>
  <si>
    <t>Kütuse liik</t>
  </si>
  <si>
    <t>https://www.trea.ee/wp-content/uploads/2021/02/Puitk%C3%BCtuste-kasutaja-k%C3%A4siraamat.pdf</t>
  </si>
  <si>
    <t>Tabel 2.6. Erinevate puitkütuse liikide koguste vahelise arvestuse üleminekutegurid</t>
  </si>
  <si>
    <t>Sortiment</t>
  </si>
  <si>
    <t>Ümarpuit</t>
  </si>
  <si>
    <t>1 rm 1 meetriseid halge</t>
  </si>
  <si>
    <t>1 rm lõhutud halge</t>
  </si>
  <si>
    <t>1 pm lõhutud halge</t>
  </si>
  <si>
    <t xml:space="preserve">1 m </t>
  </si>
  <si>
    <t>lõhkumata halud</t>
  </si>
  <si>
    <t>Lõhutud halud</t>
  </si>
  <si>
    <t>Hakkpuit</t>
  </si>
  <si>
    <t>Riita laotuna</t>
  </si>
  <si>
    <t>Puistena</t>
  </si>
  <si>
    <t>Väike (G30)</t>
  </si>
  <si>
    <t>Keskmine (G50)</t>
  </si>
  <si>
    <t>rm</t>
  </si>
  <si>
    <t>1 pm väikese tükiline metsahake (G30)</t>
  </si>
  <si>
    <t>1 pm keskmise tükiline metsahake (G50)</t>
  </si>
  <si>
    <r>
      <t>tm (m</t>
    </r>
    <r>
      <rPr>
        <vertAlign val="superscript"/>
        <sz val="8"/>
        <color rgb="FF000000"/>
        <rFont val="Times New Roman"/>
        <family val="1"/>
      </rPr>
      <t>3</t>
    </r>
    <r>
      <rPr>
        <sz val="9"/>
        <color rgb="FF000000"/>
        <rFont val="Times New Roman"/>
        <family val="1"/>
      </rPr>
      <t>)</t>
    </r>
  </si>
  <si>
    <r>
      <t>pm</t>
    </r>
    <r>
      <rPr>
        <vertAlign val="superscript"/>
        <sz val="8"/>
        <color rgb="FF000000"/>
        <rFont val="Times New Roman"/>
        <family val="1"/>
      </rPr>
      <t>3</t>
    </r>
  </si>
  <si>
    <r>
      <t>1 tm (m</t>
    </r>
    <r>
      <rPr>
        <b/>
        <vertAlign val="superscript"/>
        <sz val="8"/>
        <color rgb="FF000000"/>
        <rFont val="Times New Roman"/>
        <family val="1"/>
      </rPr>
      <t>3</t>
    </r>
    <r>
      <rPr>
        <b/>
        <sz val="9"/>
        <color rgb="FF000000"/>
        <rFont val="Times New Roman"/>
        <family val="1"/>
      </rPr>
      <t>) ümarpuitu</t>
    </r>
  </si>
  <si>
    <t>Allikas: Puitkütuste kasutaja käsiraamat, 2020. lk 22</t>
  </si>
  <si>
    <t>Puu liik</t>
  </si>
  <si>
    <t>Tüvepuit</t>
  </si>
  <si>
    <t>Koor</t>
  </si>
  <si>
    <t>Kogu tüvi</t>
  </si>
  <si>
    <t>Ladvad</t>
  </si>
  <si>
    <t>Lehed, okkad</t>
  </si>
  <si>
    <t>Kogu puu</t>
  </si>
  <si>
    <t>Kännud</t>
  </si>
  <si>
    <t>Mänd</t>
  </si>
  <si>
    <t>(Pinus Sylvestris)</t>
  </si>
  <si>
    <t>Kuusk</t>
  </si>
  <si>
    <t>(Picea abies)</t>
  </si>
  <si>
    <t>Sookask</t>
  </si>
  <si>
    <t>(Betula pubescens)</t>
  </si>
  <si>
    <t>Arukask</t>
  </si>
  <si>
    <t>(Betula pendula)</t>
  </si>
  <si>
    <t>Hall lepp</t>
  </si>
  <si>
    <t>(Alnus incana)</t>
  </si>
  <si>
    <t>Must lepp</t>
  </si>
  <si>
    <t>(Alnus glutinosa)</t>
  </si>
  <si>
    <t>Haab</t>
  </si>
  <si>
    <t>(Populus tremula)</t>
  </si>
  <si>
    <t>massi järgi,</t>
  </si>
  <si>
    <t>GJ/t</t>
  </si>
  <si>
    <t>massi järgi, kWh/kg</t>
  </si>
  <si>
    <r>
      <t>Puistetihedus/ tihedus, kg/m</t>
    </r>
    <r>
      <rPr>
        <b/>
        <vertAlign val="superscript"/>
        <sz val="8"/>
        <color rgb="FF000000"/>
        <rFont val="Times New Roman"/>
        <family val="1"/>
      </rPr>
      <t>3</t>
    </r>
  </si>
  <si>
    <t>mahu järgi,</t>
  </si>
  <si>
    <t>(väga sõltuv niiskusest)</t>
  </si>
  <si>
    <t>Halupuu (virnastatuna – õhkkuiv, 20% niiskus)</t>
  </si>
  <si>
    <t>Puit (kuivatatud)</t>
  </si>
  <si>
    <t>Puitpellet (-graanul)</t>
  </si>
  <si>
    <t>800 – 12 600</t>
  </si>
  <si>
    <t>Hiina siidpööris, pallituna (25% niiskus)</t>
  </si>
  <si>
    <t>Süsi (pruunsöest antratsiidini)</t>
  </si>
  <si>
    <t>5,6 – 8,3</t>
  </si>
  <si>
    <t>Kütteõli</t>
  </si>
  <si>
    <t>Maagaas (Eesti) ülemine alumine</t>
  </si>
  <si>
    <t>10,4 9,4</t>
  </si>
  <si>
    <r>
      <t>mahu järgi, kWh/pm</t>
    </r>
    <r>
      <rPr>
        <b/>
        <vertAlign val="superscript"/>
        <sz val="8"/>
        <color rgb="FF000000"/>
        <rFont val="Times New Roman"/>
        <family val="1"/>
      </rPr>
      <t>3</t>
    </r>
    <r>
      <rPr>
        <b/>
        <sz val="8"/>
        <color rgb="FF000000"/>
        <rFont val="Times New Roman"/>
        <family val="1"/>
      </rPr>
      <t>; kWh/m</t>
    </r>
    <r>
      <rPr>
        <b/>
        <vertAlign val="superscript"/>
        <sz val="8"/>
        <color rgb="FF000000"/>
        <rFont val="Times New Roman"/>
        <family val="1"/>
      </rPr>
      <t>3</t>
    </r>
  </si>
  <si>
    <r>
      <t>MJ/pm</t>
    </r>
    <r>
      <rPr>
        <b/>
        <vertAlign val="superscript"/>
        <sz val="8"/>
        <color rgb="FF000000"/>
        <rFont val="Times New Roman"/>
        <family val="1"/>
      </rPr>
      <t>3</t>
    </r>
    <r>
      <rPr>
        <b/>
        <sz val="8"/>
        <color rgb="FF000000"/>
        <rFont val="Times New Roman"/>
        <family val="1"/>
      </rPr>
      <t>; MJ/m</t>
    </r>
    <r>
      <rPr>
        <b/>
        <vertAlign val="superscript"/>
        <sz val="8"/>
        <color rgb="FF000000"/>
        <rFont val="Times New Roman"/>
        <family val="1"/>
      </rPr>
      <t>3</t>
    </r>
  </si>
  <si>
    <t xml:space="preserve">Energia-tihedus </t>
  </si>
  <si>
    <t>7 – 15</t>
  </si>
  <si>
    <t>2 – 4</t>
  </si>
  <si>
    <t>175 – 350</t>
  </si>
  <si>
    <t>2000 – 3600</t>
  </si>
  <si>
    <t>600 – 1000</t>
  </si>
  <si>
    <t>300 – 550</t>
  </si>
  <si>
    <t>4500 – 8300</t>
  </si>
  <si>
    <t>8100 – 16 800</t>
  </si>
  <si>
    <t>2300 – 4600</t>
  </si>
  <si>
    <t>1300 – 2300</t>
  </si>
  <si>
    <t>450 – 800</t>
  </si>
  <si>
    <t>5 – 5,8</t>
  </si>
  <si>
    <t>18 – 21</t>
  </si>
  <si>
    <t>600 – 700</t>
  </si>
  <si>
    <t>120 – 160</t>
  </si>
  <si>
    <t>3000 – 3500</t>
  </si>
  <si>
    <t>560 – 750</t>
  </si>
  <si>
    <t>2000 – 2700</t>
  </si>
  <si>
    <t>20 – 30</t>
  </si>
  <si>
    <t>800– 1000</t>
  </si>
  <si>
    <t>16000 – 33 000</t>
  </si>
  <si>
    <t>4500 – 9100</t>
  </si>
  <si>
    <r>
      <t xml:space="preserve">Tabel 3.8. </t>
    </r>
    <r>
      <rPr>
        <sz val="9"/>
        <color rgb="FF000000"/>
        <rFont val="Times New Roman"/>
        <family val="1"/>
      </rPr>
      <t>Kütuse energiatihedus (energiasisaldus) ja puistetihedus (1 MJ = 0,278 kWh ja 1 GJ = 277,8 kWh) [30]</t>
    </r>
  </si>
  <si>
    <t>Puuliik</t>
  </si>
  <si>
    <r>
      <t>ρ</t>
    </r>
    <r>
      <rPr>
        <b/>
        <i/>
        <vertAlign val="subscript"/>
        <sz val="8"/>
        <color rgb="FF000000"/>
        <rFont val="Times New Roman"/>
        <family val="1"/>
      </rPr>
      <t>0</t>
    </r>
    <r>
      <rPr>
        <i/>
        <vertAlign val="subscript"/>
        <sz val="8"/>
        <color rgb="FF000000"/>
        <rFont val="Times New Roman"/>
        <family val="1"/>
      </rPr>
      <t xml:space="preserve"> </t>
    </r>
    <r>
      <rPr>
        <b/>
        <sz val="9"/>
        <color rgb="FF000000"/>
        <rFont val="Times New Roman"/>
        <family val="1"/>
      </rPr>
      <t>, absoluutselt kuiv puit</t>
    </r>
  </si>
  <si>
    <r>
      <t>ρ</t>
    </r>
    <r>
      <rPr>
        <b/>
        <i/>
        <sz val="5"/>
        <color rgb="FF000000"/>
        <rFont val="Times New Roman"/>
        <family val="1"/>
      </rPr>
      <t>12</t>
    </r>
    <r>
      <rPr>
        <i/>
        <sz val="5"/>
        <color rgb="FF000000"/>
        <rFont val="Times New Roman"/>
        <family val="1"/>
      </rPr>
      <t xml:space="preserve"> </t>
    </r>
    <r>
      <rPr>
        <b/>
        <sz val="9"/>
        <color rgb="FF000000"/>
        <rFont val="Times New Roman"/>
        <family val="1"/>
      </rPr>
      <t xml:space="preserve">, </t>
    </r>
  </si>
  <si>
    <t>normniiskusel</t>
  </si>
  <si>
    <t>Lehis</t>
  </si>
  <si>
    <t>Tamm</t>
  </si>
  <si>
    <t>Vaher</t>
  </si>
  <si>
    <t>Kask</t>
  </si>
  <si>
    <t>Lepp</t>
  </si>
  <si>
    <t>Pärn</t>
  </si>
  <si>
    <t>Paju</t>
  </si>
  <si>
    <r>
      <t>kg/tm(m</t>
    </r>
    <r>
      <rPr>
        <vertAlign val="superscript"/>
        <sz val="11"/>
        <color theme="1"/>
        <rFont val="Calibri"/>
        <family val="2"/>
        <scheme val="minor"/>
      </rPr>
      <t>3</t>
    </r>
    <r>
      <rPr>
        <sz val="11"/>
        <color theme="1"/>
        <rFont val="Calibri"/>
        <family val="2"/>
        <charset val="186"/>
        <scheme val="minor"/>
      </rPr>
      <t>)</t>
    </r>
  </si>
  <si>
    <t>Allikas: Puitkütuste kasutaja käsiraamat, 2020. lk 41</t>
  </si>
  <si>
    <t>Puidu keskmine tihedus</t>
  </si>
  <si>
    <t xml:space="preserve">Allikas: </t>
  </si>
  <si>
    <t xml:space="preserve">Fuels </t>
  </si>
  <si>
    <t xml:space="preserve">Unit </t>
  </si>
  <si>
    <t xml:space="preserve">CEF, tC/TJ </t>
  </si>
  <si>
    <t xml:space="preserve">Oxidation factor </t>
  </si>
  <si>
    <t xml:space="preserve">Source of emission factor </t>
  </si>
  <si>
    <t xml:space="preserve">Liquid fuels </t>
  </si>
  <si>
    <t xml:space="preserve">  </t>
  </si>
  <si>
    <t xml:space="preserve">LPG </t>
  </si>
  <si>
    <t xml:space="preserve">GJ/t </t>
  </si>
  <si>
    <t xml:space="preserve">CS (Estonia) </t>
  </si>
  <si>
    <t xml:space="preserve">Gasoline (for non-road transport) </t>
  </si>
  <si>
    <t xml:space="preserve">Light fuel oil </t>
  </si>
  <si>
    <t xml:space="preserve">Shale oil (heavy fraction) </t>
  </si>
  <si>
    <t xml:space="preserve">CS, MoE 2017 </t>
  </si>
  <si>
    <t xml:space="preserve">Shale oil (light fraction) </t>
  </si>
  <si>
    <t xml:space="preserve">CS (Estonia), MoE 2017 </t>
  </si>
  <si>
    <t xml:space="preserve">Diesel oil </t>
  </si>
  <si>
    <t xml:space="preserve">Residual fuel oil (heavy fuel oil) </t>
  </si>
  <si>
    <t xml:space="preserve">Solid fuels </t>
  </si>
  <si>
    <t xml:space="preserve">Coal </t>
  </si>
  <si>
    <t xml:space="preserve">Coke oven coke </t>
  </si>
  <si>
    <t xml:space="preserve">Oil shale CFB (fludised bed combustion) </t>
  </si>
  <si>
    <t xml:space="preserve">26,42 – </t>
  </si>
  <si>
    <t xml:space="preserve">PS (Estonia) </t>
  </si>
  <si>
    <t xml:space="preserve">Oil shale PC (pulverised combustion) </t>
  </si>
  <si>
    <t xml:space="preserve">27,76 – </t>
  </si>
  <si>
    <t xml:space="preserve">Milled peat </t>
  </si>
  <si>
    <t xml:space="preserve">D, IPCC 2006 </t>
  </si>
  <si>
    <t xml:space="preserve">FI (Finland) </t>
  </si>
  <si>
    <t xml:space="preserve">Peat briquette </t>
  </si>
  <si>
    <t xml:space="preserve">Oil shale semi-coke gas (SHC technology, Narva Enefit 140 plant) </t>
  </si>
  <si>
    <r>
      <t>GJ/1000 m</t>
    </r>
    <r>
      <rPr>
        <vertAlign val="superscript"/>
        <sz val="10"/>
        <color rgb="FF000000"/>
        <rFont val="Times New Roman"/>
        <family val="1"/>
      </rPr>
      <t>3</t>
    </r>
    <r>
      <rPr>
        <sz val="10"/>
        <color rgb="FF000000"/>
        <rFont val="Times New Roman"/>
        <family val="1"/>
      </rPr>
      <t xml:space="preserve"> </t>
    </r>
  </si>
  <si>
    <t xml:space="preserve">Oil shale semi-coke gas (SHC technology, Narva Enefit 280 plant) </t>
  </si>
  <si>
    <t xml:space="preserve">Oil shale semi-coke gas (VKG Petroter I plant) </t>
  </si>
  <si>
    <t xml:space="preserve">Oil shale semi-coke gas (VKG Petroter </t>
  </si>
  <si>
    <t xml:space="preserve">II plant) </t>
  </si>
  <si>
    <t xml:space="preserve">Oil shale generators gas (VKG Petroter </t>
  </si>
  <si>
    <t xml:space="preserve">III plant) </t>
  </si>
  <si>
    <t xml:space="preserve">Oil shale semi-coke gas (Kiviõli plant) </t>
  </si>
  <si>
    <t xml:space="preserve">Oil shale generator gas (Kiviõli plant) </t>
  </si>
  <si>
    <t xml:space="preserve">Oil shale generator gas (VKG plant) </t>
  </si>
  <si>
    <t xml:space="preserve">Gas gasoline </t>
  </si>
  <si>
    <t xml:space="preserve">Waste oils (CRF 1A2f)* </t>
  </si>
  <si>
    <t xml:space="preserve"> </t>
  </si>
  <si>
    <t>PS, Kunda Nordic Cement</t>
  </si>
  <si>
    <t xml:space="preserve">Other fossil based solid waste (MSW) (CRF 1A2f) </t>
  </si>
  <si>
    <t xml:space="preserve">Plastic waste (CRF 1A2f) </t>
  </si>
  <si>
    <t xml:space="preserve">Municipal solid waste (CRF 1A1a) </t>
  </si>
  <si>
    <t xml:space="preserve">PS, Iru incineration plant </t>
  </si>
  <si>
    <t xml:space="preserve">Gaseous fuels </t>
  </si>
  <si>
    <t xml:space="preserve">Natural gas </t>
  </si>
  <si>
    <t xml:space="preserve">Biomass fuels </t>
  </si>
  <si>
    <t xml:space="preserve">Solid biomass (solid, includes e.g. firewood, wood chips, sawdust pellets, briquettes, etc.) </t>
  </si>
  <si>
    <t xml:space="preserve">6,9 – 16,9 </t>
  </si>
  <si>
    <t xml:space="preserve">Black liquor </t>
  </si>
  <si>
    <t xml:space="preserve">Biogas (landfill gas and biogas from wastewater treatment ) </t>
  </si>
  <si>
    <t>Lühedid ja märked:</t>
  </si>
  <si>
    <t>NCV - net calorific value, CEF - Carbon emission factor</t>
  </si>
  <si>
    <r>
      <rPr>
        <vertAlign val="superscript"/>
        <sz val="11"/>
        <color theme="1"/>
        <rFont val="Calibri"/>
        <family val="2"/>
        <scheme val="minor"/>
      </rPr>
      <t>1</t>
    </r>
    <r>
      <rPr>
        <sz val="11"/>
        <color theme="1"/>
        <rFont val="Calibri"/>
        <family val="2"/>
        <charset val="186"/>
        <scheme val="minor"/>
      </rPr>
      <t xml:space="preserve"> A processed form of peat that is compressed into small (40–70 mm) pieces.</t>
    </r>
  </si>
  <si>
    <t xml:space="preserve">D - IPCC default value; CS – country specific; PS – plant specific *biogenic and non-biogenic origin </t>
  </si>
  <si>
    <t>Kogus energiaühikutes</t>
  </si>
  <si>
    <r>
      <t>GJ/1000 m</t>
    </r>
    <r>
      <rPr>
        <vertAlign val="superscript"/>
        <sz val="11"/>
        <color theme="1"/>
        <rFont val="Calibri"/>
        <family val="2"/>
        <scheme val="minor"/>
      </rPr>
      <t>3</t>
    </r>
  </si>
  <si>
    <t>Keskmine okaspuu</t>
  </si>
  <si>
    <t>Keskmine lehtpuu</t>
  </si>
  <si>
    <t>Kütuste ümberarvutus massi- või mahuühikult energiaühikule</t>
  </si>
  <si>
    <r>
      <t xml:space="preserve">Tabel 3.5. Eestis levinumate puuliikide eri osade keskmine kuivaine alumine kütteväärtus </t>
    </r>
    <r>
      <rPr>
        <b/>
        <i/>
        <u/>
        <sz val="10"/>
        <color rgb="FF000000"/>
        <rFont val="Times New Roman"/>
        <family val="1"/>
      </rPr>
      <t>q</t>
    </r>
    <r>
      <rPr>
        <b/>
        <i/>
        <u/>
        <vertAlign val="subscript"/>
        <sz val="9"/>
        <color rgb="FF000000"/>
        <rFont val="Times New Roman"/>
        <family val="1"/>
      </rPr>
      <t>net,d</t>
    </r>
    <r>
      <rPr>
        <b/>
        <u/>
        <vertAlign val="subscript"/>
        <sz val="9"/>
        <color rgb="FF000000"/>
        <rFont val="Times New Roman"/>
        <family val="1"/>
      </rPr>
      <t>,</t>
    </r>
    <r>
      <rPr>
        <b/>
        <u/>
        <sz val="10"/>
        <color rgb="FF000000"/>
        <rFont val="Times New Roman"/>
        <family val="1"/>
      </rPr>
      <t xml:space="preserve"> </t>
    </r>
    <r>
      <rPr>
        <b/>
        <u/>
        <sz val="9"/>
        <color rgb="FF000000"/>
        <rFont val="Times New Roman"/>
        <family val="1"/>
      </rPr>
      <t>MJ/kg [14, 16]</t>
    </r>
  </si>
  <si>
    <r>
      <t>Tabel 3.15. Erinevate puuliikide tüvepuidu tihedus, kg/m</t>
    </r>
    <r>
      <rPr>
        <b/>
        <u/>
        <vertAlign val="superscript"/>
        <sz val="9"/>
        <color rgb="FF000000"/>
        <rFont val="Times New Roman"/>
        <family val="1"/>
      </rPr>
      <t>3</t>
    </r>
    <r>
      <rPr>
        <b/>
        <u/>
        <sz val="9"/>
        <color rgb="FF000000"/>
        <rFont val="Times New Roman"/>
        <family val="1"/>
      </rPr>
      <t xml:space="preserve"> </t>
    </r>
  </si>
  <si>
    <t>Lehtpuude keskmine tihedus</t>
  </si>
  <si>
    <t>Okaspuude kesmine tihedus</t>
  </si>
  <si>
    <t>Kütuse tihedus*</t>
  </si>
  <si>
    <t>https://www.riigiteataja.ee/akt/174925</t>
  </si>
  <si>
    <t>* - allikas: Vedelkütuste kvaliteedinõuded, riigi teataja</t>
  </si>
  <si>
    <t>Kogus tm</t>
  </si>
  <si>
    <t>Kogus t</t>
  </si>
  <si>
    <t>Ühik</t>
  </si>
  <si>
    <t>Energiasialdus</t>
  </si>
  <si>
    <t>MWh/t</t>
  </si>
  <si>
    <r>
      <t>MWh/1000 m</t>
    </r>
    <r>
      <rPr>
        <vertAlign val="superscript"/>
        <sz val="11"/>
        <color theme="1"/>
        <rFont val="Calibri"/>
        <family val="2"/>
        <scheme val="minor"/>
      </rPr>
      <t>3</t>
    </r>
  </si>
  <si>
    <r>
      <t xml:space="preserve">MWh/a </t>
    </r>
    <r>
      <rPr>
        <b/>
        <sz val="11"/>
        <rFont val="Calibri"/>
        <family val="2"/>
        <scheme val="minor"/>
      </rPr>
      <t>*</t>
    </r>
  </si>
  <si>
    <r>
      <t xml:space="preserve">MWh/a </t>
    </r>
    <r>
      <rPr>
        <b/>
        <sz val="11"/>
        <color theme="1"/>
        <rFont val="Calibri"/>
        <family val="2"/>
        <scheme val="minor"/>
      </rPr>
      <t>*</t>
    </r>
  </si>
  <si>
    <t>Teisendus:</t>
  </si>
  <si>
    <r>
      <t xml:space="preserve">Kogus </t>
    </r>
    <r>
      <rPr>
        <b/>
        <sz val="11"/>
        <color rgb="FF00B050"/>
        <rFont val="Calibri"/>
        <family val="2"/>
        <scheme val="minor"/>
      </rPr>
      <t>(sisestada siia!)</t>
    </r>
  </si>
  <si>
    <r>
      <t>Kütuse tesiendus m</t>
    </r>
    <r>
      <rPr>
        <b/>
        <u/>
        <vertAlign val="superscript"/>
        <sz val="11"/>
        <color theme="1"/>
        <rFont val="Calibri"/>
        <family val="2"/>
        <scheme val="minor"/>
      </rPr>
      <t>3</t>
    </r>
    <r>
      <rPr>
        <b/>
        <u/>
        <sz val="11"/>
        <color theme="1"/>
        <rFont val="Calibri"/>
        <family val="2"/>
        <scheme val="minor"/>
      </rPr>
      <t xml:space="preserve"> &gt; t</t>
    </r>
  </si>
  <si>
    <t>Puidu tesiendus tm &gt; t</t>
  </si>
  <si>
    <t>Puidu kategooria</t>
  </si>
  <si>
    <r>
      <t>Kogus m</t>
    </r>
    <r>
      <rPr>
        <b/>
        <vertAlign val="superscript"/>
        <sz val="11"/>
        <color theme="1"/>
        <rFont val="Calibri"/>
        <family val="2"/>
        <scheme val="minor"/>
      </rPr>
      <t>3</t>
    </r>
  </si>
  <si>
    <t>1000 m3</t>
  </si>
  <si>
    <t>NCV  average</t>
  </si>
  <si>
    <r>
      <t>Sod peat</t>
    </r>
    <r>
      <rPr>
        <vertAlign val="superscript"/>
        <sz val="10"/>
        <color theme="1"/>
        <rFont val="Times New Roman"/>
        <family val="1"/>
      </rPr>
      <t>1</t>
    </r>
  </si>
  <si>
    <t>Selgitus: Tegemist on abitabeliga! Siit saadud Koguse Energiaühikutes saab sisestada lehele Tulemused vastavasse lahtrisse</t>
  </si>
  <si>
    <t>Selgitus: Tegemist on abitabeliga! Siit saadud Koguse tonnides saab sisestada tabelisse "Kütuste ümberarvutus massi- või mahuühikult energiaühikule" tulpa "Kogus"</t>
  </si>
  <si>
    <t>Selgitus: All on toodud mitmed abitabelid täpsemate andmetega, vajadusel saab lähteandmed võtta siit.</t>
  </si>
  <si>
    <r>
      <rPr>
        <b/>
        <sz val="11"/>
        <color theme="1"/>
        <rFont val="Calibri"/>
        <family val="2"/>
        <scheme val="minor"/>
      </rPr>
      <t>* 277.778</t>
    </r>
    <r>
      <rPr>
        <sz val="11"/>
        <color theme="1"/>
        <rFont val="Calibri"/>
        <family val="2"/>
        <charset val="186"/>
        <scheme val="minor"/>
      </rPr>
      <t xml:space="preserve"> - teisendus TJ -&gt;MWh, 1 TJ = 277,778 MWh; / 1000 TJ &gt; GJ</t>
    </r>
  </si>
  <si>
    <t>Sisesta kohapeal toodetud elektri saamisviis rohevesiniku tootmiseks</t>
  </si>
  <si>
    <t>Vesinik</t>
  </si>
  <si>
    <t>MJ/kg</t>
  </si>
  <si>
    <t>kWh/kg</t>
  </si>
  <si>
    <t>MJ/kg=GJ/t</t>
  </si>
  <si>
    <t>kWh/kg=MWh/t</t>
  </si>
  <si>
    <t>Allikas: EESTI VESINIKURESSURSSIDE KASUTUSELEVÕTU ANALÜÜS, lõpparuanne, lk 36 https://cdn.sei.org/wp-content/uploads/2021/07/lopparuanne-vesinikuressursside-kasutamise-analuus.pdf või ka https://en.wikipedia.org/wiki/Energy_density, tabel „Energy released by chemical reactions (oxidation)“, rida 3 – gaasiline vesinik normaalrõhul.</t>
  </si>
  <si>
    <t>Vesiniku energiatihedus:</t>
  </si>
  <si>
    <t>* Kütuste, k.a. vesiniku  ümberarvutused energiaühikuteks saab teha lehel "Kütuste ümberarvutused".</t>
  </si>
  <si>
    <t>Biomassi korral võib CO2 emissiooni arvestada CO2 nulliks, kun tegu on biokütusega.</t>
  </si>
  <si>
    <t>Final fuel</t>
  </si>
  <si>
    <t>Code</t>
  </si>
  <si>
    <t>Fuel path</t>
  </si>
  <si>
    <t>CBM</t>
  </si>
  <si>
    <t>OWCG1</t>
  </si>
  <si>
    <t>OWCG21</t>
  </si>
  <si>
    <t>OWCG22</t>
  </si>
  <si>
    <t>OWCG3</t>
  </si>
  <si>
    <t>OWCG4</t>
  </si>
  <si>
    <t>OWCG5</t>
  </si>
  <si>
    <t>SNG</t>
  </si>
  <si>
    <t>WWCG2</t>
  </si>
  <si>
    <t>WFCG2</t>
  </si>
  <si>
    <t>RECG1</t>
  </si>
  <si>
    <t>LBM</t>
  </si>
  <si>
    <t>OWLG1</t>
  </si>
  <si>
    <t>OWLG21</t>
  </si>
  <si>
    <t>OWLG22</t>
  </si>
  <si>
    <t>OWLG3</t>
  </si>
  <si>
    <t>OWLG4</t>
  </si>
  <si>
    <t>OWLG5</t>
  </si>
  <si>
    <t>SLNG</t>
  </si>
  <si>
    <t>WWLG2</t>
  </si>
  <si>
    <t>WFLG2</t>
  </si>
  <si>
    <t>JEC WTW study Version 5</t>
  </si>
  <si>
    <t>WTT pathways</t>
  </si>
  <si>
    <t>Biomethane and Synthetic Methane</t>
  </si>
  <si>
    <t>Description</t>
  </si>
  <si>
    <t>Upgraded biogas from municipal organic waste as CBM. Closed digestate storage.</t>
  </si>
  <si>
    <t>OWCG21/2</t>
  </si>
  <si>
    <t>Upgraded biogas from wet manure as CBM
Digestate storage closed (21) or open (22)</t>
  </si>
  <si>
    <t>Upgraded biogas from sewage sludge as CBM, closed digestate storage</t>
  </si>
  <si>
    <t>Upgraded biogas from maize (wole plant) as CBM. Closed digestate storage.</t>
  </si>
  <si>
    <t>Upgraded biogas from double cropping (barley/maize) as CBM. Closed digestate storage.</t>
  </si>
  <si>
    <t>Synthetic methane (as CNG) via gasification of waste wood and methanation</t>
  </si>
  <si>
    <t>Synthetic methane (as CNG) via gasification of wood chips from short rotation forestry and methanation</t>
  </si>
  <si>
    <r>
      <t>Synthetic methane (as CNG) from renewable electricity and CO</t>
    </r>
    <r>
      <rPr>
        <vertAlign val="subscript"/>
        <sz val="10"/>
        <rFont val="Arial"/>
        <family val="2"/>
      </rPr>
      <t>2</t>
    </r>
    <r>
      <rPr>
        <sz val="10"/>
        <rFont val="Arial"/>
        <family val="2"/>
      </rPr>
      <t xml:space="preserve"> from flue gases</t>
    </r>
  </si>
  <si>
    <t>Upgraded biogas from municipal organic waste as LBM. Closed digestate storage.</t>
  </si>
  <si>
    <t>OWLG21/2</t>
  </si>
  <si>
    <t>Upgraded biogas from wet manure as LBM
Digestate storage closed (21) or open (22)</t>
  </si>
  <si>
    <t>Upgraded biogas from sewage sludge as liquefied biogas (LBM)
closed digestate storage</t>
  </si>
  <si>
    <t>Upgraded biogas from maize (whole plant) as LBM. Closed digestate storage.</t>
  </si>
  <si>
    <t>Upgraded biogas from double cropping (barley/maize) as LBM. Closed digestate storage.</t>
  </si>
  <si>
    <t>Synthetic methane (as LNG) via gasification of waste wood and methanation</t>
  </si>
  <si>
    <t>Synthetic methane (as LNG) via gasification of wood chips from short rotation forestry and methanation</t>
  </si>
  <si>
    <t>RELG1a/b</t>
  </si>
  <si>
    <r>
      <t>Synthetic methane (as LNG) from renewable electricity, CO</t>
    </r>
    <r>
      <rPr>
        <vertAlign val="subscript"/>
        <sz val="10"/>
        <rFont val="Arial"/>
        <family val="2"/>
      </rPr>
      <t>2</t>
    </r>
    <r>
      <rPr>
        <sz val="10"/>
        <rFont val="Arial"/>
        <family val="2"/>
      </rPr>
      <t xml:space="preserve"> from flue gases (a) or CO</t>
    </r>
    <r>
      <rPr>
        <vertAlign val="subscript"/>
        <sz val="10"/>
        <rFont val="Arial"/>
        <family val="2"/>
      </rPr>
      <t>2</t>
    </r>
    <r>
      <rPr>
        <sz val="10"/>
        <rFont val="Arial"/>
        <family val="2"/>
      </rPr>
      <t xml:space="preserve"> from biogas upgrading (b)</t>
    </r>
  </si>
  <si>
    <t>Sealt laadida alla Exceli tabelid (excel_files.zip), millest avada fail JEC_WTTv5_ Appendix 1_Pathways 2_CBM.xlsx</t>
  </si>
  <si>
    <t>BIOMETAAN sõiduki kütusena</t>
  </si>
  <si>
    <r>
      <t xml:space="preserve"> WTT KHG emissioon (g CO</t>
    </r>
    <r>
      <rPr>
        <i/>
        <vertAlign val="subscript"/>
        <sz val="10"/>
        <color indexed="8"/>
        <rFont val="Arial"/>
        <family val="2"/>
      </rPr>
      <t>2eq</t>
    </r>
    <r>
      <rPr>
        <i/>
        <sz val="10"/>
        <color indexed="8"/>
        <rFont val="Arial"/>
        <family val="2"/>
      </rPr>
      <t>/MJ</t>
    </r>
    <r>
      <rPr>
        <i/>
        <vertAlign val="subscript"/>
        <sz val="10"/>
        <color indexed="8"/>
        <rFont val="Arial"/>
        <family val="2"/>
      </rPr>
      <t>kütus</t>
    </r>
    <r>
      <rPr>
        <i/>
        <sz val="10"/>
        <color indexed="8"/>
        <rFont val="Arial"/>
        <family val="2"/>
      </rPr>
      <t>)</t>
    </r>
  </si>
  <si>
    <r>
      <t>CO</t>
    </r>
    <r>
      <rPr>
        <vertAlign val="subscript"/>
        <sz val="10"/>
        <rFont val="Arial"/>
        <family val="2"/>
      </rPr>
      <t>2</t>
    </r>
    <r>
      <rPr>
        <sz val="10"/>
        <rFont val="Arial"/>
        <family val="2"/>
      </rPr>
      <t xml:space="preserve"> heitmed [tCO</t>
    </r>
    <r>
      <rPr>
        <vertAlign val="subscript"/>
        <sz val="10"/>
        <rFont val="Arial"/>
        <family val="2"/>
      </rPr>
      <t>2</t>
    </r>
    <r>
      <rPr>
        <sz val="10"/>
        <rFont val="Arial"/>
        <family val="2"/>
      </rPr>
      <t>/a] (*)</t>
    </r>
  </si>
  <si>
    <r>
      <t>CH</t>
    </r>
    <r>
      <rPr>
        <vertAlign val="subscript"/>
        <sz val="10"/>
        <rFont val="Arial"/>
        <family val="2"/>
      </rPr>
      <t>4</t>
    </r>
    <r>
      <rPr>
        <sz val="10"/>
        <rFont val="Arial"/>
        <family val="2"/>
      </rPr>
      <t xml:space="preserve"> heitmed  [kg/TJ] (******)</t>
    </r>
  </si>
  <si>
    <r>
      <t>N</t>
    </r>
    <r>
      <rPr>
        <vertAlign val="subscript"/>
        <sz val="10"/>
        <rFont val="Arial"/>
        <family val="2"/>
      </rPr>
      <t>2</t>
    </r>
    <r>
      <rPr>
        <sz val="10"/>
        <rFont val="Arial"/>
        <family val="2"/>
      </rPr>
      <t>O heitmed [kg/TJ] (******)</t>
    </r>
  </si>
  <si>
    <r>
      <t>CO</t>
    </r>
    <r>
      <rPr>
        <vertAlign val="subscript"/>
        <sz val="10"/>
        <rFont val="Arial"/>
        <family val="2"/>
      </rPr>
      <t>2e</t>
    </r>
    <r>
      <rPr>
        <sz val="10"/>
        <rFont val="Arial"/>
        <family val="2"/>
      </rPr>
      <t xml:space="preserve"> heitmed [tCO</t>
    </r>
    <r>
      <rPr>
        <vertAlign val="subscript"/>
        <sz val="10"/>
        <rFont val="Arial"/>
        <family val="2"/>
      </rPr>
      <t>2e</t>
    </r>
    <r>
      <rPr>
        <sz val="10"/>
        <rFont val="Arial"/>
        <family val="2"/>
      </rPr>
      <t>/TJ] (*)</t>
    </r>
  </si>
  <si>
    <t>Eestis kasutusel vedelast lägast, avatud järelkääritusega süsteemis tehtud surugaas.</t>
  </si>
  <si>
    <t>Biometaan</t>
  </si>
  <si>
    <t>GREENHOUSE GAS EMISSIONS IN ESTONIA 1990-2020 NATIONAL INVENTORY REPORT</t>
  </si>
  <si>
    <t>https://unfccc.int/sites/default/files/resource/est-2022-nir-12apr22_0.zip</t>
  </si>
  <si>
    <t>Tabelid: 3.9 lk 79-80</t>
  </si>
  <si>
    <t>(*) National Inventory Submissions 2022 | UNFCCC</t>
  </si>
  <si>
    <t>(**) National Inventory Submissions 2022 | UNFCCC</t>
  </si>
  <si>
    <t>Viide: https://unfccc.int/ghg-inventories-annex-i-parties/2022</t>
  </si>
  <si>
    <t>Vastavatest andmetest valida Estonia, CRF ja tabelid alla laadida. Võtta viimase, 2020.aasta sõidukite andmed, tabelid Table1A(a)s3.</t>
  </si>
  <si>
    <t>Vastavast tabelist tehtud koopia, mis asub lehel Sõidukite heited 2020</t>
  </si>
  <si>
    <t>Vastavast tabelist on tehtud koopia ja välja on toodud antud arvutusmudeli lähteandmetena kasutatud sõidukitüüpide summaarsed läbisõidud, vaata tööleht Sõidukite läbisõidud 2020</t>
  </si>
  <si>
    <t>(***) Rongide korral puuduvad statistilised avalikud läbisõidu andmed Eesti kohta, seetõttu on läbisõit arvutatud eesti rongipargi aastase kütusekulu (2020) ja kirjandusest leitud kütusekulu väärtuse kaudu km kohta.</t>
  </si>
  <si>
    <t>Raudtee kütuse tarbimine</t>
  </si>
  <si>
    <t>Kütuse kogus, TJ</t>
  </si>
  <si>
    <t>Kütteväärtus MJ/kg</t>
  </si>
  <si>
    <t>https://andmed.stat.ee/et/stat/majandus__energeetika__energia-tarbimine-ja-tootmine__aastastatistika/KE0240/table/tableViewLayout2</t>
  </si>
  <si>
    <t>https://www.emta.ee/ariklient/maksud-ja-tasumine/aktsiisid/vedelkutuse-kaitlemine-ja-andmekogud/sadhes-ja-complex-andmete-liikumine-kksi#kutuse-keskmine-muugihind</t>
  </si>
  <si>
    <t>Kütuse keskmine hind 2020</t>
  </si>
  <si>
    <t>(*****) Busside ja veokite osakaalud Eesti sõidukipargis on võetud Keskkonnaagentuuri sõidukite aastaseid läbisõte puudutavatest andmetest, andmed vahendanud Eesti Keskkonnauuringute Keskus. Kasutatud arvutusmudel on COPERT 5. Andmed pärinevad 2020. aastast.</t>
  </si>
  <si>
    <t>(******) Viide:GREENHOUSE GAS EMISSIONS IN ESTONIA 1990-2020 NATIONAL INVENTORY REPORT (https://unfccc.int/sites/default/files/resource/est-2022-nir-12apr22_0.zip)</t>
  </si>
  <si>
    <t>Tabel: 3.28 lk 102-103</t>
  </si>
  <si>
    <r>
      <rPr>
        <b/>
        <sz val="11"/>
        <color theme="1"/>
        <rFont val="Calibri"/>
        <family val="2"/>
        <scheme val="minor"/>
      </rPr>
      <t>Andmed</t>
    </r>
    <r>
      <rPr>
        <sz val="11"/>
        <color theme="1"/>
        <rFont val="Calibri"/>
        <family val="2"/>
        <charset val="186"/>
        <scheme val="minor"/>
      </rPr>
      <t xml:space="preserve"> lahtrites, mis puudutavad erinevatest taastumatutest lähteainetsest elektri tootmist Eestis, on Eesti Keskkonnauuringute Keskuse poolt antud 2020. aasta EL heitkogustega kauplemissüseemi (European Union Emission Trading Scheme) aruandluse andmed. Andmed ei ole avalikult viidatavad.</t>
    </r>
  </si>
  <si>
    <r>
      <rPr>
        <b/>
        <sz val="11"/>
        <color theme="1"/>
        <rFont val="Calibri"/>
        <family val="2"/>
        <scheme val="minor"/>
      </rPr>
      <t xml:space="preserve">Kasvuhoonegaaside eriheited </t>
    </r>
    <r>
      <rPr>
        <sz val="11"/>
        <color theme="1"/>
        <rFont val="Calibri"/>
        <family val="2"/>
        <scheme val="minor"/>
      </rPr>
      <t>(sinised numbrid) on saadud dokumenidst Greenhouse gas emissions in Estonia 1990-2020. National inventory report.” Lk. 79-80 “Table 3.9. Carbon emission factors, oxidation factors and net calorific values by fuels for 2020” ja lk. 81-82 “CH4 and N2O emission factors by fuel, kg/TJ”. Süsiniku eriheide on tC/TJ CO2 arvutamiseks ja CH4 ning N2O puhul on kg/TJ. Samad andmed ka Estonia 1990-2020. National inventory report.”</t>
    </r>
  </si>
  <si>
    <t>Vastavatest andmetest valida Estonia, CRF ja tabelid alla laadida. Võtta viimase 2022, 2020 aasta sõidukite andmed, tabelid Table1A(a)s3, veerg G, read28-.</t>
  </si>
  <si>
    <t>Inventory 2020</t>
  </si>
  <si>
    <t>Submission 2022 v1</t>
  </si>
  <si>
    <t>Busside ja veokite osakaalud Eestis 2020. aastal (*****)</t>
  </si>
  <si>
    <t>Euro 6 d</t>
  </si>
  <si>
    <t>2020</t>
  </si>
  <si>
    <t>Diisel sõiduautode asendus täielikult rohevesinikku kasutavate sõidukitega</t>
  </si>
  <si>
    <t>Bensiini sõiduautode asendus täielikult rohevesinikku kasutavate sõidukitega</t>
  </si>
  <si>
    <t>Diisel kaubikute asendus täielikult rohevesinikku kasutavate sõidukitega</t>
  </si>
  <si>
    <t>Bensiini kaubikute asendus täielikult rohevesinikku kasutavate sõidukitega</t>
  </si>
  <si>
    <r>
      <t>Eesti riigi andmed sõidukite läbisõitude ja tekitatavate CO</t>
    </r>
    <r>
      <rPr>
        <vertAlign val="subscript"/>
        <sz val="11"/>
        <rFont val="Calibri"/>
        <family val="2"/>
        <scheme val="minor"/>
      </rPr>
      <t>2e</t>
    </r>
    <r>
      <rPr>
        <sz val="11"/>
        <rFont val="Calibri"/>
        <family val="2"/>
        <charset val="186"/>
        <scheme val="minor"/>
      </rPr>
      <t xml:space="preserve"> heitmete kohta aastast 2020 vastavalt sõiduki tüübile.</t>
    </r>
  </si>
  <si>
    <t>Andmed tabelist lehel Sõidukite heited 2020 (*)</t>
  </si>
  <si>
    <t>Andmed pärinevad keskkonnaagentuurist: 2020. aasta põhjal</t>
  </si>
  <si>
    <t>Sõiduautod diisel</t>
  </si>
  <si>
    <t>Sõiduautod bensiin</t>
  </si>
  <si>
    <t>Kaubikud diisel</t>
  </si>
  <si>
    <t>Kaubikud bensiin</t>
  </si>
  <si>
    <t>Rohevesiniku tankimine hoiustamiseks ja hoiustamine enne tarnet</t>
  </si>
  <si>
    <t>GPME/DE: Metanool</t>
  </si>
  <si>
    <t>GPCG1b: Maagaas</t>
  </si>
  <si>
    <t>Rohevesinku kasutamine metanooli tootmiseks</t>
  </si>
  <si>
    <t>Toodetav metanooli kogus</t>
  </si>
  <si>
    <t>tonni</t>
  </si>
  <si>
    <t>Metanooli tootmine</t>
  </si>
  <si>
    <t>gCO2e/MJ</t>
  </si>
  <si>
    <t>Väärtus</t>
  </si>
  <si>
    <t>Metanooli kütteväärtus</t>
  </si>
  <si>
    <t>Nimetus</t>
  </si>
  <si>
    <t>Toodetav metanooli kogus energiaühikus</t>
  </si>
  <si>
    <r>
      <t>Selgitus: Siin saadud CO</t>
    </r>
    <r>
      <rPr>
        <vertAlign val="subscript"/>
        <sz val="11"/>
        <color rgb="FF00B050"/>
        <rFont val="Calibri"/>
        <family val="2"/>
        <scheme val="minor"/>
      </rPr>
      <t>2e</t>
    </r>
    <r>
      <rPr>
        <sz val="11"/>
        <color rgb="FF00B050"/>
        <rFont val="Calibri"/>
        <family val="2"/>
        <charset val="186"/>
        <scheme val="minor"/>
      </rPr>
      <t xml:space="preserve"> arvutamiseks on arvestatud alternatiivi, mille korral sama kogus vesinikku toodetaks maagaasist, rohevesiniku tootmisel tekkinud CO</t>
    </r>
    <r>
      <rPr>
        <vertAlign val="subscript"/>
        <sz val="11"/>
        <color rgb="FF00B050"/>
        <rFont val="Calibri"/>
        <family val="2"/>
        <scheme val="minor"/>
      </rPr>
      <t>2e</t>
    </r>
    <r>
      <rPr>
        <sz val="11"/>
        <color rgb="FF00B050"/>
        <rFont val="Calibri"/>
        <family val="2"/>
        <charset val="186"/>
        <scheme val="minor"/>
      </rPr>
      <t xml:space="preserve"> on sellest maha arvestatud.</t>
    </r>
  </si>
  <si>
    <t>Ammoniaagi tootmine</t>
  </si>
  <si>
    <t>tCO2e/t</t>
  </si>
  <si>
    <t>Toodetav ammoniaagi kogus</t>
  </si>
  <si>
    <r>
      <t>Selgitus: Siin saadud CO</t>
    </r>
    <r>
      <rPr>
        <vertAlign val="subscript"/>
        <sz val="11"/>
        <color rgb="FF00B050"/>
        <rFont val="Calibri"/>
        <family val="2"/>
        <scheme val="minor"/>
      </rPr>
      <t>2e</t>
    </r>
    <r>
      <rPr>
        <sz val="11"/>
        <color rgb="FF00B050"/>
        <rFont val="Calibri"/>
        <family val="2"/>
        <charset val="186"/>
        <scheme val="minor"/>
      </rPr>
      <t xml:space="preserve"> arvutamiseks on arvestatud alternatiivi, mille korral sama kogus ammoniaaki toodetaks maagaasist, ammoniaagi tootmisel tekkinud CO</t>
    </r>
    <r>
      <rPr>
        <vertAlign val="subscript"/>
        <sz val="11"/>
        <color rgb="FF00B050"/>
        <rFont val="Calibri"/>
        <family val="2"/>
        <scheme val="minor"/>
      </rPr>
      <t>2e</t>
    </r>
    <r>
      <rPr>
        <sz val="11"/>
        <color rgb="FF00B050"/>
        <rFont val="Calibri"/>
        <family val="2"/>
        <charset val="186"/>
        <scheme val="minor"/>
      </rPr>
      <t xml:space="preserve"> on sellest maha arvestatud.</t>
    </r>
  </si>
  <si>
    <t>National Inventory Submissions 2022 | UNFCCC</t>
  </si>
  <si>
    <t>Allikas:https://ec.europa.eu/info/funding-tenders/opportunities/portal/screen/opportunities/topic-details/innovfund-lsc-2021, ghg-calculator-example-eii-methanol_innovfund-lsc-2021_en</t>
  </si>
  <si>
    <t>Allikas:https://ec.europa.eu/info/funding-tenders/opportunities/portal/screen/opportunities/topic-details/innovfund-lsc-2021, ghg-calculator-eii_innovfund-lsc-2021_en</t>
  </si>
  <si>
    <t>GRSD1: Sünteetiline diisel</t>
  </si>
  <si>
    <t>Rohevesiniku saamine k.a. vesiniku sobiva puhtusastme saavutamine edasiseks kasutamiseks keemiatööstuse lähteainena</t>
  </si>
  <si>
    <t>Metanooli lähteaine 1</t>
  </si>
  <si>
    <t>Metanooli lähteaine 2</t>
  </si>
  <si>
    <t>Kasutatud lähteaine 1 kogus</t>
  </si>
  <si>
    <t>Kasutatud lähteaine 2 kogus</t>
  </si>
  <si>
    <t>Metanooli lähteaine 3</t>
  </si>
  <si>
    <t>Kasutatud lähteaine 3 kogus</t>
  </si>
  <si>
    <t>Lähteaine 2 saamisviis</t>
  </si>
  <si>
    <t>Lähteaine 3 saamisviis</t>
  </si>
  <si>
    <t>Sisesta tarbitud taastuvelektri hulk</t>
  </si>
  <si>
    <t>Sisesta võrgust ostetud päritolusertifikaadiga elektri osakaal tarbitud elektris</t>
  </si>
  <si>
    <t>Sisesta metanooli tootmisel kuluv lisasoojuse hulk</t>
  </si>
  <si>
    <t>Ammoniaagi lähteaine 1</t>
  </si>
  <si>
    <t>Ammoniaagi lähteaine 2</t>
  </si>
  <si>
    <r>
      <t>GJ/1000 m</t>
    </r>
    <r>
      <rPr>
        <vertAlign val="superscript"/>
        <sz val="11"/>
        <rFont val="Calibri"/>
        <family val="2"/>
        <scheme val="minor"/>
      </rPr>
      <t>3</t>
    </r>
  </si>
  <si>
    <r>
      <t>MWh/1000 m</t>
    </r>
    <r>
      <rPr>
        <vertAlign val="superscript"/>
        <sz val="11"/>
        <rFont val="Calibri"/>
        <family val="2"/>
        <scheme val="minor"/>
      </rPr>
      <t>3</t>
    </r>
  </si>
  <si>
    <t>Rohevesiniku kasutamine muude keemiatööstuse lähteainete tootmiseks</t>
  </si>
  <si>
    <t>Sisesta ammoniaagi tootmisel kuluv lisasoojuse hulk</t>
  </si>
  <si>
    <t>Sisesta ammoniaagi tootmisel kasutatava soojuse saamiseks kasutatud kütuse liik</t>
  </si>
  <si>
    <t>Protsessi kirjeldav joonis on toodud töölehel "Process diagramm", sealt valida konkreetse metoodikaga sobivad osised - joonist on soovitatav vastavalt korrigeerida ja lisada protsessi kirjeldusse taotlemisel.</t>
  </si>
  <si>
    <t>Muu keemiline aine</t>
  </si>
  <si>
    <t>Selgitus: All on toodud mitmed abitabelid võimalike andmete saamiseks nii eri kütuste tiheduse, energiasisalduse ja ka ümberarvutusfaktorite kohta. Oluline on, et heite ja kuluva energia arvutused lehel Tulemused vastaksid projekti tegelikule eeldatavale prognoosile.</t>
  </si>
  <si>
    <t>DME - dimetüüleeter</t>
  </si>
  <si>
    <t>OME - oksümetüleeneeter</t>
  </si>
  <si>
    <t>Sisesta aastas tangitav ja hoiustatav rohevesiniku kogus enne tarnet</t>
  </si>
  <si>
    <t>Elekter</t>
  </si>
  <si>
    <t>Keemiatööstuse lähteaine</t>
  </si>
  <si>
    <t>Metanooli lähteaine 4</t>
  </si>
  <si>
    <t>Kasutatud lähteaine 4 kogus</t>
  </si>
  <si>
    <t>Alumiinimum</t>
  </si>
  <si>
    <t>tCO2e / t</t>
  </si>
  <si>
    <t>HNO3</t>
  </si>
  <si>
    <t>CaO</t>
  </si>
  <si>
    <t>HCl</t>
  </si>
  <si>
    <t>Na2CO3</t>
  </si>
  <si>
    <t>NaCl</t>
  </si>
  <si>
    <t>NaOH</t>
  </si>
  <si>
    <t>Adipiinhape</t>
  </si>
  <si>
    <t>Ammonia</t>
  </si>
  <si>
    <t>H2SO4</t>
  </si>
  <si>
    <t>H3PO4</t>
  </si>
  <si>
    <t>Na(CH3O)</t>
  </si>
  <si>
    <t>KOH</t>
  </si>
  <si>
    <t>N2</t>
  </si>
  <si>
    <t>(NH4)2SO4</t>
  </si>
  <si>
    <t>KH2PO4</t>
  </si>
  <si>
    <t>MgSO4</t>
  </si>
  <si>
    <t>CaCl2</t>
  </si>
  <si>
    <t>SO2</t>
  </si>
  <si>
    <t>https://ec.europa.eu/info/funding-tenders/opportunities/portal/screen/opportunities/topic-details/innovfund-lsc-2021, ghg-calculator-example-eii-methanol_innovfund-lsc-2021_en</t>
  </si>
  <si>
    <t>Sisesta metanooli tootmisel kasutatava lisasoojuse saamiseks kasutatud kütuse liik</t>
  </si>
  <si>
    <r>
      <rPr>
        <b/>
        <sz val="11"/>
        <color theme="1"/>
        <rFont val="Calibri"/>
        <family val="2"/>
        <scheme val="minor"/>
      </rPr>
      <t>Table 3.9</t>
    </r>
    <r>
      <rPr>
        <sz val="11"/>
        <color theme="1"/>
        <rFont val="Calibri"/>
        <family val="2"/>
        <charset val="186"/>
        <scheme val="minor"/>
      </rPr>
      <t>. Carbon emission factors (CEF), oxidation factors and net calorific values (NCV) by fuels for 2020</t>
    </r>
  </si>
  <si>
    <t>Tabelid: 3.10 lk 81-82</t>
  </si>
  <si>
    <r>
      <rPr>
        <b/>
        <sz val="11"/>
        <color theme="1"/>
        <rFont val="Calibri"/>
        <family val="2"/>
        <scheme val="minor"/>
      </rPr>
      <t>Table 3.10</t>
    </r>
    <r>
      <rPr>
        <sz val="11"/>
        <color theme="1"/>
        <rFont val="Calibri"/>
        <family val="2"/>
        <charset val="186"/>
        <scheme val="minor"/>
      </rPr>
      <t>. CH4 and N2O emission factors by fuel, kg/TJ</t>
    </r>
  </si>
  <si>
    <t>Energy industries</t>
  </si>
  <si>
    <t>Source</t>
  </si>
  <si>
    <t>D, IPCC 2006/CS</t>
  </si>
  <si>
    <t>Ammoniaagi lähteaine 3</t>
  </si>
  <si>
    <t>Ammoniaagi lähteaine 4</t>
  </si>
  <si>
    <t>Lähteaine 1</t>
  </si>
  <si>
    <t>Lähteaine 2</t>
  </si>
  <si>
    <t>Lähteaine 3</t>
  </si>
  <si>
    <t>Lähteaine 4</t>
  </si>
  <si>
    <t>Lähteaine 4 kogus</t>
  </si>
  <si>
    <t>OME kütteväärtus</t>
  </si>
  <si>
    <t>Allikas: https://f3centre.se/en/fact-sheets/dimethyl-ether-dme/#:~:text=The%20energy%20content%20of%20DME,range%20as%20for%20diesel%20vehicles.</t>
  </si>
  <si>
    <t>DME kütteväärtus</t>
  </si>
  <si>
    <t>Allikas: https://www.google.com/url?sa=t&amp;rct=j&amp;q=&amp;esrc=s&amp;source=web&amp;cd=&amp;ved=2ahUKEwiXzNvErI34AhVwkIsKHVrKAOYQFnoECAoQAw&amp;url=https%3A%2F%2Fpublikationen.bibliothek.kit.edu%2F1000097941%2F38672355%23%3A~%3Atext%3DThe%2520heating%2520value%2520of%2520OME%2C%252Fm%25C2%25B3%253B%2520diesel%253A%2520approx.&amp;usg=AOvVaw2SsjSwbNpJDhP4BVP78d1_</t>
  </si>
  <si>
    <t>Toodetav DME või OME kogus</t>
  </si>
  <si>
    <t>Lähteaine 5</t>
  </si>
  <si>
    <t>Lähteaine 5 kogus</t>
  </si>
  <si>
    <t>Lähteaine 6</t>
  </si>
  <si>
    <t>Lähteaine 6 kogus</t>
  </si>
  <si>
    <t>Toodetava kemikaali nimetus</t>
  </si>
  <si>
    <t>Toodetava kemikaali kogus</t>
  </si>
  <si>
    <t>Toodetava kemikaali heitkogus toodanguühiku kohta</t>
  </si>
  <si>
    <t>Muu kütuse põletamine</t>
  </si>
  <si>
    <t>Toodetav kemikaal</t>
  </si>
  <si>
    <t>Sisesta toodetava kemikaali tootmisel kasutatava lisasoojuse saamiseks kasutatud kütuse liik</t>
  </si>
  <si>
    <t>Sisesta toodetava kemikaali  tootmisel kuluv lisasoojuse hulk</t>
  </si>
  <si>
    <t>Taastumatu kütuse põletamine</t>
  </si>
  <si>
    <t>Jäätmete põletamine</t>
  </si>
  <si>
    <t>Jäätmepuidu põletamine</t>
  </si>
  <si>
    <t>biomass</t>
  </si>
  <si>
    <t>Sisesta elektri tootmiseks kasutatud biomassi või biogaasi kogus</t>
  </si>
  <si>
    <t>biogaas</t>
  </si>
  <si>
    <t>biometaan</t>
  </si>
  <si>
    <r>
      <t>MWh/t (CO</t>
    </r>
    <r>
      <rPr>
        <vertAlign val="subscript"/>
        <sz val="11"/>
        <color theme="1"/>
        <rFont val="Calibri"/>
        <family val="2"/>
        <scheme val="minor"/>
      </rPr>
      <t>2</t>
    </r>
    <r>
      <rPr>
        <sz val="11"/>
        <color theme="1"/>
        <rFont val="Calibri"/>
        <family val="2"/>
        <charset val="186"/>
        <scheme val="minor"/>
      </rPr>
      <t>)</t>
    </r>
  </si>
  <si>
    <r>
      <t>Selgitus: Siin saadud CO</t>
    </r>
    <r>
      <rPr>
        <vertAlign val="subscript"/>
        <sz val="11"/>
        <color rgb="FF00B050"/>
        <rFont val="Calibri"/>
        <family val="2"/>
        <scheme val="minor"/>
      </rPr>
      <t>2e</t>
    </r>
    <r>
      <rPr>
        <sz val="11"/>
        <color rgb="FF00B050"/>
        <rFont val="Calibri"/>
        <family val="2"/>
        <charset val="186"/>
        <scheme val="minor"/>
      </rPr>
      <t xml:space="preserve"> arvutamiseks on arvestatud alternatiivi, mille korral sama kogus metanooli toodetaks maagaasist, käesolevas tootmisprotsessis metanooli tootmisel tekkinud CO</t>
    </r>
    <r>
      <rPr>
        <vertAlign val="subscript"/>
        <sz val="11"/>
        <color rgb="FF00B050"/>
        <rFont val="Calibri"/>
        <family val="2"/>
        <scheme val="minor"/>
      </rPr>
      <t>2e</t>
    </r>
    <r>
      <rPr>
        <sz val="11"/>
        <color rgb="FF00B050"/>
        <rFont val="Calibri"/>
        <family val="2"/>
        <charset val="186"/>
        <scheme val="minor"/>
      </rPr>
      <t xml:space="preserve"> on sellest maha arvestatud.</t>
    </r>
  </si>
  <si>
    <t>Täpsustus! Sellel lehel märkida ära vaid keemiatööstuse lähteaineks toodetav vesinik, transpordiks toodetav vesinik märkida lehel "Tulemused tansport". Kui protsesse pole võimalik eristada, siis topeltarvestuse vältimiseks sisestada andmed vaid ühel lehel ja lisada vastav selgitus koos protsesside täpsema kirjeldusega ka taotluse teksti.</t>
  </si>
  <si>
    <t>Sisesta kohapeal toodetud elektri saamisviis</t>
  </si>
  <si>
    <t>Kui lähteaine 3 tekib põletamisel, sisestada selle kogumiseks kuluv elektri kogus</t>
  </si>
  <si>
    <r>
      <t xml:space="preserve">Selgitus: </t>
    </r>
    <r>
      <rPr>
        <b/>
        <u/>
        <sz val="11"/>
        <color rgb="FF00B050"/>
        <rFont val="Calibri"/>
        <family val="2"/>
        <scheme val="minor"/>
      </rPr>
      <t>Kohapeal toodetud elektriks</t>
    </r>
    <r>
      <rPr>
        <b/>
        <sz val="11"/>
        <color rgb="FF00B050"/>
        <rFont val="Calibri"/>
        <family val="2"/>
        <scheme val="minor"/>
      </rPr>
      <t xml:space="preserve"> loetakse vahetu tootmisliiniga täielikult taastuvenergiat kasutavat elektritarbimist.</t>
    </r>
  </si>
  <si>
    <r>
      <t>Selgitus: CO</t>
    </r>
    <r>
      <rPr>
        <vertAlign val="subscript"/>
        <sz val="11"/>
        <color rgb="FF00B050"/>
        <rFont val="Calibri"/>
        <family val="2"/>
        <scheme val="minor"/>
      </rPr>
      <t>2e</t>
    </r>
    <r>
      <rPr>
        <sz val="11"/>
        <color rgb="FF00B050"/>
        <rFont val="Calibri"/>
        <family val="2"/>
        <charset val="186"/>
        <scheme val="minor"/>
      </rPr>
      <t xml:space="preserve"> heite arvutuseks on võrdlusstsenaariumina arvestatud sama koguse maagaasi kasutamist elektri tootmiseks biogaasi asemel ja võrguelektri korral 100% taastumatu elektri CO</t>
    </r>
    <r>
      <rPr>
        <vertAlign val="subscript"/>
        <sz val="11"/>
        <color rgb="FF00B050"/>
        <rFont val="Calibri"/>
        <family val="2"/>
        <scheme val="minor"/>
      </rPr>
      <t>2e</t>
    </r>
    <r>
      <rPr>
        <sz val="11"/>
        <color rgb="FF00B050"/>
        <rFont val="Calibri"/>
        <family val="2"/>
        <charset val="186"/>
        <scheme val="minor"/>
      </rPr>
      <t xml:space="preserve"> heidet seisuga 2020, millest rohevesinku tankimisel ja säilitamisel tekkiv heide on juba maha arvestatud.</t>
    </r>
  </si>
  <si>
    <t>Sisesta aastas tangitav ja hoiustatav rohevesiniku kogus peale tarnet</t>
  </si>
  <si>
    <t>Kui lähteaine 3 tekib põletamisel, sisesta selle kogumiseks kuluv elektri kogus</t>
  </si>
  <si>
    <r>
      <t>Arvutatud on käesoleva tootmisprotsessi käigus tekkiv CO</t>
    </r>
    <r>
      <rPr>
        <vertAlign val="subscript"/>
        <sz val="11"/>
        <color rgb="FF00B050"/>
        <rFont val="Calibri"/>
        <family val="2"/>
        <scheme val="minor"/>
      </rPr>
      <t>2e</t>
    </r>
    <r>
      <rPr>
        <sz val="11"/>
        <color rgb="FF00B050"/>
        <rFont val="Calibri"/>
        <family val="2"/>
        <scheme val="minor"/>
      </rPr>
      <t xml:space="preserve"> heide.</t>
    </r>
  </si>
  <si>
    <t>Rohevesiniku kasutamine ammoniaagi tootmiseks</t>
  </si>
  <si>
    <t>Toodetava keemia toote kogus energiaühikus</t>
  </si>
  <si>
    <t>Täita juhul, kui projektis toodetakse muud keemilist lähteainet rohevesinikust. Protsessist loetakse abikõlblikuks vaid etapp, kus vesinik on otsene reaktsiooni lähteaine; vesinikust sünteesitud saaduste edasist kasutust sünteesiks antud meetmest ei toetata. Saadud kemikaalide korral peab taotluse tekstis ja sõlmitud eellepetega olema tõendatud kasutus keemiatööstuse lähteainena.</t>
  </si>
  <si>
    <r>
      <t>Kui biometanooli tootmiseks kasutatakse CO</t>
    </r>
    <r>
      <rPr>
        <i/>
        <vertAlign val="subscript"/>
        <sz val="11"/>
        <rFont val="Calibri"/>
        <family val="2"/>
        <scheme val="minor"/>
      </rPr>
      <t>2</t>
    </r>
    <r>
      <rPr>
        <i/>
        <sz val="11"/>
        <rFont val="Calibri"/>
        <family val="2"/>
        <scheme val="minor"/>
      </rPr>
      <t>-te, sisestada siia selle lähteaine. "Tööstulik roheline CO</t>
    </r>
    <r>
      <rPr>
        <i/>
        <vertAlign val="subscript"/>
        <sz val="11"/>
        <rFont val="Calibri"/>
        <family val="2"/>
        <scheme val="minor"/>
      </rPr>
      <t>2</t>
    </r>
    <r>
      <rPr>
        <i/>
        <sz val="11"/>
        <rFont val="Calibri"/>
        <family val="2"/>
        <scheme val="minor"/>
      </rPr>
      <t>" peab olema tõendatult toodetud bioloogilist päritolu lähteainetest. "Kütuse põletamisest tekkiv CO</t>
    </r>
    <r>
      <rPr>
        <i/>
        <vertAlign val="subscript"/>
        <sz val="11"/>
        <rFont val="Calibri"/>
        <family val="2"/>
        <scheme val="minor"/>
      </rPr>
      <t>2</t>
    </r>
    <r>
      <rPr>
        <i/>
        <sz val="11"/>
        <rFont val="Calibri"/>
        <family val="2"/>
        <scheme val="minor"/>
      </rPr>
      <t>" peab olema tõendatult kütuse põletamisel tekkivatest gaasidest seotud CO</t>
    </r>
    <r>
      <rPr>
        <i/>
        <vertAlign val="subscript"/>
        <sz val="11"/>
        <rFont val="Calibri"/>
        <family val="2"/>
        <scheme val="minor"/>
      </rPr>
      <t>2</t>
    </r>
    <r>
      <rPr>
        <i/>
        <sz val="11"/>
        <rFont val="Calibri"/>
        <family val="2"/>
        <scheme val="minor"/>
      </rPr>
      <t>.  NB! Kui kütus, mille põletamisel tekkinud CO</t>
    </r>
    <r>
      <rPr>
        <i/>
        <vertAlign val="subscript"/>
        <sz val="11"/>
        <rFont val="Calibri"/>
        <family val="2"/>
        <scheme val="minor"/>
      </rPr>
      <t>2</t>
    </r>
    <r>
      <rPr>
        <i/>
        <sz val="11"/>
        <rFont val="Calibri"/>
        <family val="2"/>
        <scheme val="minor"/>
      </rPr>
      <t xml:space="preserve"> seotakse, on taastumatut päritolu, siis ei tohi olla tegu ainult CO</t>
    </r>
    <r>
      <rPr>
        <i/>
        <vertAlign val="subscript"/>
        <sz val="11"/>
        <rFont val="Calibri"/>
        <family val="2"/>
        <scheme val="minor"/>
      </rPr>
      <t>2</t>
    </r>
    <r>
      <rPr>
        <i/>
        <sz val="11"/>
        <rFont val="Calibri"/>
        <family val="2"/>
        <scheme val="minor"/>
      </rPr>
      <t xml:space="preserve"> saamise eesmärgil põletamisega, vaid CO</t>
    </r>
    <r>
      <rPr>
        <i/>
        <vertAlign val="subscript"/>
        <sz val="11"/>
        <rFont val="Calibri"/>
        <family val="2"/>
        <scheme val="minor"/>
      </rPr>
      <t>2</t>
    </r>
    <r>
      <rPr>
        <i/>
        <sz val="11"/>
        <rFont val="Calibri"/>
        <family val="2"/>
        <scheme val="minor"/>
      </rPr>
      <t xml:space="preserve"> sidumine peab olema muu põhitegevuse (nt sooja tootmise) kõrval toimuv täiendav protsess. Vastavad selgitused lisada ka protsessi kirjeldustesse taotluses.</t>
    </r>
  </si>
  <si>
    <r>
      <t>Selgitus: Eeldusel, et sõidukid kasutavad 100% rohevesinikku, on nende sõidust tekkiv CO</t>
    </r>
    <r>
      <rPr>
        <vertAlign val="subscript"/>
        <sz val="11"/>
        <color rgb="FF00B050"/>
        <rFont val="Calibri"/>
        <family val="2"/>
        <scheme val="minor"/>
      </rPr>
      <t>2e</t>
    </r>
    <r>
      <rPr>
        <sz val="11"/>
        <color rgb="FF00B050"/>
        <rFont val="Calibri"/>
        <family val="2"/>
        <scheme val="minor"/>
      </rPr>
      <t xml:space="preserve"> heide 0.</t>
    </r>
  </si>
  <si>
    <t>Selgitus: Võrdlusena on kasutatud olukorda, kus samad veosed oleks võrdses osakaalus tehtud diiselautoga.</t>
  </si>
  <si>
    <t>Selgitus: Võrdlusena on kasutatud olukorda, kus samad veosed oleks võrdses osakaalus tehtud bensiiniautoga.</t>
  </si>
  <si>
    <t>Selgitus: Võrdlusena on kasutatud olukorda, kus samad veosed oleks võrdses osakaalus tehtud diiselkaubikuga.</t>
  </si>
  <si>
    <t>Selgitus: Võrdlusena on kasutatud olukorda, kus samad veosed oleks võrdses osakaalus tehtud bensiinikaubikuga.</t>
  </si>
  <si>
    <r>
      <t>CO</t>
    </r>
    <r>
      <rPr>
        <vertAlign val="subscript"/>
        <sz val="10"/>
        <rFont val="Arial"/>
        <family val="2"/>
      </rPr>
      <t>2e</t>
    </r>
    <r>
      <rPr>
        <sz val="10"/>
        <rFont val="Arial"/>
        <family val="2"/>
      </rPr>
      <t xml:space="preserve"> heited aastas [tCO</t>
    </r>
    <r>
      <rPr>
        <vertAlign val="subscript"/>
        <sz val="10"/>
        <rFont val="Arial"/>
        <family val="2"/>
      </rPr>
      <t>2e</t>
    </r>
    <r>
      <rPr>
        <sz val="10"/>
        <rFont val="Arial"/>
        <family val="2"/>
      </rPr>
      <t>/a] (*)</t>
    </r>
  </si>
  <si>
    <r>
      <t>CO</t>
    </r>
    <r>
      <rPr>
        <vertAlign val="subscript"/>
        <sz val="10"/>
        <rFont val="Arial"/>
        <family val="2"/>
      </rPr>
      <t>2</t>
    </r>
    <r>
      <rPr>
        <sz val="10"/>
        <rFont val="Arial"/>
        <family val="2"/>
      </rPr>
      <t xml:space="preserve"> heited aastas [tCO</t>
    </r>
    <r>
      <rPr>
        <vertAlign val="subscript"/>
        <sz val="10"/>
        <rFont val="Arial"/>
        <family val="2"/>
      </rPr>
      <t>2</t>
    </r>
    <r>
      <rPr>
        <sz val="10"/>
        <rFont val="Arial"/>
        <family val="2"/>
      </rPr>
      <t>/a] (*)</t>
    </r>
  </si>
  <si>
    <r>
      <t>CH</t>
    </r>
    <r>
      <rPr>
        <vertAlign val="subscript"/>
        <sz val="10"/>
        <rFont val="Arial"/>
        <family val="2"/>
      </rPr>
      <t>4</t>
    </r>
    <r>
      <rPr>
        <sz val="10"/>
        <rFont val="Arial"/>
        <family val="2"/>
      </rPr>
      <t xml:space="preserve"> heited aastas [t/a] (*)</t>
    </r>
  </si>
  <si>
    <r>
      <t>N</t>
    </r>
    <r>
      <rPr>
        <vertAlign val="subscript"/>
        <sz val="10"/>
        <rFont val="Arial"/>
        <family val="2"/>
      </rPr>
      <t>2</t>
    </r>
    <r>
      <rPr>
        <sz val="10"/>
        <rFont val="Arial"/>
        <family val="2"/>
      </rPr>
      <t>O heited aastas [t/a] (*)</t>
    </r>
  </si>
  <si>
    <t>Üldandmed ja hindamiskriteeriumite andmed</t>
  </si>
  <si>
    <t>Toetuse määr</t>
  </si>
  <si>
    <t>€</t>
  </si>
  <si>
    <r>
      <t>€/t CO</t>
    </r>
    <r>
      <rPr>
        <vertAlign val="subscript"/>
        <sz val="11"/>
        <color theme="1"/>
        <rFont val="Calibri"/>
        <family val="2"/>
        <scheme val="minor"/>
      </rPr>
      <t>2e</t>
    </r>
  </si>
  <si>
    <r>
      <t>Selgitus: arvutusel on aluseks võetud toetuse määr, projekti aruandlusperioodi pikkus 5 aastat ja aastas projekti tulemusel välditud CO</t>
    </r>
    <r>
      <rPr>
        <vertAlign val="subscript"/>
        <sz val="11"/>
        <color rgb="FF00B050"/>
        <rFont val="Calibri"/>
        <family val="2"/>
        <scheme val="minor"/>
      </rPr>
      <t>2e</t>
    </r>
    <r>
      <rPr>
        <sz val="11"/>
        <color rgb="FF00B050"/>
        <rFont val="Calibri"/>
        <family val="2"/>
        <scheme val="minor"/>
      </rPr>
      <t xml:space="preserve"> heide.</t>
    </r>
  </si>
  <si>
    <t>€/kg</t>
  </si>
  <si>
    <t>Vesiniku müügihind</t>
  </si>
  <si>
    <t>Projekti tulemusena aastas kasutusele võetav toodetud rohevesiniku maht</t>
  </si>
  <si>
    <t>Aastas tööstuses tarbitav rohevesniku summaarne kogus</t>
  </si>
  <si>
    <t>Muu kaasneva õhuheite vähenemine</t>
  </si>
  <si>
    <r>
      <t>Säästetud NH</t>
    </r>
    <r>
      <rPr>
        <vertAlign val="subscript"/>
        <sz val="11"/>
        <color theme="0"/>
        <rFont val="Arial"/>
        <family val="2"/>
      </rPr>
      <t>3</t>
    </r>
  </si>
  <si>
    <r>
      <t>Säästetud PM</t>
    </r>
    <r>
      <rPr>
        <vertAlign val="subscript"/>
        <sz val="11"/>
        <color theme="0"/>
        <rFont val="Arial"/>
        <family val="2"/>
      </rPr>
      <t>2.5</t>
    </r>
  </si>
  <si>
    <t>Kemikaali nimetus</t>
  </si>
  <si>
    <t>metanool</t>
  </si>
  <si>
    <t>Kemikaali brutovalem</t>
  </si>
  <si>
    <t>67-56-1</t>
  </si>
  <si>
    <t>Kemikaali CAS number</t>
  </si>
  <si>
    <t>ammoniaak</t>
  </si>
  <si>
    <r>
      <t>H</t>
    </r>
    <r>
      <rPr>
        <vertAlign val="subscript"/>
        <sz val="11"/>
        <color theme="1"/>
        <rFont val="Calibri"/>
        <family val="2"/>
        <scheme val="minor"/>
      </rPr>
      <t>3</t>
    </r>
    <r>
      <rPr>
        <sz val="11"/>
        <color theme="1"/>
        <rFont val="Calibri"/>
        <family val="2"/>
        <scheme val="minor"/>
      </rPr>
      <t>N</t>
    </r>
  </si>
  <si>
    <t>7664-41-7</t>
  </si>
  <si>
    <r>
      <t>CH</t>
    </r>
    <r>
      <rPr>
        <vertAlign val="subscript"/>
        <sz val="11"/>
        <color theme="1"/>
        <rFont val="Calibri"/>
        <family val="2"/>
        <scheme val="minor"/>
      </rPr>
      <t>4</t>
    </r>
    <r>
      <rPr>
        <sz val="11"/>
        <color theme="1"/>
        <rFont val="Calibri"/>
        <family val="2"/>
        <scheme val="minor"/>
      </rPr>
      <t>O</t>
    </r>
  </si>
  <si>
    <t>Selgitus: Andmed pärinevad NIST andmebaasist: https://webbook.nist.gov/chemistry/name-ser/</t>
  </si>
  <si>
    <t>Andmed otsida NIST andmebaasist: https://webbook.nist.gov/chemistry/name-ser/</t>
  </si>
  <si>
    <t>Toodetud keemiatööstuse lähteainete kogus</t>
  </si>
  <si>
    <r>
      <t>Toetuse suurus välditud CO</t>
    </r>
    <r>
      <rPr>
        <b/>
        <vertAlign val="subscript"/>
        <sz val="11"/>
        <rFont val="Calibri"/>
        <family val="2"/>
        <scheme val="minor"/>
      </rPr>
      <t>2e</t>
    </r>
    <r>
      <rPr>
        <b/>
        <sz val="11"/>
        <rFont val="Calibri"/>
        <family val="2"/>
        <scheme val="minor"/>
      </rPr>
      <t xml:space="preserve"> tonni kohta</t>
    </r>
  </si>
  <si>
    <t>Hindamiskriteerium</t>
  </si>
  <si>
    <t>Porjekti tulemusel kasutusele võetavate rohevesinikku kütusena kasutavate sõidukite arv</t>
  </si>
  <si>
    <t>Porjekti tulemusel kasutusele võetavate rohevesinikku kütusena kasutavate tanklate arv</t>
  </si>
  <si>
    <t>Porjekti tulemusel kasutusele võetavate rohevesinikku kütusena kasutavate transpordivahendite poolt läbitud summaarne vahemaa aastas</t>
  </si>
  <si>
    <t>Projekti nimi</t>
  </si>
  <si>
    <t>Selgitus: arvutatud on summarne toodetud kemikaalide kogus.</t>
  </si>
  <si>
    <t>* Kütuste, k.a. vesiniku ümberarvutused energiaühikuteks saab teha lehel "Kütuste ümberarvutused".</t>
  </si>
  <si>
    <t>Sisestada valikvastusena rohevesiniku tootmise lähteaine</t>
  </si>
  <si>
    <t>Sisestada valikvastusena rohevesiniku tootmistehnoloogia</t>
  </si>
  <si>
    <t>Sisestada valikvastusena biomassi lähteaine. NB! Rohevesiniku tootmisel ei tohi energiaallikana kasutada biomassi ega sellest saadud kütuseid, seega biomass saab olla kasutuses vaid vesiniku tootmiseks kasutatava biogaasi lähteainena.</t>
  </si>
  <si>
    <t>Kui rohevesiniku tootmisel kasutatakse soojust, sisestada valikvastusena selle tootmiseks kasutatava kütuse liik. Kui soojust ei kasutata, valida "NA". NB!Rohevesiniku tootmisel ei tohi energiaallikana kasutada biomassi ega sellest saadud kütuseid, seega soojuse tootmine saab toimuda vaid vesinikust või elektrist. Elektri tarbimine märkida summaarselt vastvasse lahtrisse.</t>
  </si>
  <si>
    <t>Sisestada valikvastusena kohapeal toodetud taastuvelektri saamisviis. Kui elekter on 0% kohapeal toodetud, valida NA.</t>
  </si>
  <si>
    <t>Valida vahemik 0-100. Kui kohapeal elektrit ei toodeta, kirjutada NULL "0".</t>
  </si>
  <si>
    <t>Sisestada aastas rohevesiniku tootmiseks kuluv summaarne elektri kogus arvestades nii kohapeal toodetud kui ostetud päritolusertifikaadiga elektrit. Siia tuleb biogaasi puhul sisse arvata ka biogaasi puhastamisel kulunud elekter.</t>
  </si>
  <si>
    <t>Sisestada summaarselt aastas toodetav rohevesiniku kogus.</t>
  </si>
  <si>
    <t>Sisestada rohevesiniku tootmise kasutegur tüüpilistel töötingimustel vastavalt tootja poolt tootepassis või tehnilistes tingimustes toodud väärtusele.</t>
  </si>
  <si>
    <t>Selgitus: summeeritud on kõigi rohevesinikku kütusena kasutavate transpordiliikide aastased läbisõidud.</t>
  </si>
  <si>
    <t>Täidta lahtrid vaid juhul, kui toimub vesiniku tankimine ja säilitamine enne tarnet.</t>
  </si>
  <si>
    <t>Sisestada valikvastusena taastuvelektri saamisviis. Kui elekter on 0% kohapeal toodetud, valida NA.</t>
  </si>
  <si>
    <t>Valida vahemik 0-100.</t>
  </si>
  <si>
    <t>Sisestada aastas kuluv summaarne elektri kogus arvestades nii kohapeal toodetud kui ostetud päritolusertifikaadiga elektrit.</t>
  </si>
  <si>
    <t>Sisestada summaarselt aastas tangitav rohevesiniku kogus.</t>
  </si>
  <si>
    <t>Sisestada rohevesiniku tarnel kasutatav kütus. Rohekütuse alla kuulub ka elektrisõiduki akude laadimiseks kuluv taastuvelekter.</t>
  </si>
  <si>
    <t>Sisestada antud projekti raames transpordis kasutatava rohevesiniku veoks tehtavate tarnete summaarne aastane läbisõit.</t>
  </si>
  <si>
    <t>Kui elekter on 0% kohapeal toodetud, valid NA.</t>
  </si>
  <si>
    <t>Kui tarne läbiviimisel kasutatakse eletrit, sisestada aastas kuluv summaarne elektri kogus arvestades nii kohapeal toodetud kui ostetud päritolusertifikaadiga elektrit. Kui elektrit ei kasutata, sisetada NULL "0".</t>
  </si>
  <si>
    <t>Kui tarne läbiviimisel kasutatakse kütust - rohevesinikku või diislit, sisestada aastas kuluv summaarne kogus. Kui kütust ei kasutata, sisetada NULL "0".</t>
  </si>
  <si>
    <t>Kui tarne toimub veokiga ja rohekütuse abil, sisestada summaarselt aastas tarne käigus transpordikütusena säästetud diisli kogus. Diisli kasutamise korral kirjutada NULL "0".</t>
  </si>
  <si>
    <r>
      <t>Selgitus: Võrdlusena on kasutatud olukorda, kus sama veos oleks tehtud diiselautoga, v.a. torutransport, mille korral arvestatakse (vajadusel) vaid kuluva elektri CO</t>
    </r>
    <r>
      <rPr>
        <vertAlign val="subscript"/>
        <sz val="11"/>
        <color rgb="FF00B050"/>
        <rFont val="Calibri"/>
        <family val="2"/>
        <scheme val="minor"/>
      </rPr>
      <t>2e</t>
    </r>
    <r>
      <rPr>
        <sz val="11"/>
        <color rgb="FF00B050"/>
        <rFont val="Calibri"/>
        <family val="2"/>
        <charset val="186"/>
        <scheme val="minor"/>
      </rPr>
      <t xml:space="preserve"> heidet, millest rohevesiniku tarnel tekkiv heide on juba maha arvestatud.</t>
    </r>
  </si>
  <si>
    <t>Täidta lahtrid vaid juhul, kui toimub vesiniku tankimine ja säilitamine peale tarnet.</t>
  </si>
  <si>
    <t>Sisestada aastas rohevesiniku tootmiseks kuluv summaarne elektri kogus arvestades nii kohapeal toodetud kui ostetud päritolusertifikaadiga elektrit.</t>
  </si>
  <si>
    <t>Täita juhul, kui projektis toodetakse rohevesinikust metanooli.</t>
  </si>
  <si>
    <t>Sisestada summaarselt aastas tarbitud rohevesiniku kogus (metanooli tootmise protsessi jaoks).</t>
  </si>
  <si>
    <t>Juhul, kui biogaasi või biometaani ei kasutata lähteainena, valida "NA".</t>
  </si>
  <si>
    <t>Ümberarvutuseks kasutada Lehel kütuste ümberarvutused biogaasi ja biometaani jaoks toodud väärtusi. Juhul, kui biogaasi või biometaani ei kasutata lähteainena, jätta "0" (null).</t>
  </si>
  <si>
    <r>
      <t>Kui biometanooli tootmiseks kasutatakse CO</t>
    </r>
    <r>
      <rPr>
        <i/>
        <vertAlign val="subscript"/>
        <sz val="11"/>
        <rFont val="Calibri"/>
        <family val="2"/>
        <scheme val="minor"/>
      </rPr>
      <t>2</t>
    </r>
    <r>
      <rPr>
        <i/>
        <sz val="11"/>
        <rFont val="Calibri"/>
        <family val="2"/>
        <scheme val="minor"/>
      </rPr>
      <t>-te, sisestada siia selle lähteaine. "Tööstulik roheline CO</t>
    </r>
    <r>
      <rPr>
        <i/>
        <vertAlign val="subscript"/>
        <sz val="11"/>
        <rFont val="Calibri"/>
        <family val="2"/>
        <scheme val="minor"/>
      </rPr>
      <t>2</t>
    </r>
    <r>
      <rPr>
        <i/>
        <sz val="11"/>
        <rFont val="Calibri"/>
        <family val="2"/>
        <scheme val="minor"/>
      </rPr>
      <t>" peab olema tõendatult toodetud bioloogilist päritolu lähteainetest. "Kütuse põletamisest tekkiv CO</t>
    </r>
    <r>
      <rPr>
        <i/>
        <vertAlign val="subscript"/>
        <sz val="11"/>
        <rFont val="Calibri"/>
        <family val="2"/>
        <scheme val="minor"/>
      </rPr>
      <t>2</t>
    </r>
    <r>
      <rPr>
        <i/>
        <sz val="11"/>
        <rFont val="Calibri"/>
        <family val="2"/>
        <scheme val="minor"/>
      </rPr>
      <t>" peab olema tõendatult kütuse põletamisel tekkivatest gaasidest seotud CO</t>
    </r>
    <r>
      <rPr>
        <i/>
        <vertAlign val="subscript"/>
        <sz val="11"/>
        <rFont val="Calibri"/>
        <family val="2"/>
        <scheme val="minor"/>
      </rPr>
      <t>2</t>
    </r>
    <r>
      <rPr>
        <i/>
        <sz val="11"/>
        <rFont val="Calibri"/>
        <family val="2"/>
        <scheme val="minor"/>
      </rPr>
      <t>. NB! Kui kütus, mille põletamisel tekkinud CO</t>
    </r>
    <r>
      <rPr>
        <i/>
        <vertAlign val="subscript"/>
        <sz val="11"/>
        <rFont val="Calibri"/>
        <family val="2"/>
        <scheme val="minor"/>
      </rPr>
      <t>2</t>
    </r>
    <r>
      <rPr>
        <i/>
        <sz val="11"/>
        <rFont val="Calibri"/>
        <family val="2"/>
        <scheme val="minor"/>
      </rPr>
      <t xml:space="preserve"> seotakse, on taastumatut päritolu, siis ei tohi olla tegu ainult CO</t>
    </r>
    <r>
      <rPr>
        <i/>
        <vertAlign val="subscript"/>
        <sz val="11"/>
        <rFont val="Calibri"/>
        <family val="2"/>
        <scheme val="minor"/>
      </rPr>
      <t>2</t>
    </r>
    <r>
      <rPr>
        <i/>
        <sz val="11"/>
        <rFont val="Calibri"/>
        <family val="2"/>
        <scheme val="minor"/>
      </rPr>
      <t xml:space="preserve"> saamise eesmärgil põletamisega, vaid CO</t>
    </r>
    <r>
      <rPr>
        <i/>
        <vertAlign val="subscript"/>
        <sz val="11"/>
        <rFont val="Calibri"/>
        <family val="2"/>
        <scheme val="minor"/>
      </rPr>
      <t>2</t>
    </r>
    <r>
      <rPr>
        <i/>
        <sz val="11"/>
        <rFont val="Calibri"/>
        <family val="2"/>
        <scheme val="minor"/>
      </rPr>
      <t xml:space="preserve"> sidumine peab olema muu põhitegevuse (nt sooja tootmise) kõrval toimuv täiendav protsess. Vastavad selgitused lisada ka protsessi kirjeldustesse taotluses. Antud toetusmeedet ei saa kasutada vastava tehnoloogia väljatöötamiseks ja kasutuselevõtuks!</t>
    </r>
  </si>
  <si>
    <r>
      <t>Juhul, kui metanooli lähteaineks 3 on "Tööstuslik roheline CO</t>
    </r>
    <r>
      <rPr>
        <i/>
        <vertAlign val="subscript"/>
        <sz val="11"/>
        <rFont val="Calibri"/>
        <family val="2"/>
        <scheme val="minor"/>
      </rPr>
      <t>2</t>
    </r>
    <r>
      <rPr>
        <i/>
        <sz val="11"/>
        <rFont val="Calibri"/>
        <family val="2"/>
        <scheme val="minor"/>
      </rPr>
      <t>", valida "NA".</t>
    </r>
  </si>
  <si>
    <r>
      <t>Juhul, kui metanooli lähteaineks 3 on "Kütuse põletamisest tekkiv CO</t>
    </r>
    <r>
      <rPr>
        <i/>
        <vertAlign val="subscript"/>
        <sz val="11"/>
        <rFont val="Calibri"/>
        <family val="2"/>
        <scheme val="minor"/>
      </rPr>
      <t>2</t>
    </r>
    <r>
      <rPr>
        <i/>
        <sz val="11"/>
        <rFont val="Calibri"/>
        <family val="2"/>
        <scheme val="minor"/>
      </rPr>
      <t>", sisestada siia elektrikulu antud tegevuse läbiviimiseks ühiku CO</t>
    </r>
    <r>
      <rPr>
        <i/>
        <vertAlign val="subscript"/>
        <sz val="11"/>
        <rFont val="Calibri"/>
        <family val="2"/>
        <scheme val="minor"/>
      </rPr>
      <t>2</t>
    </r>
    <r>
      <rPr>
        <i/>
        <sz val="11"/>
        <rFont val="Calibri"/>
        <family val="2"/>
        <scheme val="minor"/>
      </rPr>
      <t xml:space="preserve"> sidumisel. Vastava protsessi lahtiselgitus lisada ka protsessi kirjeldusse taotluses.</t>
    </r>
  </si>
  <si>
    <r>
      <t>Juhul, kui metanooli lähteaineks 3 on "Tööstuslik roheline CO</t>
    </r>
    <r>
      <rPr>
        <i/>
        <vertAlign val="subscript"/>
        <sz val="11"/>
        <rFont val="Calibri"/>
        <family val="2"/>
        <scheme val="minor"/>
      </rPr>
      <t>2</t>
    </r>
    <r>
      <rPr>
        <i/>
        <sz val="11"/>
        <rFont val="Calibri"/>
        <family val="2"/>
        <scheme val="minor"/>
      </rPr>
      <t>", jätta "0" (null).</t>
    </r>
  </si>
  <si>
    <t>Valida lähteaine. Kui täiendavad lähteained puuduvad, valida "NA".</t>
  </si>
  <si>
    <t>Sisestada summaarselt aastas toodetav metanooli kogus.</t>
  </si>
  <si>
    <t>Tarbitud soojushulk, mida on vaja täendavalt juurde  anda (mis ei ole protsessi käigus iseeneslikult tekkiv ja ära kasutatav jääksoojus).</t>
  </si>
  <si>
    <t>Sisestada summaarselt aastas tarbitud soojushulk, mida on vaja täendavalt juurde anda (mis ei ole protsessi käigus iseeneslikult tekkiv ja ära kasutatav jääksoojus).</t>
  </si>
  <si>
    <t>Valida vahemik 0-100. Kui soojust ei kasutata, kirjutada NULL "0".</t>
  </si>
  <si>
    <t>Kui elektri saamisviis on päike või tuul, KIRJUTADA NULL "0".  Kui rohevesiniku tootmiseks on kasutatud jäätmepuitu, biomassi või kohapeal toodetud biogaasi, tuleb vastav kuluv energiakogus sisestada siia (biogaasil lähteaineks oleva biomassi kogus). Sisse tuleb arvata ka biogaasi saamisel ja puhastamisel kulunud elekter.</t>
  </si>
  <si>
    <r>
      <t xml:space="preserve">Kui rohevesiniku lähteaine on vesi, KIRJUTADA NULL "0". Biogaasist rohevesiniku tootmise korral tuleb energeetilisest arvestada ka puhastusprotsesside käigus kuluva elektri ja soojuse kogusega. </t>
    </r>
    <r>
      <rPr>
        <b/>
        <i/>
        <sz val="11"/>
        <rFont val="Calibri"/>
        <family val="2"/>
        <scheme val="minor"/>
      </rPr>
      <t>*</t>
    </r>
    <r>
      <rPr>
        <i/>
        <sz val="11"/>
        <rFont val="Calibri"/>
        <family val="2"/>
        <scheme val="minor"/>
      </rPr>
      <t xml:space="preserve"> </t>
    </r>
    <r>
      <rPr>
        <b/>
        <i/>
        <u/>
        <sz val="11"/>
        <rFont val="Calibri"/>
        <family val="2"/>
        <scheme val="minor"/>
      </rPr>
      <t>Kütuste ümberarvutused energiaühikuteks saab teha lehel "Kütuste ümberarvutused".</t>
    </r>
  </si>
  <si>
    <t>Täita juhul, kui projektis toodetakse ammoniaaki rohevesinikust.</t>
  </si>
  <si>
    <t>Sisestada summaarselt aastas tarbitud rohevesiniku kogus (ammoniaagi tootmise protsessi jaoks).</t>
  </si>
  <si>
    <t>Sisestada summaarselt aastas toodetav ammoniaagi kogus.</t>
  </si>
  <si>
    <t>Sisestada aastas ammoniaagi tootmiseks kuluv summaarne elektri kogus arvestades nii kohapeal toodetud kui ostetud päritolusertifikaadiga elektrit. Arvestada siin kõigile ammoniaagi tootmisega seotud keemilistele protsessidele summarset kuluvat elektrit.</t>
  </si>
  <si>
    <t>NB! Vastavalt projektitaotluses antud sisendile, kui vajalik, teeb KIK antud arvutusmudelisse täiendused vastava reaktsiooni KHG heite hindamiseks.</t>
  </si>
  <si>
    <t>Vali toodetav keemia toode. Kui seda nimekirjas pole, vali muu keemiline aine ja sisesta kemikaali andmed allolevatesse lahtritesse. Nimistus mitte leiduva kemikaali andmete valideerimiseks ja ka nende osas info leidmiseks pöördu kindlasti KIKi poole.</t>
  </si>
  <si>
    <t>Sisestada summaarselt aastas toodetav OME või DME kogus, muul juhul "0" (null).</t>
  </si>
  <si>
    <t>OME või DME kogus energiaühikus.</t>
  </si>
  <si>
    <t>Juhul, kui nimistus ei olnud vajalikku toodetava kemikaali nimetust, sisestada nimetus.</t>
  </si>
  <si>
    <t>Sisestada summaarselt aastas toodetava keemikaali kogus, muul juhul "0" (null).</t>
  </si>
  <si>
    <t>Juhul, kui on sisestatud "Toodetava kemikaali nimetus", sisestada vastava kemikaali heitkogus toodangu kohta juhul, kui see oleks toodetud fossiilsete kütuste ja lähteainete baasil. Näiteks allikaks: JEC WTT v5.</t>
  </si>
  <si>
    <t>Juhul, kui biogaasi või biometaani ei kasutata lähteainena, jätta "0" (null).</t>
  </si>
  <si>
    <t>Juhul, kui keemia toote lähteaineks 2 on "Tööstuslik roheline CO2", valida "NA".</t>
  </si>
  <si>
    <t>Juhul, kui keemia toote lähteaineks 2 on "Tööstuslik roheline CO2", jätta "0" (null).</t>
  </si>
  <si>
    <t>Valida lähteaine, muul juhul "NA".</t>
  </si>
  <si>
    <t>Valid lähteaine, muul juhul "NA".</t>
  </si>
  <si>
    <t>Tarbitud soojushulk, mida on vaja täendavalt juurde anda (mis ei ole protsessi käigus iseeneslikult tekkiv ja ära kasutatav jääksoojus).</t>
  </si>
  <si>
    <r>
      <t>Sisestada aastas metanooli tootmiseks kuluv summaarne elektri kogus arvestades nii kohapeal toodetud kui ostetud päritolusertifikaadiga elektrit. Arvestada siin kõigile metanooli tootmisega seotud keemilistele protsessidele summarset kuluvat elektrit, k.a. "Kütuse põlemisest tekkiva CO</t>
    </r>
    <r>
      <rPr>
        <i/>
        <vertAlign val="subscript"/>
        <sz val="11"/>
        <color theme="1"/>
        <rFont val="Calibri"/>
        <family val="2"/>
        <scheme val="minor"/>
      </rPr>
      <t>2</t>
    </r>
    <r>
      <rPr>
        <i/>
        <sz val="11"/>
        <color theme="1"/>
        <rFont val="Calibri"/>
        <family val="2"/>
        <scheme val="minor"/>
      </rPr>
      <t>" sidumise protsessis kulunud elekter.</t>
    </r>
  </si>
  <si>
    <r>
      <t>Selgitus: Siin saadud CO</t>
    </r>
    <r>
      <rPr>
        <vertAlign val="subscript"/>
        <sz val="11"/>
        <color rgb="FF00B050"/>
        <rFont val="Calibri"/>
        <family val="2"/>
        <scheme val="minor"/>
      </rPr>
      <t>2e</t>
    </r>
    <r>
      <rPr>
        <sz val="11"/>
        <color rgb="FF00B050"/>
        <rFont val="Calibri"/>
        <family val="2"/>
        <charset val="186"/>
        <scheme val="minor"/>
      </rPr>
      <t xml:space="preserve"> arvutamiseks on arvestatud alternatiivi, mille korral sama kogus kemikaali toodetaks taastamatutest kütustest ja lähteainetest, kemikaali tootmisel käesoleva protsessiga tekkinud CO</t>
    </r>
    <r>
      <rPr>
        <vertAlign val="subscript"/>
        <sz val="11"/>
        <color rgb="FF00B050"/>
        <rFont val="Calibri"/>
        <family val="2"/>
        <scheme val="minor"/>
      </rPr>
      <t>2e</t>
    </r>
    <r>
      <rPr>
        <sz val="11"/>
        <color rgb="FF00B050"/>
        <rFont val="Calibri"/>
        <family val="2"/>
        <charset val="186"/>
        <scheme val="minor"/>
      </rPr>
      <t xml:space="preserve"> on sellest maha arvestatud.</t>
    </r>
  </si>
  <si>
    <r>
      <rPr>
        <b/>
        <i/>
        <sz val="11"/>
        <rFont val="Calibri"/>
        <family val="2"/>
        <scheme val="minor"/>
      </rPr>
      <t xml:space="preserve">Täpsustus! </t>
    </r>
    <r>
      <rPr>
        <i/>
        <sz val="11"/>
        <rFont val="Calibri"/>
        <family val="2"/>
        <scheme val="minor"/>
      </rPr>
      <t>Sisestada projekti jaoks summaarselt küsitava toetuse määr. Kui toetust küsitakse nii vesiniku kasutuseks transpordisektoris kui keemiatööstuse lähteainena, sisestada siia vesiniku tootmisega transpordisektoris kasutamiseks seotud info ja transpordis kulunud vesinikuga seotud info, kulud vesiniku kasutuseks keemiatööstuse lähteainena tuua välja lehel "Tulemused Tööstus". Toetuste summad kahel lehel ei tohi kattuda, vaid peavad kokku andma kogu küsitava toetuse summa. Kui protsesse pole võimalik eristada, siis topeltarvestuse vältimiseks sisestada andmed vaid ühel lehel ja lisada vastav selgitus koos protsesside täpsema kirjeldusega ka taotluse teksti.</t>
    </r>
  </si>
  <si>
    <r>
      <rPr>
        <b/>
        <i/>
        <sz val="11"/>
        <rFont val="Calibri"/>
        <family val="2"/>
        <scheme val="minor"/>
      </rPr>
      <t xml:space="preserve">Täpsustus! </t>
    </r>
    <r>
      <rPr>
        <i/>
        <sz val="11"/>
        <rFont val="Calibri"/>
        <family val="2"/>
        <scheme val="minor"/>
      </rPr>
      <t>Sisestada projekti jaoks summaarselt küsitava toetuse määr. Kui toetust küsitakse nii vesiniku kasutuseks transpordisektoris kui keemiatööstuse lähteainena, sisestada siia vesiniku tootmisega keemiatööstuse lähteaineks seotud info ja keemiatööstuses kulunud vesinikuga seotud info, kulud vesiniku kasutuseks transpordisektoris tuua välja lehel "Tulemused Transport". Toetuste summad kahel lehel ei tohi kattuda, vaid peavad kokku andma kogu küsitava toetuse summa. Kui protsesse pole võimalik eristada, siis topeltarvestuse vältimiseks sisestada andmed vaid ühel lehel ja lisada vastav selgitus koos protsesside täpsema kirjeldusega ka taotluse teksti.</t>
    </r>
  </si>
  <si>
    <t xml:space="preserve">Sisestada projekti lõppeesmärgi saavutamiseks tarbitava vesiniku müügihind. </t>
  </si>
  <si>
    <t xml:space="preserve">Selgitus: arvutusel on aluseks võetud kasutusele võetav rohevesiniku hulk MWh ja arvutatud see ümber energeetilistest ühikutest tonnideks. </t>
  </si>
  <si>
    <t>Sisestada projekti lõppeesmärgi saavutamiseks soetatavate transpordivahendite arv. Kui kasutatake eri tüüpi transpordivahendeid, siis lisada täpsemad selgitused liigiti taotluse teksti ja alla konkreetsele transpordiliigile vastavatesse arvutuskäikudesse.</t>
  </si>
  <si>
    <t>Sisestada projekti lõppeesmärgi saavutamiseks soetatavate tanklate arv. Kui kasutatake eri tüüpi tanklaid, siis lisada täpsemad selgitused liigiti taotluse teksti.</t>
  </si>
  <si>
    <t>Selgitus: summeritud on kõigi rohevesinikku kütusena kasutavate transporsiliikide aastased läbisõidud.</t>
  </si>
  <si>
    <t>Sisestada valikvastusena rohevesiniku tootmise lähteaine.</t>
  </si>
  <si>
    <t>Sisestada valikvastusena rohevesiniku tootmistehnoloogia.</t>
  </si>
  <si>
    <t>Sisestada valikvastusena biomassi lähteaine. Kui elektri saamisviis on päike või tuul, valida rippmenüüs "NA".</t>
  </si>
  <si>
    <r>
      <t xml:space="preserve">Kui rohevesiniku lähteaine on vesi, KIRJUTADA NULL "0". Biogaasist rohevesiniku tootmise korral tuleb energeetilisest arvestada ka puhastusprotsesside käigus kuluva elektri ja soojuse kogusega. </t>
    </r>
    <r>
      <rPr>
        <b/>
        <i/>
        <sz val="11"/>
        <color theme="1"/>
        <rFont val="Calibri"/>
        <family val="2"/>
        <scheme val="minor"/>
      </rPr>
      <t>*</t>
    </r>
    <r>
      <rPr>
        <i/>
        <sz val="11"/>
        <color theme="1"/>
        <rFont val="Calibri"/>
        <family val="2"/>
        <scheme val="minor"/>
      </rPr>
      <t xml:space="preserve"> </t>
    </r>
    <r>
      <rPr>
        <b/>
        <i/>
        <u/>
        <sz val="11"/>
        <color theme="1"/>
        <rFont val="Calibri"/>
        <family val="2"/>
        <scheme val="minor"/>
      </rPr>
      <t>Kütuste ümberarvutused energiaühikuteks saab teha lehel "Kütuste ümberarvutused".</t>
    </r>
  </si>
  <si>
    <t>Kui rohevesiniku tootmisel kasutatakse soojust, sisestada valikvastusena selle tootmiseks kasutatava kütuse liik. Kui soojust ei kasutata, valida "NA". NB!Rohevesiniku tootmisel ei tohi energiaallikana kasutada biomassi ega sellest saadud kütuseid, seega soojuse tootmine saab toimuda vaid vesinikust või elektrist. Elektri tarbimine märkida summaarselt vastavasse lahtrisse.</t>
  </si>
  <si>
    <t>Valid vahemik 0-100. Kui kohapeal elektrit ei toodeta, kirjutad NULL "0".</t>
  </si>
  <si>
    <t>Sisestda aastas rohevesiniku tootmiseks kuluv summaarne elektri kogus arvestades nii kohapeal toodetud kui ostetud päritolusertifikaadiga elektrit. Siia tuleb biogaasi puhul sisse arvata ka biogaasi puhastamisel kulunud elekter.</t>
  </si>
  <si>
    <t>Täita lahtrid vaid juhul, kui toimub vesiniku tankimine ja säilitamine enne tarnet.</t>
  </si>
  <si>
    <r>
      <t>Selgitus: CO</t>
    </r>
    <r>
      <rPr>
        <vertAlign val="subscript"/>
        <sz val="11"/>
        <color rgb="FF00B050"/>
        <rFont val="Calibri"/>
        <family val="2"/>
        <scheme val="minor"/>
      </rPr>
      <t>2e</t>
    </r>
    <r>
      <rPr>
        <sz val="11"/>
        <color rgb="FF00B050"/>
        <rFont val="Calibri"/>
        <family val="2"/>
        <charset val="186"/>
        <scheme val="minor"/>
      </rPr>
      <t xml:space="preserve"> heite arvutuseks on võrdlusstsenaariumina arvestatud sama koguse maagaasi kasutamist elektri tootmiseks biogaasi asemel ja võrguelektri korral 100% taastumatu elektri CO</t>
    </r>
    <r>
      <rPr>
        <vertAlign val="subscript"/>
        <sz val="11"/>
        <color rgb="FF00B050"/>
        <rFont val="Calibri"/>
        <family val="2"/>
        <scheme val="minor"/>
      </rPr>
      <t>2e</t>
    </r>
    <r>
      <rPr>
        <sz val="11"/>
        <color rgb="FF00B050"/>
        <rFont val="Calibri"/>
        <family val="2"/>
        <charset val="186"/>
        <scheme val="minor"/>
      </rPr>
      <t xml:space="preserve"> heidet seisuga 2020, millest rohevesiniku tankimisel ja säilitamisel tekkiv heide on juba maha arvestatud.</t>
    </r>
  </si>
  <si>
    <t>Sisestada rohevesiniku tarnel kasutatav kütus. Rohekütuse alla kuulub ka elektrisõiduki akude laadimiseks kuluv taastuvelekter. Kui kütusena kasutatakse rohevesinikku, siis vältida topeltarvestust all transpordiliikide lahtrites deklareeritavate sõidukitega.</t>
  </si>
  <si>
    <t>Kui elekter on 0% kohapeal toodetud, valida NA.</t>
  </si>
  <si>
    <r>
      <t>Selgitus: Võrdlusena on kasutatud olukorda, kus sama veos oleks tehtud diiselautoga, v.a. torutansport, mille korral arvestatakse (vajadusel) vaid kuluva elektri CO</t>
    </r>
    <r>
      <rPr>
        <vertAlign val="subscript"/>
        <sz val="11"/>
        <color rgb="FF00B050"/>
        <rFont val="Calibri"/>
        <family val="2"/>
        <scheme val="minor"/>
      </rPr>
      <t>2e</t>
    </r>
    <r>
      <rPr>
        <sz val="11"/>
        <color rgb="FF00B050"/>
        <rFont val="Calibri"/>
        <family val="2"/>
        <charset val="186"/>
        <scheme val="minor"/>
      </rPr>
      <t xml:space="preserve"> heidet, millest rohevesiniku tarnel tekkiv heide on juba maha arvestatud.</t>
    </r>
  </si>
  <si>
    <t>Täita lahtrid vaid juhul, kui toimub vesiniku tankimine ja säilitamine peale tarnet.</t>
  </si>
  <si>
    <t>Sisestada projekti täitmiseks hangitavate sõidukite arv.</t>
  </si>
  <si>
    <t>Sisestada projekti täitmiseks hangitud või ümber ehitatud sõidukite arv.</t>
  </si>
  <si>
    <t>Täita juhul, kui projektis toimub rohevesiniku tarne tootmise ja trasnpordis toimuva lõpptarbimise vahel.</t>
  </si>
  <si>
    <t>Sisestada antud projekti raames antud sõiduki tüübiga transpordis rohevesinikuga tehtav summaarne aastane läbisõit.</t>
  </si>
  <si>
    <t>Sisestada antud projekti raames antud sõiduki tüübiga transpordis rohevesinikuga tehtava summaarse aastase läbisõidu korral säästetav diisli kogus arvestades eelneva 3 aasta keskmist kulunud diisli kogust km kohta.</t>
  </si>
  <si>
    <t>Sisestada antud projekti raames antud sõiduki tüübiga transpordisektoris kuluv rohevesiniku hulk.</t>
  </si>
  <si>
    <t>Aastas transpordis tarbitav rohevesiniku summaarne kütusekulu</t>
  </si>
  <si>
    <t>Rohevesiniku saamine, k.a. vesiniku sobiva puhtusastme saavutamine edasiseks kasutamiseks transpordi kütusena</t>
  </si>
  <si>
    <t>Sisestada antud projekti raames antud sõiduki tüübiga rohevesinikuga tehtava summaarse aastase läbisõidu korralt säästetav diisli kogus arvestades eelneva 3 aasta keskmist kulunud diisli kogust km kohta.</t>
  </si>
  <si>
    <t>Sisestada antud projekti raames antud sõiduki tüübiga kuluv rohevesiniku hulk.</t>
  </si>
  <si>
    <t>Sisestada antud projekti raames antud sõiduki tüübiga rohevesinikuga tehtav summaarne aastane läbisõit.</t>
  </si>
  <si>
    <t>Sisestada antud projekti raames antud sõiduki tüübiga rohevesinikuga tehtava summaarse aastase läbisõidu korral säästetav diisli kogus arvestades eelneva 3 aasta keskmist kulunud diisli kogust km kohta.</t>
  </si>
  <si>
    <t>Sisestaa antud projekti raames antud sõiduki tüübiga rohevesinikuga tehtav summaarne aastane läbisõit.</t>
  </si>
  <si>
    <t>Diiselveok</t>
  </si>
  <si>
    <t>Kui tarne läbiviimisel kasutatakse kütust - rohevesinikku, biometaani või diislit, sisestada aastas kuluv summaarne kogus. Kui kütust ei kasutata, sisetada NULL "0".</t>
  </si>
  <si>
    <t>https://ec.europa.eu/eurostat/web/energy/data/shares</t>
  </si>
  <si>
    <t>https://ec.europa.eu/eurostat/documents/38154/4956088/SUMMARY-results-SHARES_2021.xlsx/a3ec29ed-95d3-8dfd-6f2f-4acd1eafdc91?t=1673009663750</t>
  </si>
  <si>
    <r>
      <rPr>
        <b/>
        <sz val="11"/>
        <color theme="1"/>
        <rFont val="Calibri"/>
        <family val="2"/>
        <scheme val="minor"/>
      </rPr>
      <t>Taastuvenergia</t>
    </r>
    <r>
      <rPr>
        <sz val="11"/>
        <color theme="1"/>
        <rFont val="Calibri"/>
        <family val="2"/>
        <charset val="186"/>
        <scheme val="minor"/>
      </rPr>
      <t xml:space="preserve"> abil toodetud elektri andmed on pärit Eurostati ameltikust statistikast, failist "SHARES summary results 2021", lehtedelt Summary (lõpptarbimise osakaal elektrienergias) ja EE (taastuvenergia eri allikate osakaalud elektri tootmises).</t>
    </r>
  </si>
  <si>
    <t xml:space="preserve">https://ec.europa.eu/eurostat/documents/38154/4956088/SUMMARY-results-SHARES_2021.xlsx/a3ec29ed-95d3-8dfd-6f2f-4acd1eafdc91?t=1673009663750 </t>
  </si>
  <si>
    <t>Leht SUMMARY, rida 102, veerg D</t>
  </si>
  <si>
    <t>Electricity</t>
  </si>
  <si>
    <t>Hydro</t>
  </si>
  <si>
    <t>Wind</t>
  </si>
  <si>
    <t>Solar</t>
  </si>
  <si>
    <t>Solid biofuels</t>
  </si>
  <si>
    <t>All other renewables</t>
  </si>
  <si>
    <t>Total (RES-E numerator)</t>
  </si>
  <si>
    <t>Notes: Hydro is normalised and excluding pumping. Wind is normalised. Solar includes solar photovoltaics and solar thermal electricity generation. All other renewables includes electricity generation from gaseous and liquid biofuels, renewable municipal waste, geothermal, and tide, wave &amp; ocean.</t>
  </si>
  <si>
    <t>Electricity generation from all sources</t>
  </si>
  <si>
    <t>Total (RES-E denominator)</t>
  </si>
  <si>
    <t>RES-E [%]</t>
  </si>
  <si>
    <t>ktoe</t>
  </si>
  <si>
    <t>Teisendus</t>
  </si>
  <si>
    <t>2020. TE osakaal, %</t>
  </si>
  <si>
    <t>2020. aasta taastuva osakaal 28,3%</t>
  </si>
  <si>
    <r>
      <t xml:space="preserve">Sisestada rohevesiniku tarnel kasutatav tarneviis. Rohekütuse alla kuulub ka elektrisõiduki akude laadimiseks kuluv taastuvelekter. NB! Kuna tootmisejärgne tarne loetakse antud meetmes tootmise osaks, ei saa tarnes transpordivahendi energiaallikana kasutada ei diislit ega biokütust. </t>
    </r>
    <r>
      <rPr>
        <b/>
        <i/>
        <sz val="11"/>
        <color theme="1"/>
        <rFont val="Calibri"/>
        <family val="2"/>
        <scheme val="minor"/>
      </rPr>
      <t>Biokütuse või diisli kasutamine on lubatud vaid juhtudel kui muid võimalusi projekti läbiviimiseks ei ole (nt ohtlike veoste vedu raskeveokitega) ja sellisel juhul ei arvestata seda tervikahela osana toetuse mõttes.</t>
    </r>
  </si>
  <si>
    <t>Ümberarvutuseks kasutada lehel Kütuste ümberarvutused vesiniku jaoks toodud väärtusi.</t>
  </si>
  <si>
    <t>Täpsustus! Sellel lehel märkida ära vaid transpordiks toodetav vesinik, keemiatööstuse lähteaineks toodetav vesinik märkida lehel "Tulemused Tööstus". Kui protsesse pole võimalik eristada, siis topeltarvestuse vältimiseks sisestada andmed vaid ühel lehel ja lisada vastav selgitus koos protsesside täpsema kirjeldusega ka taotluse teksti.</t>
  </si>
  <si>
    <r>
      <t>Sisestada aastas metanooli tootmiseks kuluv summaarne elektri kogus arvestades nii kohapeal toodetud kui ostetud päritolusertifikaadiga elektrit. Arvestada siin kõigile metanooli tootmisega seotud keemilistele protsessidele summarset kuluvat elektrit,</t>
    </r>
    <r>
      <rPr>
        <b/>
        <i/>
        <sz val="11"/>
        <color theme="1"/>
        <rFont val="Calibri"/>
        <family val="2"/>
        <scheme val="minor"/>
      </rPr>
      <t xml:space="preserve"> k.a. "Kütuse põlemisest tekkiva CO</t>
    </r>
    <r>
      <rPr>
        <b/>
        <i/>
        <vertAlign val="subscript"/>
        <sz val="11"/>
        <color theme="1"/>
        <rFont val="Calibri"/>
        <family val="2"/>
        <scheme val="minor"/>
      </rPr>
      <t>2</t>
    </r>
    <r>
      <rPr>
        <b/>
        <i/>
        <sz val="11"/>
        <color theme="1"/>
        <rFont val="Calibri"/>
        <family val="2"/>
        <scheme val="minor"/>
      </rPr>
      <t>" sidumise protsessis kulunud elekter.</t>
    </r>
  </si>
  <si>
    <t>Selgitus: Võrdlusena on kasutatud olukorda, kus samad veosed oleks võrdses osakaalus tehtud diiselveokitega.</t>
  </si>
  <si>
    <r>
      <rPr>
        <b/>
        <sz val="11"/>
        <color theme="1"/>
        <rFont val="Calibri"/>
        <family val="2"/>
        <scheme val="minor"/>
      </rPr>
      <t>Andmed C119:</t>
    </r>
    <r>
      <rPr>
        <sz val="11"/>
        <color theme="1"/>
        <rFont val="Calibri"/>
        <family val="2"/>
        <charset val="186"/>
        <scheme val="minor"/>
      </rPr>
      <t xml:space="preserve"> https://andmed.stat.ee/et/stat/majandus__energeetika__energia-tarbimine-ja-tootmine__aastastatistika/KE033</t>
    </r>
  </si>
  <si>
    <r>
      <rPr>
        <b/>
        <sz val="11"/>
        <color theme="1"/>
        <rFont val="Calibri"/>
        <family val="2"/>
        <scheme val="minor"/>
      </rPr>
      <t>Allikas:</t>
    </r>
    <r>
      <rPr>
        <sz val="11"/>
        <color theme="1"/>
        <rFont val="Calibri"/>
        <family val="2"/>
        <charset val="186"/>
        <scheme val="minor"/>
      </rPr>
      <t xml:space="preserve"> https://ec.europa.eu/eurostat/documents/38154/4956088/SUMMARY-results-SHARES_2021.xlsx/a3ec29ed-95d3-8dfd-6f2f-4acd1eafdc91?t=1673009663750, leht EE, rida 5-16, veerud A ja T</t>
    </r>
  </si>
  <si>
    <t>Eesti taastuvelektri toodang 2020.</t>
  </si>
  <si>
    <r>
      <t>1</t>
    </r>
    <r>
      <rPr>
        <i/>
        <sz val="12"/>
        <color rgb="FF335533"/>
        <rFont val="Arial"/>
        <family val="2"/>
      </rPr>
      <t> ktoe = </t>
    </r>
    <r>
      <rPr>
        <b/>
        <i/>
        <sz val="12"/>
        <color rgb="FF335533"/>
        <rFont val="Arial"/>
        <family val="2"/>
      </rPr>
      <t>11630</t>
    </r>
    <r>
      <rPr>
        <i/>
        <sz val="12"/>
        <color rgb="FF335533"/>
        <rFont val="Arial"/>
        <family val="2"/>
      </rPr>
      <t> MWh</t>
    </r>
  </si>
  <si>
    <r>
      <t>Selgitus: rohevesiniku tervikahelas tekkinud CO</t>
    </r>
    <r>
      <rPr>
        <vertAlign val="subscript"/>
        <sz val="11"/>
        <color rgb="FF00B050"/>
        <rFont val="Calibri"/>
        <family val="2"/>
        <scheme val="minor"/>
      </rPr>
      <t>2e</t>
    </r>
    <r>
      <rPr>
        <sz val="11"/>
        <color rgb="FF00B050"/>
        <rFont val="Calibri"/>
        <family val="2"/>
        <charset val="186"/>
        <scheme val="minor"/>
      </rPr>
      <t>.</t>
    </r>
  </si>
  <si>
    <r>
      <t>Selgitus: rohevesiniku tervikahelas tekkinud CO</t>
    </r>
    <r>
      <rPr>
        <vertAlign val="subscript"/>
        <sz val="11"/>
        <color rgb="FF00B050"/>
        <rFont val="Calibri"/>
        <family val="2"/>
        <scheme val="minor"/>
      </rPr>
      <t>2e</t>
    </r>
    <r>
      <rPr>
        <sz val="11"/>
        <color rgb="FF00B050"/>
        <rFont val="Calibri"/>
        <family val="2"/>
        <charset val="186"/>
        <scheme val="minor"/>
      </rPr>
      <t xml:space="preserve"> on siit juba maha arvestatud.</t>
    </r>
  </si>
  <si>
    <r>
      <t>Selgitus:  Kõik summa komponendid on teisendatud ühikule kt/a. Tuulest ja päikesest elektri tootmisel on CO</t>
    </r>
    <r>
      <rPr>
        <vertAlign val="subscript"/>
        <sz val="11"/>
        <color rgb="FF00B050"/>
        <rFont val="Calibri"/>
        <family val="2"/>
        <scheme val="minor"/>
      </rPr>
      <t>2e</t>
    </r>
    <r>
      <rPr>
        <sz val="11"/>
        <color rgb="FF00B050"/>
        <rFont val="Calibri"/>
        <family val="2"/>
        <scheme val="minor"/>
      </rPr>
      <t xml:space="preserve"> heide arvestatud nulliks. Tekkiv CO</t>
    </r>
    <r>
      <rPr>
        <vertAlign val="subscript"/>
        <sz val="11"/>
        <color rgb="FF00B050"/>
        <rFont val="Calibri"/>
        <family val="2"/>
        <scheme val="minor"/>
      </rPr>
      <t>2e</t>
    </r>
    <r>
      <rPr>
        <sz val="11"/>
        <color rgb="FF00B050"/>
        <rFont val="Calibri"/>
        <family val="2"/>
        <scheme val="minor"/>
      </rPr>
      <t xml:space="preserve"> on arvutatud sisestatud andmetest lähtuvalt EL üldtunnustatud heiteväärtustest, lähteandmed on nähtavad lehtedel Sõidukid, Lähteained ja Kütused ning Elekter. Päritoluseritfikaadiga elektri heide on arvestatud 2020. aasta Eesti elektri KHG heite järgi, arvestade,s et taastuvenergia osakaal oli 28,3%. Paljude kasutatud konstantide seletused on toodud käesoleval lehel.</t>
    </r>
  </si>
  <si>
    <r>
      <t>Selgitus: Tuulest ja päikesest elektri tootmisel on CO</t>
    </r>
    <r>
      <rPr>
        <vertAlign val="subscript"/>
        <sz val="11"/>
        <color rgb="FF00B050"/>
        <rFont val="Calibri"/>
        <family val="2"/>
        <scheme val="minor"/>
      </rPr>
      <t>2e</t>
    </r>
    <r>
      <rPr>
        <sz val="11"/>
        <color rgb="FF00B050"/>
        <rFont val="Calibri"/>
        <family val="2"/>
        <scheme val="minor"/>
      </rPr>
      <t xml:space="preserve"> heide arvestatud nulliks. Tekkiv CO</t>
    </r>
    <r>
      <rPr>
        <vertAlign val="subscript"/>
        <sz val="11"/>
        <color rgb="FF00B050"/>
        <rFont val="Calibri"/>
        <family val="2"/>
        <scheme val="minor"/>
      </rPr>
      <t>2e</t>
    </r>
    <r>
      <rPr>
        <sz val="11"/>
        <color rgb="FF00B050"/>
        <rFont val="Calibri"/>
        <family val="2"/>
        <scheme val="minor"/>
      </rPr>
      <t xml:space="preserve"> on arvutatud sisestatud andmetest lähtuvalt EL üldtunnustatud heiteväärtustele, lähteandmed on nähtavad lehel Elekter. Päritolusertifikaadiga elektri heide on arvestatud 2020. aasta Eesti elektri KHG heite järgi, arvestades et taastuvenergia osakaal oli 28,3%. Paljude kasutatud konstantide seletused on toodud käesoleval lehel.</t>
    </r>
  </si>
  <si>
    <r>
      <t>Selgitus: Tuulest ja päikesest elektri tootmisel on CO</t>
    </r>
    <r>
      <rPr>
        <vertAlign val="subscript"/>
        <sz val="11"/>
        <color rgb="FF00B050"/>
        <rFont val="Calibri"/>
        <family val="2"/>
        <scheme val="minor"/>
      </rPr>
      <t>2e</t>
    </r>
    <r>
      <rPr>
        <sz val="11"/>
        <color rgb="FF00B050"/>
        <rFont val="Calibri"/>
        <family val="2"/>
        <scheme val="minor"/>
      </rPr>
      <t xml:space="preserve"> heide arvestatud nulliks. Tekkiv CO</t>
    </r>
    <r>
      <rPr>
        <vertAlign val="subscript"/>
        <sz val="11"/>
        <color rgb="FF00B050"/>
        <rFont val="Calibri"/>
        <family val="2"/>
        <scheme val="minor"/>
      </rPr>
      <t>2e</t>
    </r>
    <r>
      <rPr>
        <sz val="11"/>
        <color rgb="FF00B050"/>
        <rFont val="Calibri"/>
        <family val="2"/>
        <scheme val="minor"/>
      </rPr>
      <t xml:space="preserve"> on arvutatud sisestatud andmetest lähtuvalt EL üldtunnustatud heiteväärtustele, lähteandmed on nähtavad lehel Elekter. Päritolusertifikaadiga elektri heide on arvestatud 2020. aasta Eesti elektri KHG heite järgi, arvestades, et taastuvenergia osakaal oli 28,3%. Paljude kasutatud konstantide seletused on toodud käesoleval lehel.  Biometaani kasutusel kütusena on arvestatud vastavate metaani ning N</t>
    </r>
    <r>
      <rPr>
        <vertAlign val="subscript"/>
        <sz val="11"/>
        <color rgb="FF00B050"/>
        <rFont val="Calibri"/>
        <family val="2"/>
        <scheme val="minor"/>
      </rPr>
      <t>2</t>
    </r>
    <r>
      <rPr>
        <sz val="11"/>
        <color rgb="FF00B050"/>
        <rFont val="Calibri"/>
        <family val="2"/>
        <scheme val="minor"/>
      </rPr>
      <t>O heitest tuleneva eriheidetega.</t>
    </r>
  </si>
  <si>
    <r>
      <t>Selgitus: Tuulest ja päikesest elektri tootmisel on CO</t>
    </r>
    <r>
      <rPr>
        <vertAlign val="subscript"/>
        <sz val="11"/>
        <color rgb="FF00B050"/>
        <rFont val="Calibri"/>
        <family val="2"/>
        <scheme val="minor"/>
      </rPr>
      <t>2e</t>
    </r>
    <r>
      <rPr>
        <sz val="11"/>
        <color rgb="FF00B050"/>
        <rFont val="Calibri"/>
        <family val="2"/>
        <scheme val="minor"/>
      </rPr>
      <t xml:space="preserve"> heide arvestatud nulliks. Tekkiv CO</t>
    </r>
    <r>
      <rPr>
        <vertAlign val="subscript"/>
        <sz val="11"/>
        <color rgb="FF00B050"/>
        <rFont val="Calibri"/>
        <family val="2"/>
        <scheme val="minor"/>
      </rPr>
      <t>2e</t>
    </r>
    <r>
      <rPr>
        <sz val="11"/>
        <color rgb="FF00B050"/>
        <rFont val="Calibri"/>
        <family val="2"/>
        <scheme val="minor"/>
      </rPr>
      <t xml:space="preserve"> on arvutatud sisestatud andmetest lähtuvalt EL üldtunnustatud heiteväärtustele, lähteandmed on nähtavad lehel Elekter. Päritolusertifikaadiga elektri heide on arvestatud 2020. aasta Eesti elektri KHG heite järgi, arvestades, et taastuvenergia osakaal oli 28,3%. Paljude kasutatud konstantide seletused on toodud käesoleval lehel.</t>
    </r>
  </si>
  <si>
    <r>
      <t>Selgitus:  Kõik summa komponendid on teisendatud ühikule t/a. Tuulest ja päikesest elektri tootmisel on CO</t>
    </r>
    <r>
      <rPr>
        <vertAlign val="subscript"/>
        <sz val="11"/>
        <color rgb="FF00B050"/>
        <rFont val="Calibri"/>
        <family val="2"/>
        <scheme val="minor"/>
      </rPr>
      <t>2e</t>
    </r>
    <r>
      <rPr>
        <sz val="11"/>
        <color rgb="FF00B050"/>
        <rFont val="Calibri"/>
        <family val="2"/>
        <scheme val="minor"/>
      </rPr>
      <t xml:space="preserve"> heide arvestatud nulliks. Tekkiv CO</t>
    </r>
    <r>
      <rPr>
        <vertAlign val="subscript"/>
        <sz val="11"/>
        <color rgb="FF00B050"/>
        <rFont val="Calibri"/>
        <family val="2"/>
        <scheme val="minor"/>
      </rPr>
      <t>2e</t>
    </r>
    <r>
      <rPr>
        <sz val="11"/>
        <color rgb="FF00B050"/>
        <rFont val="Calibri"/>
        <family val="2"/>
        <scheme val="minor"/>
      </rPr>
      <t xml:space="preserve"> on arvutatud sisestatud andmetest lähtuvalt EL üldtunnustatud heiteväärtustest, lähteandmed on nähtavad lehtedel Sõidukid, Lähteained ja Kütused ning Elekter. Päritoluseritfikaadiga elektri heide on arvestatud 2020. aasta Eesti elektri KHG heite järgi, arvestades, et taastuvenergia osakaal oli 28,3%. Paljude kasutatud konstantide seletused on toodud käesoleval lehel.</t>
    </r>
  </si>
  <si>
    <r>
      <t>Selgitus: Tuulest ja päikesest elektri tootmisel on CO</t>
    </r>
    <r>
      <rPr>
        <vertAlign val="subscript"/>
        <sz val="11"/>
        <color rgb="FF00B050"/>
        <rFont val="Calibri"/>
        <family val="2"/>
        <scheme val="minor"/>
      </rPr>
      <t>2e</t>
    </r>
    <r>
      <rPr>
        <sz val="11"/>
        <color rgb="FF00B050"/>
        <rFont val="Calibri"/>
        <family val="2"/>
        <scheme val="minor"/>
      </rPr>
      <t xml:space="preserve"> heide arvestatud nulliks. Tekkiv CO</t>
    </r>
    <r>
      <rPr>
        <vertAlign val="subscript"/>
        <sz val="11"/>
        <color rgb="FF00B050"/>
        <rFont val="Calibri"/>
        <family val="2"/>
        <scheme val="minor"/>
      </rPr>
      <t>2e</t>
    </r>
    <r>
      <rPr>
        <sz val="11"/>
        <color rgb="FF00B050"/>
        <rFont val="Calibri"/>
        <family val="2"/>
        <scheme val="minor"/>
      </rPr>
      <t xml:space="preserve"> on arvutatud sisestatud andmetest lähtuvalt EL üldtunnustatud heiteväärtustele, lähteandmed on nähtavad lehel Elekter. Päritoluseritfikaadiga elektri heide on arvestatud 2020. aasta Eesti elektri KHG heite järgi, arvestades, et taastuvenergia osakaal oli 28,3%. Paljude kasutatud konstantide seletused on toodud käesoleval lehel.</t>
    </r>
  </si>
  <si>
    <r>
      <t>Selgitus: Tuulest ja päikesest elektri tootmisel on CO</t>
    </r>
    <r>
      <rPr>
        <vertAlign val="subscript"/>
        <sz val="11"/>
        <color rgb="FF00B050"/>
        <rFont val="Calibri"/>
        <family val="2"/>
        <scheme val="minor"/>
      </rPr>
      <t>2e</t>
    </r>
    <r>
      <rPr>
        <sz val="11"/>
        <color rgb="FF00B050"/>
        <rFont val="Calibri"/>
        <family val="2"/>
        <scheme val="minor"/>
      </rPr>
      <t xml:space="preserve"> heide arvestatud nulliks. Tekkiv CO</t>
    </r>
    <r>
      <rPr>
        <vertAlign val="subscript"/>
        <sz val="11"/>
        <color rgb="FF00B050"/>
        <rFont val="Calibri"/>
        <family val="2"/>
        <scheme val="minor"/>
      </rPr>
      <t>2e</t>
    </r>
    <r>
      <rPr>
        <sz val="11"/>
        <color rgb="FF00B050"/>
        <rFont val="Calibri"/>
        <family val="2"/>
        <scheme val="minor"/>
      </rPr>
      <t xml:space="preserve"> on arvutatud sisestatud andmetest lähtuvalt EL üldtunnustatud heiteväärtustele, lähteandmed on nähtavad lehel Elekter. Päritoluseritfikaadiga elektri heide on arvestatud 2020. aasta Eesti elektri KHG heite järgi, arvestades et taastuvenergia osakaal oli 28,3%. Paljude kasutatud konstantide seletused on toodud käesoleval lehel.</t>
    </r>
  </si>
  <si>
    <t>Valida vahemik 0-100. Kui võrguelektrit ei kasutata, kirjutada NULL "0".</t>
  </si>
  <si>
    <t>Sisesta transpordiveoki(te) aasta summaarne läbisõit</t>
  </si>
  <si>
    <t>JAH</t>
  </si>
  <si>
    <r>
      <t>Selgitus: rohevesiniku tootmisel Taastuvenergia direktiivis 2018/2001 mittebioloogilist päritolu ja biogaasist toodetud kütuste tootmisele seatud nõuetega Artiklis 25(2), 27(3) ja 29 kooskõlas olev vesiniku tootmisel tekkiv kasvuohoonegaaside heide t(CO</t>
    </r>
    <r>
      <rPr>
        <vertAlign val="subscript"/>
        <sz val="11"/>
        <color rgb="FF00B050"/>
        <rFont val="Calibri"/>
        <family val="2"/>
        <scheme val="minor"/>
      </rPr>
      <t>2e</t>
    </r>
    <r>
      <rPr>
        <sz val="11"/>
        <color rgb="FF00B050"/>
        <rFont val="Calibri"/>
        <family val="2"/>
        <charset val="186"/>
        <scheme val="minor"/>
      </rPr>
      <t>)/a, lähtuvalt tootmiseks kasutatud taastuvenergia päritolust.</t>
    </r>
  </si>
  <si>
    <t>Kinnitus et vesinik on 100% toodetud taastuvenergiast</t>
  </si>
  <si>
    <t>Kinnitus, et vesiniku tootmiseks kohapeal toodetud ja ostetud päritolusertifikaadiga elekter on toodetud muud päritolu taastuvenergiast ja pole toodetud biomassist või sellest saadud kütustest</t>
  </si>
  <si>
    <t>Vastavalt juhistele delegeeritud aktist:</t>
  </si>
  <si>
    <t>kus</t>
  </si>
  <si>
    <t xml:space="preserve">E = kasvuhoonegaaside heide, mis tuleneb mittebioloogilist päritolu taastuvkütuse kasutusest </t>
  </si>
  <si>
    <t>Elektritootmine taastuvallikatest mis on seotud tuule, päikese, vee ja maasoojusega, pole seotud kütuste kasutusega. Emissioonid, mis on seotud tootmise püstitamisega ja sellega seotud jäätmekäitlusega ei kuulu arvestamisele.</t>
  </si>
  <si>
    <t xml:space="preserve"> KHG hindamise delegeeritud akti eelnõu cellar_feeb65a8-d86c-11ec-a95f-01aa75ed71a1.0001.01_DOC_2 (1).docx</t>
  </si>
  <si>
    <t>Seega toetuse andmise tingimuste täitmisel on sääst: (94 g/MJ – 0 g/MJ) / 94 g/MJ = 1 e 100%.</t>
  </si>
  <si>
    <t>Kasutatav fossiilkütuse võrdlusväärtus</t>
  </si>
  <si>
    <r>
      <t>t CO</t>
    </r>
    <r>
      <rPr>
        <vertAlign val="subscript"/>
        <sz val="11"/>
        <color theme="1"/>
        <rFont val="Calibri"/>
        <family val="2"/>
        <scheme val="minor"/>
      </rPr>
      <t>2e</t>
    </r>
    <r>
      <rPr>
        <sz val="11"/>
        <color theme="1"/>
        <rFont val="Calibri"/>
        <family val="2"/>
        <charset val="186"/>
        <scheme val="minor"/>
      </rPr>
      <t>/MWh</t>
    </r>
  </si>
  <si>
    <r>
      <t>Tekkiv CO</t>
    </r>
    <r>
      <rPr>
        <vertAlign val="subscript"/>
        <sz val="11"/>
        <color theme="1"/>
        <rFont val="Calibri"/>
        <family val="2"/>
        <scheme val="minor"/>
      </rPr>
      <t>2e</t>
    </r>
  </si>
  <si>
    <r>
      <t>Säästetud CO</t>
    </r>
    <r>
      <rPr>
        <b/>
        <vertAlign val="subscript"/>
        <sz val="11"/>
        <color theme="1"/>
        <rFont val="Calibri"/>
        <family val="2"/>
        <scheme val="minor"/>
      </rPr>
      <t>2e</t>
    </r>
  </si>
  <si>
    <t>Aastas transpordisektoris kasutatav rohevesiniku kogus</t>
  </si>
  <si>
    <t>Taastuvenergia direktiivist 2028/2001 Artikkel 25(2) tulenev nõue:</t>
  </si>
  <si>
    <t>Kasvuhoonegaaside heitkoguste vähenemine, mis tuleneb muust kui bioloogilise päritoluga taastuvtoorainest toodetud vedelatest ja gaasilistest transpordikütustest, peab alates 1. jaanuarist 2021 olema vähemalt 70 %.</t>
  </si>
  <si>
    <r>
      <t>Transpordisektoris rohevesiniku kasutamisel tekkiv CO</t>
    </r>
    <r>
      <rPr>
        <vertAlign val="subscript"/>
        <sz val="11"/>
        <color theme="1"/>
        <rFont val="Calibri"/>
        <family val="2"/>
        <scheme val="minor"/>
      </rPr>
      <t>2ekv</t>
    </r>
  </si>
  <si>
    <r>
      <t>Transpordisektoris rohevesiniku kasutamisel säästetud CO</t>
    </r>
    <r>
      <rPr>
        <vertAlign val="subscript"/>
        <sz val="11"/>
        <color theme="1"/>
        <rFont val="Calibri"/>
        <family val="2"/>
        <scheme val="minor"/>
      </rPr>
      <t>2ekv</t>
    </r>
  </si>
  <si>
    <t>Transpordisektoris rohevesiniku kasutamise vastavus TED 2028/2001 Artikkel 25(2) nõuetele</t>
  </si>
  <si>
    <r>
      <t>Selgitus: rohevesiniku tootmisel Taastuvenergia direktiivis 2018/2001 mittebioloogilist päritolu ja biogaasist toodetud kütuste tootmisele seatud nõuetega Artiklis 25(2), 27(3) ja 29 kooskõlas olev vesiniku tootmisel tekkiv kasvuohoonegaaside heite vältimine %, lähtuvalt võrdluseks kasutatavast taastumatu kütuse referentsist 94 gCO</t>
    </r>
    <r>
      <rPr>
        <vertAlign val="subscript"/>
        <sz val="11"/>
        <color rgb="FF00B050"/>
        <rFont val="Calibri"/>
        <family val="2"/>
        <scheme val="minor"/>
      </rPr>
      <t>2e</t>
    </r>
    <r>
      <rPr>
        <sz val="11"/>
        <color rgb="FF00B050"/>
        <rFont val="Calibri"/>
        <family val="2"/>
        <charset val="186"/>
        <scheme val="minor"/>
      </rPr>
      <t>/MJ.</t>
    </r>
  </si>
  <si>
    <t>Transpordisektoris rohevesiniku kasutamise miinimumnõue vastavalt TED 2018/2001 Artikkel 25(2)</t>
  </si>
  <si>
    <t>Selgitus: rohevesiniku tootmisel Taastuvenergia direktiivis 2018/2001 mittebioloogilist päritolu tootmisele seatud nõuetega Artiklis 25(2), 27(3) kooskõlas olev vesiniku tootmisel tekkiv kasvuohoonegaaside heite vältimine %-des võrreldes seatud miinimumeesmärgiga 70%.</t>
  </si>
  <si>
    <t>Selgitus: Kasvuhoonegaaside heitkoguste vähenemine, mis tuleneb muust kui bioloogilise päritoluga taastuvtoorainest toodetud vedelatest ja gaasilistest transpordikütustest, peab alates 1. jaanuarist 2021 olema vähemalt 70 %.</t>
  </si>
  <si>
    <t>Valikvastused taastuvenergia tootmise kohta</t>
  </si>
  <si>
    <t>EI</t>
  </si>
  <si>
    <t>Elektri korral, mis kalifitseerub taastuvelektriks vastavalt taastuvenergia direktiivis 2028/2001 toodud metoodikale, loetkase kasvuhoonegaaside heide (antud arvutuskäigus) nulliks.</t>
  </si>
  <si>
    <t>Täiendav teave ja kasutatud andmed:</t>
  </si>
  <si>
    <r>
      <t>Säästetud CO</t>
    </r>
    <r>
      <rPr>
        <vertAlign val="subscript"/>
        <sz val="11"/>
        <color theme="1" tint="0.499984740745262"/>
        <rFont val="Calibri"/>
        <family val="2"/>
        <scheme val="minor"/>
      </rPr>
      <t>2e</t>
    </r>
    <r>
      <rPr>
        <sz val="11"/>
        <color theme="1" tint="0.499984740745262"/>
        <rFont val="Calibri"/>
        <family val="2"/>
        <scheme val="minor"/>
      </rPr>
      <t xml:space="preserve"> = (E</t>
    </r>
    <r>
      <rPr>
        <vertAlign val="subscript"/>
        <sz val="11"/>
        <color theme="1" tint="0.499984740745262"/>
        <rFont val="Calibri"/>
        <family val="2"/>
        <scheme val="minor"/>
      </rPr>
      <t xml:space="preserve"> F</t>
    </r>
    <r>
      <rPr>
        <sz val="11"/>
        <color theme="1" tint="0.499984740745262"/>
        <rFont val="Calibri"/>
        <family val="2"/>
        <scheme val="minor"/>
      </rPr>
      <t xml:space="preserve"> – E ) / E</t>
    </r>
    <r>
      <rPr>
        <vertAlign val="subscript"/>
        <sz val="11"/>
        <color theme="1" tint="0.499984740745262"/>
        <rFont val="Calibri"/>
        <family val="2"/>
        <scheme val="minor"/>
      </rPr>
      <t xml:space="preserve"> F</t>
    </r>
  </si>
  <si>
    <r>
      <t xml:space="preserve">E </t>
    </r>
    <r>
      <rPr>
        <vertAlign val="subscript"/>
        <sz val="11"/>
        <color theme="1" tint="0.499984740745262"/>
        <rFont val="Calibri"/>
        <family val="2"/>
        <scheme val="minor"/>
      </rPr>
      <t>F</t>
    </r>
    <r>
      <rPr>
        <sz val="11"/>
        <color theme="1" tint="0.499984740745262"/>
        <rFont val="Calibri"/>
        <family val="2"/>
        <scheme val="minor"/>
      </rPr>
      <t xml:space="preserve"> = koguemissioon, mis tuleneks võrreldava koguse fossiilkütuse kasutamisest</t>
    </r>
  </si>
  <si>
    <r>
      <t xml:space="preserve">Kõigile transpordis kasutatavatale mittebioloogilist päritolu vedel- ja gaaskütustele ning taaskasutatud süsinikkütustele on Artiklis 25(2) viidatud kasutatav fossiilkütuse võrdlusväärtus </t>
    </r>
    <r>
      <rPr>
        <b/>
        <u/>
        <sz val="11"/>
        <color theme="1" tint="0.499984740745262"/>
        <rFont val="Calibri"/>
        <family val="2"/>
        <scheme val="minor"/>
      </rPr>
      <t>94 gCO</t>
    </r>
    <r>
      <rPr>
        <b/>
        <u/>
        <vertAlign val="subscript"/>
        <sz val="11"/>
        <color theme="1" tint="0.499984740745262"/>
        <rFont val="Calibri"/>
        <family val="2"/>
        <scheme val="minor"/>
      </rPr>
      <t>2e</t>
    </r>
    <r>
      <rPr>
        <b/>
        <u/>
        <sz val="11"/>
        <color theme="1" tint="0.499984740745262"/>
        <rFont val="Calibri"/>
        <family val="2"/>
        <scheme val="minor"/>
      </rPr>
      <t>/MJ</t>
    </r>
    <r>
      <rPr>
        <sz val="11"/>
        <color theme="1" tint="0.499984740745262"/>
        <rFont val="Calibri"/>
        <family val="2"/>
        <scheme val="minor"/>
      </rPr>
      <t>.</t>
    </r>
  </si>
  <si>
    <r>
      <rPr>
        <b/>
        <u/>
        <sz val="11"/>
        <color theme="1" tint="0.499984740745262"/>
        <rFont val="Calibri"/>
        <family val="2"/>
        <scheme val="minor"/>
      </rPr>
      <t>gCO</t>
    </r>
    <r>
      <rPr>
        <b/>
        <u/>
        <vertAlign val="subscript"/>
        <sz val="11"/>
        <color theme="1" tint="0.499984740745262"/>
        <rFont val="Calibri"/>
        <family val="2"/>
        <scheme val="minor"/>
      </rPr>
      <t>2e</t>
    </r>
    <r>
      <rPr>
        <b/>
        <u/>
        <sz val="11"/>
        <color theme="1" tint="0.499984740745262"/>
        <rFont val="Calibri"/>
        <family val="2"/>
        <scheme val="minor"/>
      </rPr>
      <t>/MJ</t>
    </r>
    <r>
      <rPr>
        <sz val="11"/>
        <color theme="1" tint="0.499984740745262"/>
        <rFont val="Calibri"/>
        <family val="2"/>
        <scheme val="minor"/>
      </rPr>
      <t>.</t>
    </r>
  </si>
  <si>
    <r>
      <rPr>
        <b/>
        <u/>
        <sz val="11"/>
        <color theme="1" tint="0.499984740745262"/>
        <rFont val="Calibri"/>
        <family val="2"/>
        <scheme val="minor"/>
      </rPr>
      <t>kgCO</t>
    </r>
    <r>
      <rPr>
        <b/>
        <u/>
        <vertAlign val="subscript"/>
        <sz val="11"/>
        <color theme="1" tint="0.499984740745262"/>
        <rFont val="Calibri"/>
        <family val="2"/>
        <scheme val="minor"/>
      </rPr>
      <t>2e</t>
    </r>
    <r>
      <rPr>
        <b/>
        <u/>
        <sz val="11"/>
        <color theme="1" tint="0.499984740745262"/>
        <rFont val="Calibri"/>
        <family val="2"/>
        <scheme val="minor"/>
      </rPr>
      <t>/GJ</t>
    </r>
    <r>
      <rPr>
        <sz val="11"/>
        <color theme="1" tint="0.499984740745262"/>
        <rFont val="Calibri"/>
        <family val="2"/>
        <scheme val="minor"/>
      </rPr>
      <t>.</t>
    </r>
  </si>
  <si>
    <r>
      <rPr>
        <b/>
        <u/>
        <sz val="11"/>
        <color theme="1" tint="0.499984740745262"/>
        <rFont val="Calibri"/>
        <family val="2"/>
        <scheme val="minor"/>
      </rPr>
      <t>t CO</t>
    </r>
    <r>
      <rPr>
        <b/>
        <u/>
        <vertAlign val="subscript"/>
        <sz val="11"/>
        <color theme="1" tint="0.499984740745262"/>
        <rFont val="Calibri"/>
        <family val="2"/>
        <scheme val="minor"/>
      </rPr>
      <t>2e</t>
    </r>
    <r>
      <rPr>
        <b/>
        <u/>
        <sz val="11"/>
        <color theme="1" tint="0.499984740745262"/>
        <rFont val="Calibri"/>
        <family val="2"/>
        <scheme val="minor"/>
      </rPr>
      <t>/TJ</t>
    </r>
    <r>
      <rPr>
        <sz val="11"/>
        <color theme="1" tint="0.499984740745262"/>
        <rFont val="Calibri"/>
        <family val="2"/>
        <scheme val="minor"/>
      </rPr>
      <t>.</t>
    </r>
  </si>
  <si>
    <r>
      <t xml:space="preserve">0) Lehel Lähteained ja kütused on kasutatud ühikut g CO2 ekv /MJ. Teisendades g CO2 ekv /MJ /1000 * TJ = 10ˇ6 g CO2 ekv /1000 /MJ * MJ = CO2 ekv t </t>
    </r>
    <r>
      <rPr>
        <b/>
        <sz val="11"/>
        <color theme="1" tint="0.499984740745262"/>
        <rFont val="Calibri"/>
        <family val="2"/>
        <scheme val="minor"/>
      </rPr>
      <t>/ 1000</t>
    </r>
    <r>
      <rPr>
        <sz val="11"/>
        <color theme="1" tint="0.499984740745262"/>
        <rFont val="Calibri"/>
        <family val="2"/>
        <scheme val="minor"/>
      </rPr>
      <t xml:space="preserve"> = CO2 ekv kt</t>
    </r>
  </si>
  <si>
    <r>
      <t xml:space="preserve">/ </t>
    </r>
    <r>
      <rPr>
        <b/>
        <sz val="11"/>
        <color theme="1" tint="0.499984740745262"/>
        <rFont val="Calibri"/>
        <family val="2"/>
        <scheme val="minor"/>
      </rPr>
      <t>277.778</t>
    </r>
    <r>
      <rPr>
        <sz val="11"/>
        <color theme="1" tint="0.499984740745262"/>
        <rFont val="Calibri"/>
        <family val="2"/>
        <scheme val="minor"/>
      </rPr>
      <t xml:space="preserve"> - teisendus TJ -&gt;MWh, 1 TJ = 277,778 MWh;</t>
    </r>
  </si>
  <si>
    <r>
      <t xml:space="preserve">Teisendus CO2 ekv t </t>
    </r>
    <r>
      <rPr>
        <b/>
        <sz val="11"/>
        <color theme="1" tint="0.499984740745262"/>
        <rFont val="Calibri"/>
        <family val="2"/>
        <scheme val="minor"/>
      </rPr>
      <t xml:space="preserve">/ 1000 </t>
    </r>
    <r>
      <rPr>
        <sz val="11"/>
        <color theme="1" tint="0.499984740745262"/>
        <rFont val="Calibri"/>
        <family val="2"/>
        <scheme val="minor"/>
      </rPr>
      <t>= CO2 ekv kt</t>
    </r>
  </si>
  <si>
    <r>
      <rPr>
        <b/>
        <sz val="11"/>
        <color theme="1" tint="0.499984740745262"/>
        <rFont val="Calibri"/>
        <family val="2"/>
        <scheme val="minor"/>
      </rPr>
      <t>0.036</t>
    </r>
    <r>
      <rPr>
        <sz val="11"/>
        <color theme="1" tint="0.499984740745262"/>
        <rFont val="Calibri"/>
        <family val="2"/>
        <scheme val="minor"/>
      </rPr>
      <t xml:space="preserve"> tCO2ekv/TJ - biogaasi eriheide, mille arvutamisel on arvestatud CH4 heiteks 0.0025 kg CH4/TJ  *  GWP(CH4)  25 t CO2/tCH4 ja N2O eriheide 0.12 kg/TJ * GWP(N2O) 298 tCO2/tN2O. GWP - </t>
    </r>
    <r>
      <rPr>
        <i/>
        <sz val="11"/>
        <color theme="1" tint="0.499984740745262"/>
        <rFont val="Calibri"/>
        <family val="2"/>
        <scheme val="minor"/>
      </rPr>
      <t>greenhouse warming potential</t>
    </r>
    <r>
      <rPr>
        <sz val="11"/>
        <color theme="1" tint="0.499984740745262"/>
        <rFont val="Calibri"/>
        <family val="2"/>
        <scheme val="minor"/>
      </rPr>
      <t xml:space="preserve"> - on antud kasvuhoonegaasi mõjukordaja atmsofääris võrreldes CO2-ga 100 aasta jooksul. Andmete allikas: Estonia. 2022 National Inventory Report (NIR) | UNFCCC fail NIR_EST_1990-2020_15.04.2020.pdf, lk 82 tabelist 3.10 </t>
    </r>
    <r>
      <rPr>
        <b/>
        <i/>
        <sz val="11"/>
        <color theme="1" tint="0.499984740745262"/>
        <rFont val="Calibri"/>
        <family val="2"/>
        <scheme val="minor"/>
      </rPr>
      <t>Biogas</t>
    </r>
    <r>
      <rPr>
        <i/>
        <sz val="11"/>
        <color theme="1" tint="0.499984740745262"/>
        <rFont val="Calibri"/>
        <family val="2"/>
        <scheme val="minor"/>
      </rPr>
      <t>.</t>
    </r>
  </si>
  <si>
    <r>
      <rPr>
        <b/>
        <sz val="11"/>
        <color theme="1" tint="0.499984740745262"/>
        <rFont val="Calibri"/>
        <family val="2"/>
        <scheme val="minor"/>
      </rPr>
      <t>0,070</t>
    </r>
    <r>
      <rPr>
        <sz val="11"/>
        <color theme="1" tint="0.499984740745262"/>
        <rFont val="Calibri"/>
        <family val="2"/>
        <scheme val="minor"/>
      </rPr>
      <t xml:space="preserve"> tCO2ekv/TJ - biomassi eriheide, mille arvutamisel on arvestatud CH4 heiteks 0.29 kg CH4/TJ  *  GWP(CH4)  25 t ekv CO2/tCH4 ja N2O eriheide 0.21 kg/TJ * GWP(N2O) 298 t ekv CO2/tN2O. GWP - </t>
    </r>
    <r>
      <rPr>
        <i/>
        <sz val="11"/>
        <color theme="1" tint="0.499984740745262"/>
        <rFont val="Calibri"/>
        <family val="2"/>
        <scheme val="minor"/>
      </rPr>
      <t>greenhouse warming potential</t>
    </r>
    <r>
      <rPr>
        <sz val="11"/>
        <color theme="1" tint="0.499984740745262"/>
        <rFont val="Calibri"/>
        <family val="2"/>
        <scheme val="minor"/>
      </rPr>
      <t xml:space="preserve"> - on antud kasvuhoonegaasi mõjukordaja atmsofääris võrreldes CO2-ga 100 aasta jooksul. Andmete allikas:    Estonia. 2022 National Inventory Report (NIR) | UNFCCC fail NIR_EST_1990-2020_15.04.2020.pdf, lk 81 tabelist 3.10 </t>
    </r>
    <r>
      <rPr>
        <b/>
        <i/>
        <sz val="11"/>
        <color theme="1" tint="0.499984740745262"/>
        <rFont val="Calibri"/>
        <family val="2"/>
        <scheme val="minor"/>
      </rPr>
      <t>Solid Biomass</t>
    </r>
  </si>
  <si>
    <r>
      <rPr>
        <b/>
        <sz val="11"/>
        <color theme="1" tint="0.499984740745262"/>
        <rFont val="Calibri"/>
        <family val="2"/>
        <scheme val="minor"/>
      </rPr>
      <t>0.589</t>
    </r>
    <r>
      <rPr>
        <sz val="11"/>
        <color theme="1" tint="0.499984740745262"/>
        <rFont val="Calibri"/>
        <family val="2"/>
        <scheme val="minor"/>
      </rPr>
      <t xml:space="preserve"> kt CO2 ekv/GWh - Eesti elektriheide 2020. aastal, arvestades taastuvenergia osakaal 25%. Statistikaameti energiabilanss: https://andmed.stat.ee/et/stat/majandus__energeetika__energia-tarbimine-ja-tootmine__aastastatistika/KE0240</t>
    </r>
  </si>
  <si>
    <r>
      <rPr>
        <b/>
        <sz val="11"/>
        <color theme="1" tint="0.499984740745262"/>
        <rFont val="Calibri"/>
        <family val="2"/>
        <scheme val="minor"/>
      </rPr>
      <t>0.822</t>
    </r>
    <r>
      <rPr>
        <sz val="11"/>
        <color theme="1" tint="0.499984740745262"/>
        <rFont val="Calibri"/>
        <family val="2"/>
        <scheme val="minor"/>
      </rPr>
      <t xml:space="preserve"> kt CO2 ekv/GWh - Eesti elektriheide 2020. aastal, arvestades taastuvenergia osakaal 0%. Statistikaameti energiabilanss: https://andmed.stat.ee/et/stat/majandus__energeetika__energia-tarbimine-ja-tootmine__aastastatistika/KE0240</t>
    </r>
  </si>
  <si>
    <r>
      <t>Teisendus CO2 ekv kt / GWh  = CO2 ekv kt / MWh</t>
    </r>
    <r>
      <rPr>
        <b/>
        <sz val="11"/>
        <color theme="1" tint="0.499984740745262"/>
        <rFont val="Calibri"/>
        <family val="2"/>
        <scheme val="minor"/>
      </rPr>
      <t xml:space="preserve"> / 1000</t>
    </r>
  </si>
  <si>
    <r>
      <t>6)</t>
    </r>
    <r>
      <rPr>
        <b/>
        <sz val="11"/>
        <color theme="1" tint="0.499984740745262"/>
        <rFont val="Calibri"/>
        <family val="2"/>
        <scheme val="minor"/>
      </rPr>
      <t xml:space="preserve"> 55.29</t>
    </r>
    <r>
      <rPr>
        <sz val="11"/>
        <color theme="1" tint="0.499984740745262"/>
        <rFont val="Calibri"/>
        <family val="2"/>
        <scheme val="minor"/>
      </rPr>
      <t xml:space="preserve"> tCO2ekv/TJ - maagaasi eriheide, kus arvestades CO</t>
    </r>
    <r>
      <rPr>
        <vertAlign val="subscript"/>
        <sz val="11"/>
        <color theme="1" tint="0.499984740745262"/>
        <rFont val="Calibri"/>
        <family val="2"/>
        <scheme val="minor"/>
      </rPr>
      <t>2</t>
    </r>
    <r>
      <rPr>
        <sz val="11"/>
        <color theme="1" tint="0.499984740745262"/>
        <rFont val="Calibri"/>
        <family val="2"/>
        <scheme val="minor"/>
      </rPr>
      <t xml:space="preserve"> eriheide 55.26 t/TJ,  CH</t>
    </r>
    <r>
      <rPr>
        <vertAlign val="subscript"/>
        <sz val="11"/>
        <color theme="1" tint="0.499984740745262"/>
        <rFont val="Calibri"/>
        <family val="2"/>
        <scheme val="minor"/>
      </rPr>
      <t>4</t>
    </r>
    <r>
      <rPr>
        <sz val="11"/>
        <color theme="1" tint="0.499984740745262"/>
        <rFont val="Calibri"/>
        <family val="2"/>
        <scheme val="minor"/>
      </rPr>
      <t xml:space="preserve"> eriheide 0.003 kg/TJ ja N</t>
    </r>
    <r>
      <rPr>
        <vertAlign val="subscript"/>
        <sz val="11"/>
        <color theme="1" tint="0.499984740745262"/>
        <rFont val="Calibri"/>
        <family val="2"/>
        <scheme val="minor"/>
      </rPr>
      <t>2</t>
    </r>
    <r>
      <rPr>
        <sz val="11"/>
        <color theme="1" tint="0.499984740745262"/>
        <rFont val="Calibri"/>
        <family val="2"/>
        <scheme val="minor"/>
      </rPr>
      <t>O eriheide 0.12 kg/TJ.</t>
    </r>
    <r>
      <rPr>
        <u/>
        <sz val="11"/>
        <color theme="1" tint="0.499984740745262"/>
        <rFont val="Calibri"/>
        <family val="2"/>
        <scheme val="minor"/>
      </rPr>
      <t xml:space="preserve"> Estonia. 2022 National Inventory Report (NIR)</t>
    </r>
    <r>
      <rPr>
        <sz val="11"/>
        <color theme="1" tint="0.499984740745262"/>
        <rFont val="Calibri"/>
        <family val="2"/>
        <scheme val="minor"/>
      </rPr>
      <t xml:space="preserve"> | UNFCCC fail NIR_EST_1990-2020_15.04.2020.pdf, lk 80 tabelist 3.9 Maagaasi süsiniku eriheide (</t>
    </r>
    <r>
      <rPr>
        <i/>
        <sz val="11"/>
        <color theme="1" tint="0.499984740745262"/>
        <rFont val="Calibri"/>
        <family val="2"/>
        <scheme val="minor"/>
      </rPr>
      <t>Carbon emission factors): Natural Gas</t>
    </r>
    <r>
      <rPr>
        <sz val="11"/>
        <color theme="1" tint="0.499984740745262"/>
        <rFont val="Calibri"/>
        <family val="2"/>
        <scheme val="minor"/>
      </rPr>
      <t xml:space="preserve"> väärtus CEF, tC/TJ = 15.07 tC/TJ, ümber arvutatuna CO</t>
    </r>
    <r>
      <rPr>
        <vertAlign val="subscript"/>
        <sz val="11"/>
        <color theme="1" tint="0.499984740745262"/>
        <rFont val="Calibri"/>
        <family val="2"/>
        <scheme val="minor"/>
      </rPr>
      <t>2e</t>
    </r>
    <r>
      <rPr>
        <sz val="11"/>
        <color theme="1" tint="0.499984740745262"/>
        <rFont val="Calibri"/>
        <family val="2"/>
        <scheme val="minor"/>
      </rPr>
      <t xml:space="preserve"> eriheiteks: 15.07 tC/TJ * M(CO</t>
    </r>
    <r>
      <rPr>
        <vertAlign val="subscript"/>
        <sz val="11"/>
        <color theme="1" tint="0.499984740745262"/>
        <rFont val="Calibri"/>
        <family val="2"/>
        <scheme val="minor"/>
      </rPr>
      <t>2</t>
    </r>
    <r>
      <rPr>
        <sz val="11"/>
        <color theme="1" tint="0.499984740745262"/>
        <rFont val="Calibri"/>
        <family val="2"/>
        <scheme val="minor"/>
      </rPr>
      <t>) 44 (g/mol) / M(C) 12 (g/mol) = 55,26 tCO</t>
    </r>
    <r>
      <rPr>
        <vertAlign val="subscript"/>
        <sz val="11"/>
        <color theme="1" tint="0.499984740745262"/>
        <rFont val="Calibri"/>
        <family val="2"/>
        <scheme val="minor"/>
      </rPr>
      <t>2</t>
    </r>
    <r>
      <rPr>
        <sz val="11"/>
        <color theme="1" tint="0.499984740745262"/>
        <rFont val="Calibri"/>
        <family val="2"/>
        <scheme val="minor"/>
      </rPr>
      <t>/TJ – 44 CO</t>
    </r>
    <r>
      <rPr>
        <vertAlign val="subscript"/>
        <sz val="11"/>
        <color theme="1" tint="0.499984740745262"/>
        <rFont val="Calibri"/>
        <family val="2"/>
        <scheme val="minor"/>
      </rPr>
      <t>2</t>
    </r>
    <r>
      <rPr>
        <sz val="11"/>
        <color theme="1" tint="0.499984740745262"/>
        <rFont val="Calibri"/>
        <family val="2"/>
        <scheme val="minor"/>
      </rPr>
      <t xml:space="preserve"> aatommass ja 12 süsiniku aatommass, CH</t>
    </r>
    <r>
      <rPr>
        <vertAlign val="subscript"/>
        <sz val="11"/>
        <color theme="1" tint="0.499984740745262"/>
        <rFont val="Calibri"/>
        <family val="2"/>
        <scheme val="minor"/>
      </rPr>
      <t>4</t>
    </r>
    <r>
      <rPr>
        <sz val="11"/>
        <color theme="1" tint="0.499984740745262"/>
        <rFont val="Calibri"/>
        <family val="2"/>
        <scheme val="minor"/>
      </rPr>
      <t xml:space="preserve"> ja N</t>
    </r>
    <r>
      <rPr>
        <vertAlign val="subscript"/>
        <sz val="11"/>
        <color theme="1" tint="0.499984740745262"/>
        <rFont val="Calibri"/>
        <family val="2"/>
        <scheme val="minor"/>
      </rPr>
      <t>2</t>
    </r>
    <r>
      <rPr>
        <sz val="11"/>
        <color theme="1" tint="0.499984740745262"/>
        <rFont val="Calibri"/>
        <family val="2"/>
        <scheme val="minor"/>
      </rPr>
      <t>O erihetited lk 81 tabel 3.10 on toodud maagaasi (</t>
    </r>
    <r>
      <rPr>
        <b/>
        <i/>
        <sz val="11"/>
        <color theme="1" tint="0.499984740745262"/>
        <rFont val="Calibri"/>
        <family val="2"/>
        <scheme val="minor"/>
      </rPr>
      <t>Natural Gas</t>
    </r>
    <r>
      <rPr>
        <sz val="11"/>
        <color theme="1" tint="0.499984740745262"/>
        <rFont val="Calibri"/>
        <family val="2"/>
        <scheme val="minor"/>
      </rPr>
      <t xml:space="preserve">) erihetied antud gaasidele. </t>
    </r>
  </si>
  <si>
    <r>
      <t xml:space="preserve">Teisendus CO2 ekv kg </t>
    </r>
    <r>
      <rPr>
        <b/>
        <sz val="11"/>
        <color theme="1" tint="0.499984740745262"/>
        <rFont val="Calibri"/>
        <family val="2"/>
        <scheme val="minor"/>
      </rPr>
      <t xml:space="preserve">/ 1000000 </t>
    </r>
    <r>
      <rPr>
        <sz val="11"/>
        <color theme="1" tint="0.499984740745262"/>
        <rFont val="Calibri"/>
        <family val="2"/>
        <scheme val="minor"/>
      </rPr>
      <t>= CO2 ekv kt</t>
    </r>
  </si>
  <si>
    <r>
      <t xml:space="preserve">Teisendus MJ </t>
    </r>
    <r>
      <rPr>
        <b/>
        <sz val="11"/>
        <color theme="1" tint="0.499984740745262"/>
        <rFont val="Calibri"/>
        <family val="2"/>
        <scheme val="minor"/>
      </rPr>
      <t xml:space="preserve">/ 1000 </t>
    </r>
    <r>
      <rPr>
        <sz val="11"/>
        <color theme="1" tint="0.499984740745262"/>
        <rFont val="Calibri"/>
        <family val="2"/>
        <scheme val="minor"/>
      </rPr>
      <t xml:space="preserve">= GJ, TJ / </t>
    </r>
    <r>
      <rPr>
        <b/>
        <sz val="11"/>
        <color theme="1" tint="0.499984740745262"/>
        <rFont val="Calibri"/>
        <family val="2"/>
        <scheme val="minor"/>
      </rPr>
      <t>1000</t>
    </r>
    <r>
      <rPr>
        <sz val="11"/>
        <color theme="1" tint="0.499984740745262"/>
        <rFont val="Calibri"/>
        <family val="2"/>
        <scheme val="minor"/>
      </rPr>
      <t xml:space="preserve"> = GJ</t>
    </r>
  </si>
  <si>
    <r>
      <t>CO</t>
    </r>
    <r>
      <rPr>
        <vertAlign val="subscript"/>
        <sz val="11"/>
        <color theme="1" tint="0.499984740745262"/>
        <rFont val="Calibri"/>
        <family val="2"/>
        <scheme val="minor"/>
      </rPr>
      <t>2e</t>
    </r>
    <r>
      <rPr>
        <sz val="11"/>
        <color theme="1" tint="0.499984740745262"/>
        <rFont val="Calibri"/>
        <family val="2"/>
        <scheme val="minor"/>
      </rPr>
      <t xml:space="preserve"> arvutamisel on arvestatud CH</t>
    </r>
    <r>
      <rPr>
        <vertAlign val="subscript"/>
        <sz val="11"/>
        <color theme="1" tint="0.499984740745262"/>
        <rFont val="Calibri"/>
        <family val="2"/>
        <scheme val="minor"/>
      </rPr>
      <t>4</t>
    </r>
    <r>
      <rPr>
        <sz val="11"/>
        <color theme="1" tint="0.499984740745262"/>
        <rFont val="Calibri"/>
        <family val="2"/>
        <scheme val="minor"/>
      </rPr>
      <t xml:space="preserve"> heiteks  GWP(CH</t>
    </r>
    <r>
      <rPr>
        <vertAlign val="subscript"/>
        <sz val="11"/>
        <color theme="1" tint="0.499984740745262"/>
        <rFont val="Calibri"/>
        <family val="2"/>
        <scheme val="minor"/>
      </rPr>
      <t>4</t>
    </r>
    <r>
      <rPr>
        <sz val="11"/>
        <color theme="1" tint="0.499984740745262"/>
        <rFont val="Calibri"/>
        <family val="2"/>
        <scheme val="minor"/>
      </rPr>
      <t>)  = 25 t CO</t>
    </r>
    <r>
      <rPr>
        <vertAlign val="subscript"/>
        <sz val="11"/>
        <color theme="1" tint="0.499984740745262"/>
        <rFont val="Calibri"/>
        <family val="2"/>
        <scheme val="minor"/>
      </rPr>
      <t>2</t>
    </r>
    <r>
      <rPr>
        <sz val="11"/>
        <color theme="1" tint="0.499984740745262"/>
        <rFont val="Calibri"/>
        <family val="2"/>
        <scheme val="minor"/>
      </rPr>
      <t>/tCH</t>
    </r>
    <r>
      <rPr>
        <vertAlign val="subscript"/>
        <sz val="11"/>
        <color theme="1" tint="0.499984740745262"/>
        <rFont val="Calibri"/>
        <family val="2"/>
        <scheme val="minor"/>
      </rPr>
      <t>4</t>
    </r>
    <r>
      <rPr>
        <sz val="11"/>
        <color theme="1" tint="0.499984740745262"/>
        <rFont val="Calibri"/>
        <family val="2"/>
        <scheme val="minor"/>
      </rPr>
      <t xml:space="preserve">. GWP - </t>
    </r>
    <r>
      <rPr>
        <i/>
        <sz val="11"/>
        <color theme="1" tint="0.499984740745262"/>
        <rFont val="Calibri"/>
        <family val="2"/>
        <scheme val="minor"/>
      </rPr>
      <t>greenhouse warming potential</t>
    </r>
    <r>
      <rPr>
        <sz val="11"/>
        <color theme="1" tint="0.499984740745262"/>
        <rFont val="Calibri"/>
        <family val="2"/>
        <scheme val="minor"/>
      </rPr>
      <t xml:space="preserve"> - on antud kasvuhoonegaasi mõjukordaja atmsofääris võrreldes CO</t>
    </r>
    <r>
      <rPr>
        <vertAlign val="subscript"/>
        <sz val="11"/>
        <color theme="1" tint="0.499984740745262"/>
        <rFont val="Calibri"/>
        <family val="2"/>
        <scheme val="minor"/>
      </rPr>
      <t>2</t>
    </r>
    <r>
      <rPr>
        <sz val="11"/>
        <color theme="1" tint="0.499984740745262"/>
        <rFont val="Calibri"/>
        <family val="2"/>
        <scheme val="minor"/>
      </rPr>
      <t>-ga 100 aasta jooksul. Andmete allikas: Estonia. 2022 National Inventory Report (NIR) | UNFCCC fail NIR_EST_1990-2020_15.04.2020.pdf</t>
    </r>
  </si>
  <si>
    <r>
      <t>CO</t>
    </r>
    <r>
      <rPr>
        <vertAlign val="subscript"/>
        <sz val="11"/>
        <color theme="1" tint="0.499984740745262"/>
        <rFont val="Calibri"/>
        <family val="2"/>
        <scheme val="minor"/>
      </rPr>
      <t>2e</t>
    </r>
    <r>
      <rPr>
        <sz val="11"/>
        <color theme="1" tint="0.499984740745262"/>
        <rFont val="Calibri"/>
        <family val="2"/>
        <scheme val="minor"/>
      </rPr>
      <t xml:space="preserve"> arvutamisel on arvestatud N</t>
    </r>
    <r>
      <rPr>
        <vertAlign val="subscript"/>
        <sz val="11"/>
        <color theme="1" tint="0.499984740745262"/>
        <rFont val="Calibri"/>
        <family val="2"/>
        <scheme val="minor"/>
      </rPr>
      <t>2</t>
    </r>
    <r>
      <rPr>
        <sz val="11"/>
        <color theme="1" tint="0.499984740745262"/>
        <rFont val="Calibri"/>
        <family val="2"/>
        <scheme val="minor"/>
      </rPr>
      <t>O heiteks  GWP(N</t>
    </r>
    <r>
      <rPr>
        <vertAlign val="subscript"/>
        <sz val="11"/>
        <color theme="1" tint="0.499984740745262"/>
        <rFont val="Calibri"/>
        <family val="2"/>
        <scheme val="minor"/>
      </rPr>
      <t>2</t>
    </r>
    <r>
      <rPr>
        <sz val="11"/>
        <color theme="1" tint="0.499984740745262"/>
        <rFont val="Calibri"/>
        <family val="2"/>
        <scheme val="minor"/>
      </rPr>
      <t>O)  = 298 t CO</t>
    </r>
    <r>
      <rPr>
        <vertAlign val="subscript"/>
        <sz val="11"/>
        <color theme="1" tint="0.499984740745262"/>
        <rFont val="Calibri"/>
        <family val="2"/>
        <scheme val="minor"/>
      </rPr>
      <t>2</t>
    </r>
    <r>
      <rPr>
        <sz val="11"/>
        <color theme="1" tint="0.499984740745262"/>
        <rFont val="Calibri"/>
        <family val="2"/>
        <scheme val="minor"/>
      </rPr>
      <t>/t N</t>
    </r>
    <r>
      <rPr>
        <vertAlign val="subscript"/>
        <sz val="11"/>
        <color theme="1" tint="0.499984740745262"/>
        <rFont val="Calibri"/>
        <family val="2"/>
        <scheme val="minor"/>
      </rPr>
      <t>2</t>
    </r>
    <r>
      <rPr>
        <sz val="11"/>
        <color theme="1" tint="0.499984740745262"/>
        <rFont val="Calibri"/>
        <family val="2"/>
        <scheme val="minor"/>
      </rPr>
      <t xml:space="preserve">O. GWP - </t>
    </r>
    <r>
      <rPr>
        <i/>
        <sz val="11"/>
        <color theme="1" tint="0.499984740745262"/>
        <rFont val="Calibri"/>
        <family val="2"/>
        <scheme val="minor"/>
      </rPr>
      <t>greenhouse warming potential</t>
    </r>
    <r>
      <rPr>
        <sz val="11"/>
        <color theme="1" tint="0.499984740745262"/>
        <rFont val="Calibri"/>
        <family val="2"/>
        <scheme val="minor"/>
      </rPr>
      <t xml:space="preserve"> - on antud kasvuhoonegaasi mõjukordaja atmsofääris võrreldes CO</t>
    </r>
    <r>
      <rPr>
        <vertAlign val="subscript"/>
        <sz val="11"/>
        <color theme="1" tint="0.499984740745262"/>
        <rFont val="Calibri"/>
        <family val="2"/>
        <scheme val="minor"/>
      </rPr>
      <t>2</t>
    </r>
    <r>
      <rPr>
        <sz val="11"/>
        <color theme="1" tint="0.499984740745262"/>
        <rFont val="Calibri"/>
        <family val="2"/>
        <scheme val="minor"/>
      </rPr>
      <t>-ga 100 aasta jooksul. Andmete allikas: Estonia. 2022 National Inventory Report (NIR) | UNFCCC fail NIR_EST_1990-2020_15.04.2020.pdf</t>
    </r>
  </si>
  <si>
    <r>
      <t>Kütus, mille põletamisel tekkiv CO</t>
    </r>
    <r>
      <rPr>
        <b/>
        <vertAlign val="subscript"/>
        <sz val="11"/>
        <color theme="1" tint="0.499984740745262"/>
        <rFont val="Calibri"/>
        <family val="2"/>
        <scheme val="minor"/>
      </rPr>
      <t>2</t>
    </r>
    <r>
      <rPr>
        <b/>
        <sz val="11"/>
        <color theme="1" tint="0.499984740745262"/>
        <rFont val="Calibri"/>
        <family val="2"/>
        <scheme val="minor"/>
      </rPr>
      <t xml:space="preserve"> seotakse</t>
    </r>
  </si>
  <si>
    <r>
      <t>Kasutatava CO</t>
    </r>
    <r>
      <rPr>
        <b/>
        <vertAlign val="subscript"/>
        <sz val="11"/>
        <color theme="1" tint="0.499984740745262"/>
        <rFont val="Calibri"/>
        <family val="2"/>
        <scheme val="minor"/>
      </rPr>
      <t>2</t>
    </r>
    <r>
      <rPr>
        <b/>
        <sz val="11"/>
        <color theme="1" tint="0.499984740745262"/>
        <rFont val="Calibri"/>
        <family val="2"/>
        <scheme val="minor"/>
      </rPr>
      <t xml:space="preserve"> saamisviis</t>
    </r>
  </si>
  <si>
    <r>
      <t>Tööstuslik roheline CO</t>
    </r>
    <r>
      <rPr>
        <vertAlign val="subscript"/>
        <sz val="11"/>
        <color theme="1" tint="0.499984740745262"/>
        <rFont val="Calibri"/>
        <family val="2"/>
        <scheme val="minor"/>
      </rPr>
      <t>2</t>
    </r>
  </si>
  <si>
    <r>
      <t>Kütuse põletamisest tekkiv CO</t>
    </r>
    <r>
      <rPr>
        <vertAlign val="subscript"/>
        <sz val="11"/>
        <color theme="1" tint="0.499984740745262"/>
        <rFont val="Calibri"/>
        <family val="2"/>
        <scheme val="minor"/>
      </rPr>
      <t>2</t>
    </r>
  </si>
  <si>
    <t>TJ/MWh</t>
  </si>
  <si>
    <r>
      <rPr>
        <b/>
        <sz val="11"/>
        <color rgb="FF00B050"/>
        <rFont val="Calibri"/>
        <family val="2"/>
        <scheme val="minor"/>
      </rPr>
      <t>Valikvastus loendist JAH/EI</t>
    </r>
    <r>
      <rPr>
        <sz val="11"/>
        <color rgb="FF00B050"/>
        <rFont val="Calibri"/>
        <family val="2"/>
        <charset val="186"/>
        <scheme val="minor"/>
      </rPr>
      <t>. Käesolevale kinnitusele lisada taotluse dokumentides ka vastavad tõendavad marejalid, nt ell-lepped, eel-projektid.</t>
    </r>
  </si>
  <si>
    <t>Selgitus: tulemus on saadud lehtedelt "Tulemused Tööstus" ja "Tulemused Transport" deklareeritd transpordisektoris kasutatava rohevesiniku summeeritud väärtustest.</t>
  </si>
  <si>
    <t>Selgitus: kõigile transpordis kasutatavatale mittebioloogilist päritolu vedel- ja gaaskütustele ning taaskasutatud süsinikkütustele on Artiklis 25(2) viidatud kasutatav fossiilkütuse võrdlusväärtus 94 gCO2e/MJ. Ühikud on teisendatud.</t>
  </si>
  <si>
    <t>Teisendus: 1 TJ=0,277778 MWh</t>
  </si>
  <si>
    <t xml:space="preserve">C-H2: tooraine maagaas 1900+500 km raadiusest, kõrgrõhk gaasitorustik, kohalik võrk, aurureformimine lõppjaamas, kompresseerimine </t>
  </si>
  <si>
    <t>Sisesta soojustootmise kasutegur</t>
  </si>
  <si>
    <t>Rohevesiniku tootmisüksuse võimsus</t>
  </si>
  <si>
    <t>MW</t>
  </si>
  <si>
    <t>€/MW</t>
  </si>
  <si>
    <t>Toetuse suurus tootmisüksuse võimsuse ühiku kohta</t>
  </si>
  <si>
    <t xml:space="preserve">Sisestada projekti rohevesiniku tootmisüksuse võimsus. </t>
  </si>
  <si>
    <t>Selgitus: arvutusel on aluseks võetud toetuse määr ning kasutusele võetava rohevesiniku tootmisükuses võimsus MW, tulemus on kahe väärtuse jagatis. Tulemus on hindamiskriteeriumiks juhtudel, kui toetust küsitakse ainult rohevesiniku tootmisüksuse rajamiseks kogu tervkahelast ja muud tervikahela osad toetamisele ei kuulu ning toodetud rohevesinik kasutatakse täielikult keemiatööstuse lähteainete tootmiseks.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</si>
</sst>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0.0"/>
    <numFmt numFmtId="166" formatCode="0.000"/>
    <numFmt numFmtId="167" formatCode="0.00000"/>
    <numFmt numFmtId="168" formatCode="0.0000"/>
    <numFmt numFmtId="169" formatCode="_-* #,##0.00\ _F_-;\-* #,##0.00\ _F_-;_-* &quot;-&quot;??\ _F_-;_-@_-"/>
    <numFmt numFmtId="170" formatCode="#,##0.0000"/>
    <numFmt numFmtId="171" formatCode="#,##0.000"/>
    <numFmt numFmtId="172" formatCode="0.000000"/>
    <numFmt numFmtId="173" formatCode="0.0000000000"/>
  </numFmts>
  <fonts count="214">
    <font>
      <sz val="11"/>
      <color theme="1"/>
      <name val="Calibri"/>
      <family val="2"/>
      <charset val="186"/>
      <scheme val="minor"/>
    </font>
    <font>
      <sz val="11"/>
      <color rgb="FF006100"/>
      <name val="Calibri"/>
      <family val="2"/>
      <charset val="186"/>
      <scheme val="minor"/>
    </font>
    <font>
      <sz val="11"/>
      <color rgb="FF9C0006"/>
      <name val="Calibri"/>
      <family val="2"/>
      <charset val="186"/>
      <scheme val="minor"/>
    </font>
    <font>
      <b/>
      <sz val="10"/>
      <name val="Arial"/>
      <family val="2"/>
    </font>
    <font>
      <sz val="11"/>
      <name val="Calibri"/>
      <family val="2"/>
      <scheme val="minor"/>
    </font>
    <font>
      <sz val="10"/>
      <name val="Arial"/>
      <family val="2"/>
    </font>
    <font>
      <b/>
      <sz val="11"/>
      <color theme="1"/>
      <name val="Calibri"/>
      <family val="2"/>
      <scheme val="minor"/>
    </font>
    <font>
      <b/>
      <sz val="11"/>
      <name val="Calibri"/>
      <family val="2"/>
      <scheme val="minor"/>
    </font>
    <font>
      <sz val="11"/>
      <color theme="1"/>
      <name val="Calibri"/>
      <family val="2"/>
      <scheme val="minor"/>
    </font>
    <font>
      <u/>
      <sz val="11"/>
      <color theme="10"/>
      <name val="Calibri"/>
      <family val="2"/>
      <charset val="186"/>
      <scheme val="minor"/>
    </font>
    <font>
      <sz val="11"/>
      <color rgb="FF3F3F76"/>
      <name val="Calibri"/>
      <family val="2"/>
      <scheme val="minor"/>
    </font>
    <font>
      <sz val="11"/>
      <color rgb="FF00B050"/>
      <name val="Calibri"/>
      <family val="2"/>
      <charset val="186"/>
      <scheme val="minor"/>
    </font>
    <font>
      <sz val="11"/>
      <color rgb="FF00B050"/>
      <name val="Calibri"/>
      <family val="2"/>
      <scheme val="minor"/>
    </font>
    <font>
      <b/>
      <sz val="11"/>
      <color rgb="FF00B050"/>
      <name val="Calibri"/>
      <family val="2"/>
      <scheme val="minor"/>
    </font>
    <font>
      <b/>
      <u/>
      <sz val="11"/>
      <color rgb="FF00B050"/>
      <name val="Calibri"/>
      <family val="2"/>
      <scheme val="minor"/>
    </font>
    <font>
      <b/>
      <sz val="11"/>
      <color rgb="FFFF0000"/>
      <name val="Calibri"/>
      <family val="2"/>
      <scheme val="minor"/>
    </font>
    <font>
      <b/>
      <sz val="11"/>
      <color theme="1"/>
      <name val="Calibri"/>
      <family val="2"/>
      <charset val="186"/>
      <scheme val="minor"/>
    </font>
    <font>
      <i/>
      <sz val="11"/>
      <color theme="1"/>
      <name val="Calibri"/>
      <family val="2"/>
      <scheme val="minor"/>
    </font>
    <font>
      <i/>
      <sz val="11"/>
      <color rgb="FF00B050"/>
      <name val="Calibri"/>
      <family val="2"/>
      <scheme val="minor"/>
    </font>
    <font>
      <b/>
      <sz val="8"/>
      <color theme="0"/>
      <name val="Calibri"/>
      <family val="2"/>
      <charset val="186"/>
      <scheme val="minor"/>
    </font>
    <font>
      <b/>
      <vertAlign val="subscript"/>
      <sz val="10"/>
      <color theme="0"/>
      <name val="Arial"/>
      <family val="2"/>
    </font>
    <font>
      <vertAlign val="subscript"/>
      <sz val="11"/>
      <color theme="1"/>
      <name val="Calibri"/>
      <family val="2"/>
      <scheme val="minor"/>
    </font>
    <font>
      <sz val="11"/>
      <name val="Calibri"/>
      <family val="2"/>
      <charset val="186"/>
      <scheme val="minor"/>
    </font>
    <font>
      <sz val="11"/>
      <color rgb="FFFF0000"/>
      <name val="Calibri"/>
      <family val="2"/>
      <scheme val="minor"/>
    </font>
    <font>
      <b/>
      <i/>
      <sz val="11"/>
      <color rgb="FF00B050"/>
      <name val="Calibri"/>
      <family val="2"/>
      <scheme val="minor"/>
    </font>
    <font>
      <sz val="8"/>
      <name val="Calibri"/>
      <family val="2"/>
      <charset val="186"/>
      <scheme val="minor"/>
    </font>
    <font>
      <sz val="8"/>
      <color theme="1"/>
      <name val="Calibri"/>
      <family val="2"/>
      <charset val="186"/>
      <scheme val="minor"/>
    </font>
    <font>
      <b/>
      <u/>
      <sz val="11"/>
      <color theme="1"/>
      <name val="Calibri"/>
      <family val="2"/>
      <charset val="186"/>
      <scheme val="minor"/>
    </font>
    <font>
      <sz val="11"/>
      <color rgb="FFC00000"/>
      <name val="Calibri"/>
      <family val="2"/>
      <charset val="186"/>
      <scheme val="minor"/>
    </font>
    <font>
      <sz val="12"/>
      <color rgb="FF00B050"/>
      <name val="Times New Roman"/>
      <family val="1"/>
    </font>
    <font>
      <sz val="11"/>
      <color theme="1"/>
      <name val="Calibri"/>
      <family val="2"/>
      <charset val="186"/>
      <scheme val="minor"/>
    </font>
    <font>
      <sz val="11"/>
      <color rgb="FFC00000"/>
      <name val="Calibri"/>
      <family val="2"/>
      <scheme val="minor"/>
    </font>
    <font>
      <b/>
      <sz val="11"/>
      <color rgb="FFC00000"/>
      <name val="Calibri"/>
      <family val="2"/>
      <scheme val="minor"/>
    </font>
    <font>
      <sz val="11"/>
      <color rgb="FFFF0000"/>
      <name val="Calibri"/>
      <family val="2"/>
      <charset val="186"/>
      <scheme val="minor"/>
    </font>
    <font>
      <b/>
      <sz val="10"/>
      <name val="Arial"/>
      <family val="2"/>
      <charset val="186"/>
    </font>
    <font>
      <b/>
      <vertAlign val="subscript"/>
      <sz val="10"/>
      <name val="Arial"/>
      <family val="2"/>
      <charset val="186"/>
    </font>
    <font>
      <b/>
      <sz val="10"/>
      <color indexed="30"/>
      <name val="Arial"/>
      <family val="2"/>
      <charset val="186"/>
    </font>
    <font>
      <b/>
      <vertAlign val="subscript"/>
      <sz val="10"/>
      <color indexed="30"/>
      <name val="Arial"/>
      <family val="2"/>
      <charset val="186"/>
    </font>
    <font>
      <sz val="10"/>
      <color indexed="30"/>
      <name val="Arial"/>
      <family val="2"/>
      <charset val="186"/>
    </font>
    <font>
      <b/>
      <sz val="9"/>
      <color indexed="81"/>
      <name val="Tahoma"/>
      <family val="2"/>
      <charset val="186"/>
    </font>
    <font>
      <sz val="9"/>
      <color indexed="81"/>
      <name val="Tahoma"/>
      <family val="2"/>
      <charset val="186"/>
    </font>
    <font>
      <sz val="10"/>
      <name val="Arial"/>
      <family val="2"/>
      <charset val="186"/>
    </font>
    <font>
      <sz val="11"/>
      <color rgb="FF1F497D"/>
      <name val="Calibri"/>
      <family val="2"/>
      <scheme val="minor"/>
    </font>
    <font>
      <i/>
      <sz val="11"/>
      <color rgb="FFFF0000"/>
      <name val="Calibri"/>
      <family val="2"/>
      <scheme val="minor"/>
    </font>
    <font>
      <i/>
      <sz val="11"/>
      <name val="Calibri"/>
      <family val="2"/>
      <scheme val="minor"/>
    </font>
    <font>
      <vertAlign val="subscript"/>
      <sz val="11"/>
      <name val="Calibri"/>
      <family val="2"/>
      <scheme val="minor"/>
    </font>
    <font>
      <strike/>
      <sz val="11"/>
      <color rgb="FF00B050"/>
      <name val="Calibri"/>
      <family val="2"/>
      <scheme val="minor"/>
    </font>
    <font>
      <strike/>
      <sz val="11"/>
      <color theme="1"/>
      <name val="Calibri"/>
      <family val="2"/>
      <scheme val="minor"/>
    </font>
    <font>
      <strike/>
      <sz val="11"/>
      <color theme="1"/>
      <name val="Calibri"/>
      <family val="2"/>
      <charset val="186"/>
      <scheme val="minor"/>
    </font>
    <font>
      <vertAlign val="subscript"/>
      <sz val="11"/>
      <color rgb="FF00B050"/>
      <name val="Calibri"/>
      <family val="2"/>
      <scheme val="minor"/>
    </font>
    <font>
      <b/>
      <u/>
      <sz val="11"/>
      <color theme="1"/>
      <name val="Calibri"/>
      <family val="2"/>
      <scheme val="minor"/>
    </font>
    <font>
      <i/>
      <sz val="11"/>
      <color rgb="FFC00000"/>
      <name val="Calibri"/>
      <family val="2"/>
      <scheme val="minor"/>
    </font>
    <font>
      <b/>
      <i/>
      <sz val="11"/>
      <color rgb="FFFF0000"/>
      <name val="Calibri"/>
      <family val="2"/>
      <scheme val="minor"/>
    </font>
    <font>
      <b/>
      <sz val="12"/>
      <name val="Times New Roman"/>
      <family val="1"/>
    </font>
    <font>
      <sz val="9"/>
      <color indexed="8"/>
      <name val="Times New Roman"/>
      <family val="1"/>
    </font>
    <font>
      <b/>
      <sz val="9"/>
      <name val="Times New Roman"/>
      <family val="1"/>
    </font>
    <font>
      <b/>
      <vertAlign val="subscript"/>
      <sz val="9"/>
      <name val="Times New Roman"/>
      <family val="1"/>
    </font>
    <font>
      <sz val="9"/>
      <name val="Times New Roman"/>
      <family val="1"/>
    </font>
    <font>
      <i/>
      <sz val="9"/>
      <name val="Times New Roman"/>
      <family val="1"/>
    </font>
    <font>
      <b/>
      <vertAlign val="superscript"/>
      <sz val="9"/>
      <name val="Times New Roman"/>
      <family val="1"/>
    </font>
    <font>
      <vertAlign val="superscript"/>
      <sz val="9"/>
      <name val="Times New Roman"/>
      <family val="1"/>
    </font>
    <font>
      <vertAlign val="superscript"/>
      <sz val="9"/>
      <color indexed="8"/>
      <name val="Times New Roman"/>
      <family val="1"/>
    </font>
    <font>
      <i/>
      <sz val="9"/>
      <color indexed="8"/>
      <name val="Times New Roman"/>
      <family val="1"/>
    </font>
    <font>
      <b/>
      <sz val="12"/>
      <color indexed="8"/>
      <name val="Times New Roman"/>
      <family val="1"/>
    </font>
    <font>
      <sz val="12"/>
      <color indexed="8"/>
      <name val="Times New Roman"/>
      <family val="1"/>
    </font>
    <font>
      <sz val="12"/>
      <name val="Times New Roman"/>
      <family val="1"/>
    </font>
    <font>
      <sz val="11"/>
      <color indexed="8"/>
      <name val="Calibri"/>
      <family val="2"/>
    </font>
    <font>
      <u/>
      <sz val="10"/>
      <color indexed="12"/>
      <name val="Times New Roman"/>
      <family val="1"/>
    </font>
    <font>
      <u/>
      <sz val="11"/>
      <color theme="10"/>
      <name val="Calibri"/>
      <family val="2"/>
      <scheme val="minor"/>
    </font>
    <font>
      <b/>
      <sz val="11"/>
      <color rgb="FF3F3F3F"/>
      <name val="Calibri"/>
      <family val="2"/>
      <scheme val="minor"/>
    </font>
    <font>
      <b/>
      <sz val="11"/>
      <color rgb="FFFA7D00"/>
      <name val="Calibri"/>
      <family val="2"/>
      <scheme val="minor"/>
    </font>
    <font>
      <i/>
      <sz val="11"/>
      <color rgb="FF7F7F7F"/>
      <name val="Calibri"/>
      <family val="2"/>
      <scheme val="minor"/>
    </font>
    <font>
      <sz val="11"/>
      <color theme="0"/>
      <name val="Calibri"/>
      <family val="2"/>
      <scheme val="minor"/>
    </font>
    <font>
      <sz val="11"/>
      <color indexed="8"/>
      <name val="Calibri"/>
      <family val="2"/>
      <charset val="186"/>
    </font>
    <font>
      <sz val="11"/>
      <color indexed="9"/>
      <name val="Calibri"/>
      <family val="2"/>
    </font>
    <font>
      <sz val="11"/>
      <color indexed="9"/>
      <name val="Calibri"/>
      <family val="2"/>
      <charset val="186"/>
    </font>
    <font>
      <b/>
      <sz val="11"/>
      <color indexed="63"/>
      <name val="Calibri"/>
      <family val="2"/>
    </font>
    <font>
      <sz val="11"/>
      <color indexed="20"/>
      <name val="Calibri"/>
      <family val="2"/>
      <charset val="186"/>
    </font>
    <font>
      <b/>
      <sz val="11"/>
      <color indexed="52"/>
      <name val="Calibri"/>
      <family val="2"/>
    </font>
    <font>
      <b/>
      <sz val="11"/>
      <color indexed="52"/>
      <name val="Calibri"/>
      <family val="2"/>
      <charset val="186"/>
    </font>
    <font>
      <b/>
      <sz val="11"/>
      <color indexed="9"/>
      <name val="Calibri"/>
      <family val="2"/>
      <charset val="186"/>
    </font>
    <font>
      <sz val="8"/>
      <name val="Helvetica"/>
    </font>
    <font>
      <sz val="11"/>
      <color indexed="62"/>
      <name val="Calibri"/>
      <family val="2"/>
    </font>
    <font>
      <b/>
      <sz val="11"/>
      <color indexed="8"/>
      <name val="Calibri"/>
      <family val="2"/>
    </font>
    <font>
      <i/>
      <sz val="11"/>
      <color indexed="23"/>
      <name val="Calibri"/>
      <family val="2"/>
    </font>
    <font>
      <i/>
      <sz val="11"/>
      <color indexed="23"/>
      <name val="Calibri"/>
      <family val="2"/>
      <charset val="186"/>
    </font>
    <font>
      <sz val="11"/>
      <color indexed="17"/>
      <name val="Calibri"/>
      <family val="2"/>
      <charset val="186"/>
    </font>
    <font>
      <sz val="11"/>
      <color indexed="17"/>
      <name val="Calibri"/>
      <family val="2"/>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sz val="11"/>
      <color indexed="20"/>
      <name val="Calibri"/>
      <family val="2"/>
    </font>
    <font>
      <b/>
      <sz val="18"/>
      <color indexed="56"/>
      <name val="Cambria"/>
      <family val="2"/>
      <charset val="186"/>
    </font>
    <font>
      <b/>
      <sz val="11"/>
      <color indexed="8"/>
      <name val="Calibri"/>
      <family val="2"/>
      <charset val="186"/>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sz val="11"/>
      <color indexed="10"/>
      <name val="Calibri"/>
      <family val="2"/>
      <charset val="186"/>
    </font>
    <font>
      <b/>
      <sz val="11"/>
      <color indexed="9"/>
      <name val="Calibri"/>
      <family val="2"/>
    </font>
    <font>
      <u/>
      <sz val="10"/>
      <color indexed="12"/>
      <name val="Times New Roman"/>
      <family val="1"/>
      <charset val="186"/>
    </font>
    <font>
      <sz val="10"/>
      <name val="Arial"/>
      <family val="2"/>
      <charset val="204"/>
    </font>
    <font>
      <b/>
      <sz val="11"/>
      <color indexed="12"/>
      <name val="Arial"/>
      <family val="2"/>
      <charset val="204"/>
    </font>
    <font>
      <sz val="8"/>
      <name val="Helvetica"/>
      <family val="2"/>
    </font>
    <font>
      <vertAlign val="subscript"/>
      <sz val="10"/>
      <name val="Arial"/>
      <family val="2"/>
    </font>
    <font>
      <sz val="9"/>
      <color rgb="FF000000"/>
      <name val="Tahoma"/>
      <family val="2"/>
    </font>
    <font>
      <b/>
      <sz val="9"/>
      <color rgb="FF000000"/>
      <name val="Tahoma"/>
      <family val="2"/>
      <charset val="186"/>
    </font>
    <font>
      <b/>
      <sz val="9"/>
      <color rgb="FF00668C"/>
      <name val="Inherit"/>
    </font>
    <font>
      <b/>
      <vertAlign val="superscript"/>
      <sz val="11"/>
      <color theme="1"/>
      <name val="Calibri"/>
      <family val="2"/>
      <scheme val="minor"/>
    </font>
    <font>
      <sz val="9"/>
      <color rgb="FF202122"/>
      <name val="Arial"/>
      <family val="2"/>
    </font>
    <font>
      <sz val="11"/>
      <name val="Arial Narrow"/>
      <family val="2"/>
    </font>
    <font>
      <b/>
      <sz val="11"/>
      <color rgb="FFFFFFFF"/>
      <name val="Calibri"/>
      <family val="2"/>
    </font>
    <font>
      <sz val="11"/>
      <color rgb="FF000000"/>
      <name val="Calibri"/>
      <family val="2"/>
    </font>
    <font>
      <i/>
      <u/>
      <sz val="11"/>
      <color theme="10"/>
      <name val="Calibri"/>
      <family val="2"/>
      <scheme val="minor"/>
    </font>
    <font>
      <sz val="12"/>
      <color rgb="FFFF0000"/>
      <name val="Times New Roman"/>
      <family val="1"/>
    </font>
    <font>
      <b/>
      <sz val="10"/>
      <color rgb="FF0070C0"/>
      <name val="Arial"/>
      <family val="2"/>
      <charset val="186"/>
    </font>
    <font>
      <b/>
      <i/>
      <sz val="11"/>
      <color theme="1"/>
      <name val="Calibri"/>
      <family val="2"/>
      <scheme val="minor"/>
    </font>
    <font>
      <b/>
      <i/>
      <sz val="11"/>
      <name val="Calibri"/>
      <family val="2"/>
      <scheme val="minor"/>
    </font>
    <font>
      <sz val="9"/>
      <color rgb="FF000000"/>
      <name val="Times New Roman"/>
      <family val="1"/>
    </font>
    <font>
      <b/>
      <sz val="9"/>
      <color rgb="FF000000"/>
      <name val="Times New Roman"/>
      <family val="1"/>
    </font>
    <font>
      <vertAlign val="superscript"/>
      <sz val="8"/>
      <color rgb="FF000000"/>
      <name val="Times New Roman"/>
      <family val="1"/>
    </font>
    <font>
      <b/>
      <vertAlign val="superscript"/>
      <sz val="8"/>
      <color rgb="FF000000"/>
      <name val="Times New Roman"/>
      <family val="1"/>
    </font>
    <font>
      <i/>
      <sz val="9"/>
      <color rgb="FF000000"/>
      <name val="Times New Roman"/>
      <family val="1"/>
    </font>
    <font>
      <sz val="10"/>
      <color rgb="FF000000"/>
      <name val="Times New Roman"/>
      <family val="1"/>
    </font>
    <font>
      <b/>
      <sz val="8"/>
      <color rgb="FF000000"/>
      <name val="Times New Roman"/>
      <family val="1"/>
    </font>
    <font>
      <b/>
      <i/>
      <sz val="9"/>
      <color rgb="FF000000"/>
      <name val="Times New Roman"/>
      <family val="1"/>
    </font>
    <font>
      <b/>
      <i/>
      <vertAlign val="subscript"/>
      <sz val="8"/>
      <color rgb="FF000000"/>
      <name val="Times New Roman"/>
      <family val="1"/>
    </font>
    <font>
      <i/>
      <vertAlign val="subscript"/>
      <sz val="8"/>
      <color rgb="FF000000"/>
      <name val="Times New Roman"/>
      <family val="1"/>
    </font>
    <font>
      <b/>
      <i/>
      <sz val="5"/>
      <color rgb="FF000000"/>
      <name val="Times New Roman"/>
      <family val="1"/>
    </font>
    <font>
      <i/>
      <sz val="5"/>
      <color rgb="FF000000"/>
      <name val="Times New Roman"/>
      <family val="1"/>
    </font>
    <font>
      <vertAlign val="superscript"/>
      <sz val="11"/>
      <color theme="1"/>
      <name val="Calibri"/>
      <family val="2"/>
      <scheme val="minor"/>
    </font>
    <font>
      <b/>
      <u/>
      <sz val="11"/>
      <color theme="4"/>
      <name val="Calibri"/>
      <family val="2"/>
      <scheme val="minor"/>
    </font>
    <font>
      <b/>
      <sz val="10"/>
      <color rgb="FF000000"/>
      <name val="Times New Roman"/>
      <family val="1"/>
    </font>
    <font>
      <vertAlign val="superscript"/>
      <sz val="10"/>
      <color rgb="FF000000"/>
      <name val="Times New Roman"/>
      <family val="1"/>
    </font>
    <font>
      <sz val="9"/>
      <color indexed="81"/>
      <name val="Segoe UI"/>
      <family val="2"/>
    </font>
    <font>
      <b/>
      <sz val="9"/>
      <color indexed="81"/>
      <name val="Segoe UI"/>
      <family val="2"/>
    </font>
    <font>
      <b/>
      <u/>
      <sz val="11"/>
      <name val="Calibri"/>
      <family val="2"/>
      <scheme val="minor"/>
    </font>
    <font>
      <b/>
      <u/>
      <sz val="9"/>
      <color rgb="FF000000"/>
      <name val="Times New Roman"/>
      <family val="1"/>
    </font>
    <font>
      <b/>
      <i/>
      <u/>
      <sz val="10"/>
      <color rgb="FF000000"/>
      <name val="Times New Roman"/>
      <family val="1"/>
    </font>
    <font>
      <b/>
      <i/>
      <u/>
      <vertAlign val="subscript"/>
      <sz val="9"/>
      <color rgb="FF000000"/>
      <name val="Times New Roman"/>
      <family val="1"/>
    </font>
    <font>
      <b/>
      <u/>
      <vertAlign val="subscript"/>
      <sz val="9"/>
      <color rgb="FF000000"/>
      <name val="Times New Roman"/>
      <family val="1"/>
    </font>
    <font>
      <b/>
      <u/>
      <sz val="10"/>
      <color rgb="FF000000"/>
      <name val="Times New Roman"/>
      <family val="1"/>
    </font>
    <font>
      <b/>
      <u/>
      <vertAlign val="superscript"/>
      <sz val="9"/>
      <color rgb="FF000000"/>
      <name val="Times New Roman"/>
      <family val="1"/>
    </font>
    <font>
      <b/>
      <i/>
      <u/>
      <sz val="11"/>
      <color theme="1"/>
      <name val="Calibri"/>
      <family val="2"/>
      <scheme val="minor"/>
    </font>
    <font>
      <b/>
      <u/>
      <vertAlign val="superscript"/>
      <sz val="11"/>
      <color theme="1"/>
      <name val="Calibri"/>
      <family val="2"/>
      <scheme val="minor"/>
    </font>
    <font>
      <sz val="10"/>
      <color theme="1"/>
      <name val="Times New Roman"/>
      <family val="1"/>
    </font>
    <font>
      <vertAlign val="superscript"/>
      <sz val="10"/>
      <color theme="1"/>
      <name val="Times New Roman"/>
      <family val="1"/>
    </font>
    <font>
      <sz val="7"/>
      <color rgb="FF4D5156"/>
      <name val="Arial"/>
      <family val="2"/>
    </font>
    <font>
      <b/>
      <sz val="7"/>
      <color rgb="FF202124"/>
      <name val="Arial"/>
      <family val="2"/>
    </font>
    <font>
      <sz val="7"/>
      <color rgb="FF202124"/>
      <name val="Arial"/>
      <family val="2"/>
    </font>
    <font>
      <b/>
      <u/>
      <sz val="11"/>
      <color rgb="FFC00000"/>
      <name val="Calibri"/>
      <family val="2"/>
      <scheme val="minor"/>
    </font>
    <font>
      <sz val="11"/>
      <color theme="9"/>
      <name val="Calibri"/>
      <family val="2"/>
      <charset val="186"/>
      <scheme val="minor"/>
    </font>
    <font>
      <b/>
      <sz val="11"/>
      <name val="Arial"/>
      <family val="2"/>
    </font>
    <font>
      <i/>
      <sz val="10"/>
      <name val="Arial"/>
      <family val="2"/>
    </font>
    <font>
      <i/>
      <sz val="10"/>
      <color theme="1"/>
      <name val="Arial"/>
      <family val="2"/>
    </font>
    <font>
      <i/>
      <vertAlign val="subscript"/>
      <sz val="10"/>
      <color indexed="8"/>
      <name val="Arial"/>
      <family val="2"/>
    </font>
    <font>
      <i/>
      <sz val="10"/>
      <color indexed="8"/>
      <name val="Arial"/>
      <family val="2"/>
    </font>
    <font>
      <b/>
      <sz val="10"/>
      <color theme="1"/>
      <name val="Arial"/>
      <family val="2"/>
    </font>
    <font>
      <sz val="10"/>
      <color theme="0"/>
      <name val="Arial"/>
      <family val="2"/>
    </font>
    <font>
      <b/>
      <sz val="11"/>
      <color theme="1"/>
      <name val="Arial"/>
      <family val="2"/>
    </font>
    <font>
      <b/>
      <i/>
      <sz val="10"/>
      <name val="Arial"/>
      <family val="2"/>
    </font>
    <font>
      <b/>
      <sz val="10"/>
      <color rgb="FFC00000"/>
      <name val="Arial"/>
      <family val="2"/>
    </font>
    <font>
      <sz val="9"/>
      <color indexed="81"/>
      <name val="Tahoma"/>
      <family val="2"/>
    </font>
    <font>
      <b/>
      <sz val="9"/>
      <color indexed="81"/>
      <name val="Tahoma"/>
      <family val="2"/>
    </font>
    <font>
      <b/>
      <i/>
      <sz val="11"/>
      <color theme="8"/>
      <name val="Calibri"/>
      <family val="2"/>
      <scheme val="minor"/>
    </font>
    <font>
      <sz val="11"/>
      <color theme="8"/>
      <name val="Calibri"/>
      <family val="2"/>
      <charset val="186"/>
      <scheme val="minor"/>
    </font>
    <font>
      <i/>
      <sz val="11"/>
      <color theme="8"/>
      <name val="Calibri"/>
      <family val="2"/>
      <scheme val="minor"/>
    </font>
    <font>
      <vertAlign val="superscript"/>
      <sz val="11"/>
      <name val="Calibri"/>
      <family val="2"/>
      <scheme val="minor"/>
    </font>
    <font>
      <b/>
      <i/>
      <sz val="11"/>
      <color rgb="FFC00000"/>
      <name val="Calibri"/>
      <family val="2"/>
      <scheme val="minor"/>
    </font>
    <font>
      <sz val="9"/>
      <color theme="0"/>
      <name val="Times New Roman"/>
      <family val="1"/>
    </font>
    <font>
      <sz val="11"/>
      <color theme="4"/>
      <name val="Calibri"/>
      <family val="2"/>
      <charset val="186"/>
      <scheme val="minor"/>
    </font>
    <font>
      <i/>
      <vertAlign val="subscript"/>
      <sz val="11"/>
      <name val="Calibri"/>
      <family val="2"/>
      <scheme val="minor"/>
    </font>
    <font>
      <i/>
      <vertAlign val="subscript"/>
      <sz val="11"/>
      <color theme="1"/>
      <name val="Calibri"/>
      <family val="2"/>
      <scheme val="minor"/>
    </font>
    <font>
      <b/>
      <vertAlign val="subscript"/>
      <sz val="11"/>
      <color theme="1"/>
      <name val="Calibri"/>
      <family val="2"/>
      <scheme val="minor"/>
    </font>
    <font>
      <b/>
      <i/>
      <vertAlign val="subscript"/>
      <sz val="11"/>
      <color theme="1"/>
      <name val="Calibri"/>
      <family val="2"/>
      <scheme val="minor"/>
    </font>
    <font>
      <sz val="11"/>
      <color theme="0"/>
      <name val="Calibri"/>
      <family val="2"/>
      <charset val="186"/>
      <scheme val="minor"/>
    </font>
    <font>
      <vertAlign val="subscript"/>
      <sz val="11"/>
      <color theme="0"/>
      <name val="Arial"/>
      <family val="2"/>
    </font>
    <font>
      <b/>
      <sz val="11"/>
      <name val="Calibri"/>
      <family val="2"/>
      <charset val="186"/>
      <scheme val="minor"/>
    </font>
    <font>
      <b/>
      <vertAlign val="subscript"/>
      <sz val="11"/>
      <name val="Calibri"/>
      <family val="2"/>
      <scheme val="minor"/>
    </font>
    <font>
      <b/>
      <i/>
      <u/>
      <sz val="11"/>
      <name val="Calibri"/>
      <family val="2"/>
      <scheme val="minor"/>
    </font>
    <font>
      <b/>
      <sz val="16"/>
      <color theme="1"/>
      <name val="Arial Narrow"/>
      <family val="2"/>
    </font>
    <font>
      <sz val="9"/>
      <color theme="1"/>
      <name val="Arial Narrow"/>
      <family val="2"/>
    </font>
    <font>
      <b/>
      <sz val="9"/>
      <color theme="1"/>
      <name val="Arial Narrow"/>
      <family val="2"/>
    </font>
    <font>
      <sz val="16"/>
      <color theme="1"/>
      <name val="Arial Narrow"/>
      <family val="2"/>
    </font>
    <font>
      <i/>
      <sz val="11"/>
      <color theme="1"/>
      <name val="Calibri"/>
      <family val="2"/>
      <charset val="186"/>
      <scheme val="minor"/>
    </font>
    <font>
      <b/>
      <sz val="12"/>
      <name val="Arial Narrow"/>
      <family val="2"/>
    </font>
    <font>
      <i/>
      <sz val="11"/>
      <color theme="4"/>
      <name val="Calibri"/>
      <family val="2"/>
      <scheme val="minor"/>
    </font>
    <font>
      <b/>
      <i/>
      <sz val="12"/>
      <color rgb="FF335533"/>
      <name val="Arial"/>
      <family val="2"/>
    </font>
    <font>
      <i/>
      <sz val="12"/>
      <color rgb="FF335533"/>
      <name val="Arial"/>
      <family val="2"/>
    </font>
    <font>
      <b/>
      <u/>
      <sz val="11"/>
      <color theme="1" tint="0.499984740745262"/>
      <name val="Calibri"/>
      <family val="2"/>
      <scheme val="minor"/>
    </font>
    <font>
      <sz val="11"/>
      <color theme="1" tint="0.499984740745262"/>
      <name val="Calibri"/>
      <family val="2"/>
      <scheme val="minor"/>
    </font>
    <font>
      <sz val="11"/>
      <color theme="1" tint="0.499984740745262"/>
      <name val="Calibri"/>
      <family val="2"/>
      <charset val="186"/>
      <scheme val="minor"/>
    </font>
    <font>
      <sz val="9.5"/>
      <color theme="1" tint="0.499984740745262"/>
      <name val="Calibri"/>
      <family val="2"/>
      <scheme val="minor"/>
    </font>
    <font>
      <vertAlign val="subscript"/>
      <sz val="11"/>
      <color theme="1" tint="0.499984740745262"/>
      <name val="Calibri"/>
      <family val="2"/>
      <scheme val="minor"/>
    </font>
    <font>
      <b/>
      <u/>
      <vertAlign val="subscript"/>
      <sz val="11"/>
      <color theme="1" tint="0.499984740745262"/>
      <name val="Calibri"/>
      <family val="2"/>
      <scheme val="minor"/>
    </font>
    <font>
      <b/>
      <sz val="11"/>
      <color theme="1" tint="0.499984740745262"/>
      <name val="Calibri"/>
      <family val="2"/>
      <scheme val="minor"/>
    </font>
    <font>
      <i/>
      <sz val="11"/>
      <color theme="1" tint="0.499984740745262"/>
      <name val="Calibri"/>
      <family val="2"/>
      <scheme val="minor"/>
    </font>
    <font>
      <b/>
      <i/>
      <sz val="11"/>
      <color theme="1" tint="0.499984740745262"/>
      <name val="Calibri"/>
      <family val="2"/>
      <scheme val="minor"/>
    </font>
    <font>
      <u/>
      <sz val="11"/>
      <color theme="1" tint="0.499984740745262"/>
      <name val="Calibri"/>
      <family val="2"/>
      <scheme val="minor"/>
    </font>
    <font>
      <b/>
      <vertAlign val="subscript"/>
      <sz val="11"/>
      <color theme="1" tint="0.499984740745262"/>
      <name val="Calibri"/>
      <family val="2"/>
      <scheme val="minor"/>
    </font>
    <font>
      <u/>
      <sz val="11"/>
      <color theme="4"/>
      <name val="Calibri"/>
      <family val="2"/>
      <charset val="186"/>
      <scheme val="minor"/>
    </font>
    <font>
      <sz val="11"/>
      <color theme="5"/>
      <name val="Calibri"/>
      <family val="2"/>
      <scheme val="minor"/>
    </font>
    <font>
      <sz val="9.5"/>
      <color theme="5"/>
      <name val="Calibri"/>
      <family val="2"/>
      <scheme val="minor"/>
    </font>
    <font>
      <b/>
      <u/>
      <sz val="11"/>
      <color theme="5"/>
      <name val="Calibri"/>
      <family val="2"/>
      <scheme val="minor"/>
    </font>
    <font>
      <sz val="11"/>
      <color theme="5"/>
      <name val="Calibri"/>
      <family val="2"/>
      <charset val="186"/>
      <scheme val="minor"/>
    </font>
    <font>
      <b/>
      <sz val="12"/>
      <color theme="5"/>
      <name val="Times New Roman"/>
      <family val="1"/>
    </font>
    <font>
      <sz val="9"/>
      <color indexed="81"/>
      <name val="Segoe UI"/>
      <charset val="1"/>
    </font>
    <font>
      <b/>
      <sz val="9"/>
      <color indexed="81"/>
      <name val="Segoe UI"/>
      <charset val="1"/>
    </font>
  </fonts>
  <fills count="87">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
      <patternFill patternType="solid">
        <fgColor rgb="FFFFCC99"/>
      </patternFill>
    </fill>
    <fill>
      <patternFill patternType="solid">
        <fgColor rgb="FFFFFF00"/>
        <bgColor indexed="64"/>
      </patternFill>
    </fill>
    <fill>
      <patternFill patternType="solid">
        <fgColor rgb="FF92D050"/>
        <bgColor indexed="64"/>
      </patternFill>
    </fill>
    <fill>
      <patternFill patternType="solid">
        <fgColor rgb="FF006EB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indexed="13"/>
        <bgColor indexed="64"/>
      </patternFill>
    </fill>
    <fill>
      <patternFill patternType="solid">
        <fgColor indexed="9"/>
        <bgColor indexed="64"/>
      </patternFill>
    </fill>
    <fill>
      <patternFill patternType="solid">
        <fgColor indexed="13"/>
        <bgColor indexed="41"/>
      </patternFill>
    </fill>
    <fill>
      <patternFill patternType="solid">
        <fgColor indexed="9"/>
        <bgColor indexed="41"/>
      </patternFill>
    </fill>
    <fill>
      <patternFill patternType="solid">
        <fgColor indexed="9"/>
        <bgColor indexed="44"/>
      </patternFill>
    </fill>
    <fill>
      <patternFill patternType="solid">
        <fgColor theme="9" tint="0.79998168889431442"/>
        <bgColor indexed="64"/>
      </patternFill>
    </fill>
    <fill>
      <patternFill patternType="solid">
        <fgColor theme="6"/>
        <bgColor indexed="64"/>
      </patternFill>
    </fill>
    <fill>
      <patternFill patternType="solid">
        <fgColor rgb="FFF2F2F2"/>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
      <patternFill patternType="solid">
        <fgColor indexed="22"/>
        <bgColor indexed="64"/>
      </patternFill>
    </fill>
    <fill>
      <patternFill patternType="solid">
        <fgColor indexed="23"/>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darkTrellis"/>
    </fill>
    <fill>
      <patternFill patternType="solid">
        <fgColor rgb="FFFFFFFF"/>
      </patternFill>
    </fill>
    <fill>
      <patternFill patternType="solid">
        <fgColor rgb="FF969696"/>
      </patternFill>
    </fill>
    <fill>
      <patternFill patternType="solid">
        <fgColor theme="8"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0099DC"/>
      </patternFill>
    </fill>
    <fill>
      <patternFill patternType="solid">
        <fgColor rgb="FFF0F5FF"/>
      </patternFill>
    </fill>
    <fill>
      <patternFill patternType="solid">
        <fgColor theme="0"/>
        <bgColor indexed="41"/>
      </patternFill>
    </fill>
    <fill>
      <patternFill patternType="solid">
        <fgColor rgb="FFEAF3F4"/>
        <bgColor indexed="64"/>
      </patternFill>
    </fill>
    <fill>
      <patternFill patternType="solid">
        <fgColor rgb="FFDADAD9"/>
        <bgColor indexed="64"/>
      </patternFill>
    </fill>
    <fill>
      <patternFill patternType="solid">
        <fgColor theme="9"/>
        <bgColor indexed="64"/>
      </patternFill>
    </fill>
    <fill>
      <patternFill patternType="solid">
        <fgColor rgb="FFFFC000"/>
        <bgColor indexed="64"/>
      </patternFill>
    </fill>
    <fill>
      <patternFill patternType="solid">
        <fgColor rgb="FF77FFFC"/>
        <bgColor indexed="64"/>
      </patternFill>
    </fill>
    <fill>
      <patternFill patternType="solid">
        <fgColor rgb="FFBBFFFD"/>
        <bgColor indexed="64"/>
      </patternFill>
    </fill>
    <fill>
      <patternFill patternType="solid">
        <fgColor theme="7" tint="0.79998168889431442"/>
        <bgColor indexed="64"/>
      </patternFill>
    </fill>
    <fill>
      <patternFill patternType="solid">
        <fgColor theme="2"/>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bottom style="thin">
        <color rgb="FF006EB5"/>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style="thin">
        <color rgb="FFDADCDD"/>
      </left>
      <right/>
      <top style="thin">
        <color rgb="FFDADCDD"/>
      </top>
      <bottom style="thin">
        <color rgb="FFDADCDD"/>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8"/>
      </left>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64"/>
      </left>
      <right style="thin">
        <color indexed="64"/>
      </right>
      <top style="thin">
        <color indexed="8"/>
      </top>
      <bottom style="double">
        <color indexed="64"/>
      </bottom>
      <diagonal/>
    </border>
    <border>
      <left style="thin">
        <color auto="1"/>
      </left>
      <right style="thin">
        <color auto="1"/>
      </right>
      <top style="double">
        <color indexed="64"/>
      </top>
      <bottom style="double">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style="medium">
        <color rgb="FF000000"/>
      </top>
      <bottom/>
      <diagonal/>
    </border>
    <border>
      <left/>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right/>
      <top/>
      <bottom style="medium">
        <color rgb="FFEBEBEB"/>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s>
  <cellStyleXfs count="950">
    <xf numFmtId="0" fontId="0" fillId="0" borderId="0"/>
    <xf numFmtId="0" fontId="1" fillId="2" borderId="0" applyNumberFormat="0" applyBorder="0" applyAlignment="0" applyProtection="0"/>
    <xf numFmtId="0" fontId="2" fillId="3" borderId="0" applyNumberFormat="0" applyBorder="0" applyAlignment="0" applyProtection="0"/>
    <xf numFmtId="0" fontId="9" fillId="0" borderId="0" applyNumberFormat="0" applyFill="0" applyBorder="0" applyAlignment="0" applyProtection="0"/>
    <xf numFmtId="0" fontId="10" fillId="5" borderId="3" applyNumberFormat="0" applyAlignment="0" applyProtection="0"/>
    <xf numFmtId="0" fontId="5" fillId="0" borderId="0"/>
    <xf numFmtId="9" fontId="30" fillId="0" borderId="0" applyFont="0" applyFill="0" applyBorder="0" applyAlignment="0" applyProtection="0"/>
    <xf numFmtId="0" fontId="8" fillId="0" borderId="0"/>
    <xf numFmtId="0" fontId="10" fillId="5" borderId="3" applyNumberFormat="0" applyAlignment="0" applyProtection="0"/>
    <xf numFmtId="0" fontId="53" fillId="0" borderId="0" applyNumberFormat="0" applyFill="0" applyBorder="0" applyAlignment="0" applyProtection="0"/>
    <xf numFmtId="0" fontId="54" fillId="0" borderId="0" applyNumberFormat="0">
      <alignment horizontal="right"/>
    </xf>
    <xf numFmtId="0" fontId="5" fillId="0" borderId="0"/>
    <xf numFmtId="0" fontId="55" fillId="0" borderId="0" applyNumberFormat="0" applyFill="0" applyBorder="0" applyProtection="0">
      <alignment horizontal="left" vertical="center"/>
    </xf>
    <xf numFmtId="0" fontId="57" fillId="38" borderId="0" applyBorder="0">
      <alignment horizontal="right" vertical="center"/>
    </xf>
    <xf numFmtId="0" fontId="57" fillId="38" borderId="25">
      <alignment horizontal="right" vertical="center"/>
    </xf>
    <xf numFmtId="0" fontId="5" fillId="0" borderId="0" applyNumberFormat="0" applyFont="0" applyFill="0" applyBorder="0" applyProtection="0">
      <alignment horizontal="left" vertical="center" indent="2"/>
    </xf>
    <xf numFmtId="0" fontId="57" fillId="38" borderId="0" applyBorder="0">
      <alignment horizontal="right" vertical="center"/>
    </xf>
    <xf numFmtId="0" fontId="57" fillId="0" borderId="0" applyBorder="0">
      <alignment horizontal="right" vertical="center"/>
    </xf>
    <xf numFmtId="0" fontId="57" fillId="0" borderId="0"/>
    <xf numFmtId="0" fontId="5" fillId="39" borderId="0" applyNumberFormat="0" applyFont="0" applyBorder="0" applyAlignment="0" applyProtection="0"/>
    <xf numFmtId="0" fontId="5" fillId="0" borderId="0" applyNumberFormat="0" applyFont="0" applyFill="0" applyBorder="0" applyProtection="0">
      <alignment horizontal="left" vertical="center" indent="5"/>
    </xf>
    <xf numFmtId="0" fontId="57" fillId="0" borderId="1" applyNumberFormat="0" applyFill="0" applyAlignment="0" applyProtection="0"/>
    <xf numFmtId="0" fontId="54" fillId="0" borderId="35">
      <alignment horizontal="left" vertical="top" wrapText="1"/>
    </xf>
    <xf numFmtId="0" fontId="54" fillId="40" borderId="1">
      <alignment horizontal="right" vertical="center"/>
    </xf>
    <xf numFmtId="0" fontId="54" fillId="40" borderId="1">
      <alignment horizontal="right" vertical="center"/>
    </xf>
    <xf numFmtId="0" fontId="57" fillId="0" borderId="40">
      <alignment horizontal="left" vertical="center" wrapText="1" indent="2"/>
    </xf>
    <xf numFmtId="0" fontId="54" fillId="40" borderId="30">
      <alignment horizontal="right" vertical="center"/>
    </xf>
    <xf numFmtId="0" fontId="57" fillId="0" borderId="1">
      <alignment horizontal="right" vertical="center"/>
    </xf>
    <xf numFmtId="0" fontId="5" fillId="0" borderId="36"/>
    <xf numFmtId="0" fontId="64" fillId="38" borderId="1">
      <alignment horizontal="right" vertical="center"/>
    </xf>
    <xf numFmtId="0" fontId="57" fillId="39" borderId="1"/>
    <xf numFmtId="0" fontId="54" fillId="38" borderId="1">
      <alignment horizontal="right" vertical="center"/>
    </xf>
    <xf numFmtId="0" fontId="54" fillId="38" borderId="28">
      <alignment horizontal="right" vertical="center"/>
    </xf>
    <xf numFmtId="0" fontId="57" fillId="0" borderId="28">
      <alignment horizontal="right" vertical="center"/>
    </xf>
    <xf numFmtId="4" fontId="5" fillId="0" borderId="0"/>
    <xf numFmtId="0" fontId="54" fillId="40" borderId="31">
      <alignment horizontal="right" vertical="center"/>
    </xf>
    <xf numFmtId="0" fontId="54" fillId="40" borderId="28">
      <alignment horizontal="right" vertical="center"/>
    </xf>
    <xf numFmtId="0" fontId="54" fillId="40" borderId="29">
      <alignment horizontal="right" vertical="center"/>
    </xf>
    <xf numFmtId="4" fontId="54" fillId="40" borderId="30">
      <alignment horizontal="right" vertical="center"/>
    </xf>
    <xf numFmtId="0" fontId="57" fillId="0" borderId="0"/>
    <xf numFmtId="0" fontId="57" fillId="43" borderId="1">
      <alignment horizontal="right" vertical="center"/>
    </xf>
    <xf numFmtId="0" fontId="57" fillId="43" borderId="0" applyBorder="0">
      <alignment horizontal="right" vertical="center"/>
    </xf>
    <xf numFmtId="0" fontId="5" fillId="0" borderId="0"/>
    <xf numFmtId="0" fontId="5" fillId="42" borderId="1"/>
    <xf numFmtId="4" fontId="5" fillId="0" borderId="0"/>
    <xf numFmtId="4" fontId="57" fillId="0" borderId="1" applyFill="0" applyBorder="0" applyProtection="0">
      <alignment horizontal="right" vertical="center"/>
    </xf>
    <xf numFmtId="0" fontId="67" fillId="0" borderId="0" applyNumberFormat="0" applyFill="0" applyBorder="0" applyAlignment="0" applyProtection="0"/>
    <xf numFmtId="0" fontId="57" fillId="0" borderId="0"/>
    <xf numFmtId="4" fontId="5" fillId="0" borderId="0"/>
    <xf numFmtId="4" fontId="5" fillId="0" borderId="0"/>
    <xf numFmtId="0" fontId="8" fillId="0" borderId="0"/>
    <xf numFmtId="0" fontId="68" fillId="0" borderId="0" applyNumberFormat="0" applyFill="0" applyBorder="0" applyAlignment="0" applyProtection="0"/>
    <xf numFmtId="0" fontId="57" fillId="39" borderId="1"/>
    <xf numFmtId="0" fontId="54" fillId="40" borderId="30">
      <alignment horizontal="right" vertical="center"/>
    </xf>
    <xf numFmtId="0" fontId="69" fillId="19" borderId="23" applyNumberFormat="0" applyAlignment="0" applyProtection="0"/>
    <xf numFmtId="0" fontId="70" fillId="19" borderId="3" applyNumberFormat="0" applyAlignment="0" applyProtection="0"/>
    <xf numFmtId="0" fontId="23" fillId="0" borderId="0" applyNumberFormat="0" applyFill="0" applyBorder="0" applyAlignment="0" applyProtection="0"/>
    <xf numFmtId="0" fontId="71" fillId="0" borderId="0" applyNumberFormat="0" applyFill="0" applyBorder="0" applyAlignment="0" applyProtection="0"/>
    <xf numFmtId="0" fontId="6" fillId="0" borderId="24" applyNumberFormat="0" applyFill="0" applyAlignment="0" applyProtection="0"/>
    <xf numFmtId="0" fontId="8" fillId="20" borderId="0" applyNumberFormat="0" applyBorder="0" applyAlignment="0" applyProtection="0"/>
    <xf numFmtId="0" fontId="8" fillId="21" borderId="0" applyNumberFormat="0" applyBorder="0" applyAlignment="0" applyProtection="0"/>
    <xf numFmtId="0" fontId="72"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72"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72"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72"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72"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72" fillId="37" borderId="0" applyNumberFormat="0" applyBorder="0" applyAlignment="0" applyProtection="0"/>
    <xf numFmtId="0" fontId="57" fillId="0" borderId="1" applyNumberFormat="0" applyFill="0" applyAlignment="0" applyProtection="0"/>
    <xf numFmtId="0" fontId="54" fillId="40" borderId="1">
      <alignment horizontal="right" vertical="center"/>
    </xf>
    <xf numFmtId="0" fontId="54" fillId="40" borderId="1">
      <alignment horizontal="right" vertical="center"/>
    </xf>
    <xf numFmtId="0" fontId="57" fillId="0" borderId="40">
      <alignment horizontal="left" vertical="center" wrapText="1" indent="2"/>
    </xf>
    <xf numFmtId="0" fontId="54" fillId="40" borderId="30">
      <alignment horizontal="right" vertical="center"/>
    </xf>
    <xf numFmtId="0" fontId="57" fillId="0" borderId="1">
      <alignment horizontal="right" vertical="center"/>
    </xf>
    <xf numFmtId="0" fontId="64" fillId="38" borderId="1">
      <alignment horizontal="right" vertical="center"/>
    </xf>
    <xf numFmtId="0" fontId="57" fillId="39" borderId="1"/>
    <xf numFmtId="0" fontId="54" fillId="38" borderId="1">
      <alignment horizontal="right" vertical="center"/>
    </xf>
    <xf numFmtId="0" fontId="54" fillId="40" borderId="29">
      <alignment horizontal="right" vertical="center"/>
    </xf>
    <xf numFmtId="0" fontId="3" fillId="0" borderId="0" applyNumberFormat="0" applyFill="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47" borderId="0" applyNumberFormat="0" applyBorder="0" applyAlignment="0" applyProtection="0"/>
    <xf numFmtId="0" fontId="73" fillId="48" borderId="0" applyNumberFormat="0" applyBorder="0" applyAlignment="0" applyProtection="0"/>
    <xf numFmtId="0" fontId="73" fillId="49" borderId="0" applyNumberFormat="0" applyBorder="0" applyAlignment="0" applyProtection="0"/>
    <xf numFmtId="0" fontId="5" fillId="0" borderId="0" applyNumberFormat="0" applyFont="0" applyFill="0" applyBorder="0" applyProtection="0">
      <alignment horizontal="left" vertical="center" indent="2"/>
    </xf>
    <xf numFmtId="0" fontId="5" fillId="0" borderId="0" applyNumberFormat="0" applyFont="0" applyFill="0" applyBorder="0" applyProtection="0">
      <alignment horizontal="left" vertical="center" indent="2"/>
    </xf>
    <xf numFmtId="49" fontId="57" fillId="0" borderId="1" applyNumberFormat="0" applyFont="0" applyFill="0" applyBorder="0" applyProtection="0">
      <alignment horizontal="left" vertical="center" indent="2"/>
    </xf>
    <xf numFmtId="0" fontId="73" fillId="50" borderId="0" applyNumberFormat="0" applyBorder="0" applyAlignment="0" applyProtection="0"/>
    <xf numFmtId="0" fontId="73" fillId="51" borderId="0" applyNumberFormat="0" applyBorder="0" applyAlignment="0" applyProtection="0"/>
    <xf numFmtId="0" fontId="73" fillId="52" borderId="0" applyNumberFormat="0" applyBorder="0" applyAlignment="0" applyProtection="0"/>
    <xf numFmtId="0" fontId="73" fillId="47" borderId="0" applyNumberFormat="0" applyBorder="0" applyAlignment="0" applyProtection="0"/>
    <xf numFmtId="0" fontId="73" fillId="50" borderId="0" applyNumberFormat="0" applyBorder="0" applyAlignment="0" applyProtection="0"/>
    <xf numFmtId="0" fontId="73" fillId="53" borderId="0" applyNumberFormat="0" applyBorder="0" applyAlignment="0" applyProtection="0"/>
    <xf numFmtId="0" fontId="5" fillId="0" borderId="0" applyNumberFormat="0" applyFont="0" applyFill="0" applyBorder="0" applyProtection="0">
      <alignment horizontal="left" vertical="center" indent="5"/>
    </xf>
    <xf numFmtId="0" fontId="5" fillId="0" borderId="0" applyNumberFormat="0" applyFont="0" applyFill="0" applyBorder="0" applyProtection="0">
      <alignment horizontal="left" vertical="center" indent="5"/>
    </xf>
    <xf numFmtId="49" fontId="57" fillId="0" borderId="29" applyNumberFormat="0" applyFont="0" applyFill="0" applyBorder="0" applyProtection="0">
      <alignment horizontal="left" vertical="center" indent="5"/>
    </xf>
    <xf numFmtId="0" fontId="75" fillId="54" borderId="0" applyNumberFormat="0" applyBorder="0" applyAlignment="0" applyProtection="0"/>
    <xf numFmtId="0" fontId="75" fillId="51" borderId="0" applyNumberFormat="0" applyBorder="0" applyAlignment="0" applyProtection="0"/>
    <xf numFmtId="0" fontId="75" fillId="52" borderId="0" applyNumberFormat="0" applyBorder="0" applyAlignment="0" applyProtection="0"/>
    <xf numFmtId="0" fontId="75" fillId="55" borderId="0" applyNumberFormat="0" applyBorder="0" applyAlignment="0" applyProtection="0"/>
    <xf numFmtId="0" fontId="75" fillId="56" borderId="0" applyNumberFormat="0" applyBorder="0" applyAlignment="0" applyProtection="0"/>
    <xf numFmtId="0" fontId="75" fillId="57" borderId="0" applyNumberFormat="0" applyBorder="0" applyAlignment="0" applyProtection="0"/>
    <xf numFmtId="0" fontId="75" fillId="58" borderId="0" applyNumberFormat="0" applyBorder="0" applyAlignment="0" applyProtection="0"/>
    <xf numFmtId="0" fontId="75" fillId="59" borderId="0" applyNumberFormat="0" applyBorder="0" applyAlignment="0" applyProtection="0"/>
    <xf numFmtId="0" fontId="75" fillId="60" borderId="0" applyNumberFormat="0" applyBorder="0" applyAlignment="0" applyProtection="0"/>
    <xf numFmtId="0" fontId="75" fillId="55" borderId="0" applyNumberFormat="0" applyBorder="0" applyAlignment="0" applyProtection="0"/>
    <xf numFmtId="0" fontId="75" fillId="56" borderId="0" applyNumberFormat="0" applyBorder="0" applyAlignment="0" applyProtection="0"/>
    <xf numFmtId="0" fontId="75" fillId="61" borderId="0" applyNumberFormat="0" applyBorder="0" applyAlignment="0" applyProtection="0"/>
    <xf numFmtId="0" fontId="55" fillId="43" borderId="0" applyBorder="0" applyAlignment="0"/>
    <xf numFmtId="4" fontId="55" fillId="43" borderId="0" applyBorder="0" applyAlignment="0"/>
    <xf numFmtId="4" fontId="57" fillId="43" borderId="0" applyBorder="0">
      <alignment horizontal="right" vertical="center"/>
    </xf>
    <xf numFmtId="4" fontId="57" fillId="38" borderId="0" applyBorder="0">
      <alignment horizontal="right" vertical="center"/>
    </xf>
    <xf numFmtId="4" fontId="57" fillId="38" borderId="0" applyBorder="0">
      <alignment horizontal="right" vertical="center"/>
    </xf>
    <xf numFmtId="4" fontId="54" fillId="38" borderId="1">
      <alignment horizontal="right" vertical="center"/>
    </xf>
    <xf numFmtId="4" fontId="64" fillId="38" borderId="1">
      <alignment horizontal="right" vertical="center"/>
    </xf>
    <xf numFmtId="4" fontId="54" fillId="40" borderId="1">
      <alignment horizontal="right" vertical="center"/>
    </xf>
    <xf numFmtId="4" fontId="54" fillId="40" borderId="1">
      <alignment horizontal="right" vertical="center"/>
    </xf>
    <xf numFmtId="4" fontId="54" fillId="40" borderId="29">
      <alignment horizontal="right" vertical="center"/>
    </xf>
    <xf numFmtId="4" fontId="54" fillId="40" borderId="30">
      <alignment horizontal="right" vertical="center"/>
    </xf>
    <xf numFmtId="0" fontId="74" fillId="58" borderId="0" applyNumberFormat="0" applyBorder="0" applyAlignment="0" applyProtection="0"/>
    <xf numFmtId="0" fontId="74" fillId="59" borderId="0" applyNumberFormat="0" applyBorder="0" applyAlignment="0" applyProtection="0"/>
    <xf numFmtId="0" fontId="74" fillId="60" borderId="0" applyNumberFormat="0" applyBorder="0" applyAlignment="0" applyProtection="0"/>
    <xf numFmtId="0" fontId="74" fillId="55" borderId="0" applyNumberFormat="0" applyBorder="0" applyAlignment="0" applyProtection="0"/>
    <xf numFmtId="0" fontId="74" fillId="56" borderId="0" applyNumberFormat="0" applyBorder="0" applyAlignment="0" applyProtection="0"/>
    <xf numFmtId="0" fontId="74" fillId="61" borderId="0" applyNumberFormat="0" applyBorder="0" applyAlignment="0" applyProtection="0"/>
    <xf numFmtId="0" fontId="77" fillId="45" borderId="0" applyNumberFormat="0" applyBorder="0" applyAlignment="0" applyProtection="0"/>
    <xf numFmtId="4" fontId="55" fillId="0" borderId="20" applyFill="0" applyBorder="0" applyProtection="0">
      <alignment horizontal="right" vertical="center"/>
    </xf>
    <xf numFmtId="0" fontId="79" fillId="62" borderId="44" applyNumberFormat="0" applyAlignment="0" applyProtection="0"/>
    <xf numFmtId="0" fontId="80" fillId="63" borderId="45" applyNumberFormat="0" applyAlignment="0" applyProtection="0"/>
    <xf numFmtId="43" fontId="66" fillId="0" borderId="0" applyFont="0" applyFill="0" applyBorder="0" applyAlignment="0" applyProtection="0"/>
    <xf numFmtId="169" fontId="81" fillId="0" borderId="0" applyFont="0" applyFill="0" applyBorder="0" applyAlignment="0" applyProtection="0"/>
    <xf numFmtId="43" fontId="66" fillId="0" borderId="0" applyFont="0" applyFill="0" applyBorder="0" applyAlignment="0" applyProtection="0"/>
    <xf numFmtId="0" fontId="57" fillId="40" borderId="40">
      <alignment horizontal="left" vertical="center" wrapText="1" indent="2"/>
    </xf>
    <xf numFmtId="0" fontId="57" fillId="38" borderId="29">
      <alignment horizontal="left" vertical="center"/>
    </xf>
    <xf numFmtId="0" fontId="85" fillId="0" borderId="0" applyNumberFormat="0" applyFill="0" applyBorder="0" applyAlignment="0" applyProtection="0"/>
    <xf numFmtId="0" fontId="86" fillId="46" borderId="0" applyNumberFormat="0" applyBorder="0" applyAlignment="0" applyProtection="0"/>
    <xf numFmtId="0" fontId="87" fillId="46" borderId="0" applyNumberFormat="0" applyBorder="0" applyAlignment="0" applyProtection="0"/>
    <xf numFmtId="0" fontId="88" fillId="0" borderId="47" applyNumberFormat="0" applyFill="0" applyAlignment="0" applyProtection="0"/>
    <xf numFmtId="0" fontId="89" fillId="0" borderId="48" applyNumberFormat="0" applyFill="0" applyAlignment="0" applyProtection="0"/>
    <xf numFmtId="0" fontId="90" fillId="0" borderId="49" applyNumberFormat="0" applyFill="0" applyAlignment="0" applyProtection="0"/>
    <xf numFmtId="0" fontId="90" fillId="0" borderId="0" applyNumberFormat="0" applyFill="0" applyBorder="0" applyAlignment="0" applyProtection="0"/>
    <xf numFmtId="0" fontId="91" fillId="49" borderId="44" applyNumberFormat="0" applyAlignment="0" applyProtection="0"/>
    <xf numFmtId="4" fontId="57" fillId="0" borderId="0" applyBorder="0">
      <alignment horizontal="right" vertical="center"/>
    </xf>
    <xf numFmtId="0" fontId="57" fillId="0" borderId="34">
      <alignment horizontal="right" vertical="center"/>
    </xf>
    <xf numFmtId="4" fontId="57" fillId="0" borderId="1">
      <alignment horizontal="right" vertical="center"/>
    </xf>
    <xf numFmtId="1" fontId="63" fillId="38" borderId="0" applyBorder="0">
      <alignment horizontal="right" vertical="center"/>
    </xf>
    <xf numFmtId="0" fontId="92" fillId="0" borderId="50" applyNumberFormat="0" applyFill="0" applyAlignment="0" applyProtection="0"/>
    <xf numFmtId="0" fontId="93" fillId="64" borderId="0" applyNumberFormat="0" applyBorder="0" applyAlignment="0" applyProtection="0"/>
    <xf numFmtId="0" fontId="5" fillId="0" borderId="0"/>
    <xf numFmtId="0" fontId="5" fillId="0" borderId="0"/>
    <xf numFmtId="0" fontId="5" fillId="0" borderId="0"/>
    <xf numFmtId="0" fontId="5" fillId="0" borderId="0"/>
    <xf numFmtId="0" fontId="81" fillId="0" borderId="0"/>
    <xf numFmtId="4" fontId="41" fillId="0" borderId="0"/>
    <xf numFmtId="0" fontId="5" fillId="0" borderId="0"/>
    <xf numFmtId="0" fontId="5" fillId="0" borderId="0"/>
    <xf numFmtId="0" fontId="5" fillId="0" borderId="0"/>
    <xf numFmtId="0" fontId="5" fillId="0" borderId="0"/>
    <xf numFmtId="0" fontId="8" fillId="0" borderId="0"/>
    <xf numFmtId="4" fontId="57" fillId="0" borderId="0" applyFill="0" applyBorder="0" applyProtection="0">
      <alignment horizontal="right" vertical="center"/>
    </xf>
    <xf numFmtId="4" fontId="57" fillId="0" borderId="0" applyFill="0" applyBorder="0" applyProtection="0">
      <alignment horizontal="right" vertical="center"/>
    </xf>
    <xf numFmtId="4" fontId="57" fillId="0" borderId="1" applyFill="0" applyBorder="0" applyProtection="0">
      <alignment horizontal="right" vertical="center"/>
    </xf>
    <xf numFmtId="0" fontId="55" fillId="0" borderId="0" applyNumberFormat="0" applyFill="0" applyBorder="0" applyProtection="0">
      <alignment horizontal="left" vertical="center"/>
    </xf>
    <xf numFmtId="49" fontId="55" fillId="0" borderId="1" applyNumberFormat="0" applyFill="0" applyBorder="0" applyProtection="0">
      <alignment horizontal="left" vertical="center"/>
    </xf>
    <xf numFmtId="0" fontId="5" fillId="39" borderId="0" applyNumberFormat="0" applyFont="0" applyBorder="0" applyAlignment="0" applyProtection="0"/>
    <xf numFmtId="4" fontId="5" fillId="39" borderId="0" applyNumberFormat="0" applyFont="0" applyBorder="0" applyAlignment="0" applyProtection="0"/>
    <xf numFmtId="4" fontId="5" fillId="39" borderId="0" applyNumberFormat="0" applyFont="0" applyBorder="0" applyAlignment="0" applyProtection="0"/>
    <xf numFmtId="0" fontId="5" fillId="39" borderId="0" applyNumberFormat="0" applyFont="0" applyBorder="0" applyAlignment="0" applyProtection="0"/>
    <xf numFmtId="0" fontId="5" fillId="39" borderId="0" applyNumberFormat="0" applyFont="0" applyBorder="0" applyAlignment="0" applyProtection="0"/>
    <xf numFmtId="0" fontId="81" fillId="41" borderId="0" applyNumberFormat="0" applyFont="0" applyBorder="0" applyAlignment="0" applyProtection="0"/>
    <xf numFmtId="0" fontId="73" fillId="65" borderId="51" applyNumberFormat="0" applyFont="0" applyAlignment="0" applyProtection="0"/>
    <xf numFmtId="0" fontId="5" fillId="65" borderId="51" applyNumberFormat="0" applyFont="0" applyAlignment="0" applyProtection="0"/>
    <xf numFmtId="0" fontId="94" fillId="62" borderId="43" applyNumberFormat="0" applyAlignment="0" applyProtection="0"/>
    <xf numFmtId="170" fontId="57" fillId="66" borderId="1" applyNumberFormat="0" applyFont="0" applyBorder="0" applyAlignment="0" applyProtection="0">
      <alignment horizontal="right" vertical="center"/>
    </xf>
    <xf numFmtId="9" fontId="81" fillId="0" borderId="0" applyFont="0" applyFill="0" applyBorder="0" applyAlignment="0" applyProtection="0"/>
    <xf numFmtId="0" fontId="95" fillId="45" borderId="0" applyNumberFormat="0" applyBorder="0" applyAlignment="0" applyProtection="0"/>
    <xf numFmtId="4" fontId="57" fillId="39" borderId="1"/>
    <xf numFmtId="0" fontId="57" fillId="39" borderId="28"/>
    <xf numFmtId="0" fontId="96" fillId="0" borderId="0" applyNumberFormat="0" applyFill="0" applyBorder="0" applyAlignment="0" applyProtection="0"/>
    <xf numFmtId="0" fontId="97" fillId="0" borderId="46" applyNumberFormat="0" applyFill="0" applyAlignment="0" applyProtection="0"/>
    <xf numFmtId="0" fontId="98" fillId="0" borderId="0" applyNumberFormat="0" applyFill="0" applyBorder="0" applyAlignment="0" applyProtection="0"/>
    <xf numFmtId="0" fontId="99" fillId="0" borderId="47" applyNumberFormat="0" applyFill="0" applyAlignment="0" applyProtection="0"/>
    <xf numFmtId="0" fontId="100" fillId="0" borderId="48" applyNumberFormat="0" applyFill="0" applyAlignment="0" applyProtection="0"/>
    <xf numFmtId="0" fontId="101" fillId="0" borderId="49" applyNumberFormat="0" applyFill="0" applyAlignment="0" applyProtection="0"/>
    <xf numFmtId="0" fontId="101" fillId="0" borderId="0" applyNumberFormat="0" applyFill="0" applyBorder="0" applyAlignment="0" applyProtection="0"/>
    <xf numFmtId="0" fontId="102" fillId="0" borderId="50" applyNumberFormat="0" applyFill="0" applyAlignment="0" applyProtection="0"/>
    <xf numFmtId="0" fontId="104" fillId="0" borderId="0" applyNumberFormat="0" applyFill="0" applyBorder="0" applyAlignment="0" applyProtection="0"/>
    <xf numFmtId="0" fontId="105" fillId="63" borderId="45" applyNumberFormat="0" applyAlignment="0" applyProtection="0"/>
    <xf numFmtId="0" fontId="67" fillId="0" borderId="0" applyNumberFormat="0" applyFill="0" applyBorder="0" applyAlignment="0" applyProtection="0"/>
    <xf numFmtId="0" fontId="106" fillId="0" borderId="0" applyNumberFormat="0" applyFill="0" applyBorder="0" applyAlignment="0" applyProtection="0"/>
    <xf numFmtId="0" fontId="5" fillId="0" borderId="0" applyNumberFormat="0" applyFont="0" applyFill="0" applyBorder="0" applyProtection="0">
      <alignment horizontal="left" vertical="center"/>
    </xf>
    <xf numFmtId="0" fontId="57" fillId="38" borderId="0" applyBorder="0">
      <alignment horizontal="right" vertical="center"/>
    </xf>
    <xf numFmtId="0" fontId="57" fillId="38" borderId="0" applyBorder="0">
      <alignment horizontal="right" vertical="center"/>
    </xf>
    <xf numFmtId="0" fontId="57" fillId="0" borderId="0" applyBorder="0">
      <alignment horizontal="right" vertical="center"/>
    </xf>
    <xf numFmtId="4" fontId="5" fillId="0" borderId="0"/>
    <xf numFmtId="0" fontId="107" fillId="0" borderId="0"/>
    <xf numFmtId="0" fontId="5" fillId="39" borderId="0" applyNumberFormat="0" applyFont="0" applyBorder="0" applyAlignment="0" applyProtection="0"/>
    <xf numFmtId="0" fontId="67" fillId="0" borderId="0" applyNumberFormat="0" applyFill="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47" borderId="0" applyNumberFormat="0" applyBorder="0" applyAlignment="0" applyProtection="0"/>
    <xf numFmtId="0" fontId="73" fillId="48" borderId="0" applyNumberFormat="0" applyBorder="0" applyAlignment="0" applyProtection="0"/>
    <xf numFmtId="0" fontId="73" fillId="49" borderId="0" applyNumberFormat="0" applyBorder="0" applyAlignment="0" applyProtection="0"/>
    <xf numFmtId="0" fontId="73" fillId="50" borderId="0" applyNumberFormat="0" applyBorder="0" applyAlignment="0" applyProtection="0"/>
    <xf numFmtId="0" fontId="73" fillId="51" borderId="0" applyNumberFormat="0" applyBorder="0" applyAlignment="0" applyProtection="0"/>
    <xf numFmtId="0" fontId="73" fillId="52" borderId="0" applyNumberFormat="0" applyBorder="0" applyAlignment="0" applyProtection="0"/>
    <xf numFmtId="0" fontId="73" fillId="47" borderId="0" applyNumberFormat="0" applyBorder="0" applyAlignment="0" applyProtection="0"/>
    <xf numFmtId="0" fontId="73" fillId="50" borderId="0" applyNumberFormat="0" applyBorder="0" applyAlignment="0" applyProtection="0"/>
    <xf numFmtId="0" fontId="73" fillId="53" borderId="0" applyNumberFormat="0" applyBorder="0" applyAlignment="0" applyProtection="0"/>
    <xf numFmtId="0" fontId="75" fillId="54" borderId="0" applyNumberFormat="0" applyBorder="0" applyAlignment="0" applyProtection="0"/>
    <xf numFmtId="0" fontId="75" fillId="51" borderId="0" applyNumberFormat="0" applyBorder="0" applyAlignment="0" applyProtection="0"/>
    <xf numFmtId="0" fontId="75" fillId="52" borderId="0" applyNumberFormat="0" applyBorder="0" applyAlignment="0" applyProtection="0"/>
    <xf numFmtId="0" fontId="75" fillId="55" borderId="0" applyNumberFormat="0" applyBorder="0" applyAlignment="0" applyProtection="0"/>
    <xf numFmtId="0" fontId="75" fillId="56" borderId="0" applyNumberFormat="0" applyBorder="0" applyAlignment="0" applyProtection="0"/>
    <xf numFmtId="0" fontId="75" fillId="57" borderId="0" applyNumberFormat="0" applyBorder="0" applyAlignment="0" applyProtection="0"/>
    <xf numFmtId="0" fontId="75" fillId="58" borderId="0" applyNumberFormat="0" applyBorder="0" applyAlignment="0" applyProtection="0"/>
    <xf numFmtId="0" fontId="75" fillId="59" borderId="0" applyNumberFormat="0" applyBorder="0" applyAlignment="0" applyProtection="0"/>
    <xf numFmtId="0" fontId="75" fillId="60" borderId="0" applyNumberFormat="0" applyBorder="0" applyAlignment="0" applyProtection="0"/>
    <xf numFmtId="0" fontId="75" fillId="55" borderId="0" applyNumberFormat="0" applyBorder="0" applyAlignment="0" applyProtection="0"/>
    <xf numFmtId="0" fontId="75" fillId="56" borderId="0" applyNumberFormat="0" applyBorder="0" applyAlignment="0" applyProtection="0"/>
    <xf numFmtId="0" fontId="75" fillId="61" borderId="0" applyNumberFormat="0" applyBorder="0" applyAlignment="0" applyProtection="0"/>
    <xf numFmtId="0" fontId="77" fillId="45" borderId="0" applyNumberFormat="0" applyBorder="0" applyAlignment="0" applyProtection="0"/>
    <xf numFmtId="0" fontId="79" fillId="62" borderId="44" applyNumberFormat="0" applyAlignment="0" applyProtection="0"/>
    <xf numFmtId="0" fontId="80" fillId="63" borderId="45" applyNumberFormat="0" applyAlignment="0" applyProtection="0"/>
    <xf numFmtId="0" fontId="85" fillId="0" borderId="0" applyNumberFormat="0" applyFill="0" applyBorder="0" applyAlignment="0" applyProtection="0"/>
    <xf numFmtId="0" fontId="86" fillId="46" borderId="0" applyNumberFormat="0" applyBorder="0" applyAlignment="0" applyProtection="0"/>
    <xf numFmtId="0" fontId="88" fillId="0" borderId="47" applyNumberFormat="0" applyFill="0" applyAlignment="0" applyProtection="0"/>
    <xf numFmtId="0" fontId="89" fillId="0" borderId="48" applyNumberFormat="0" applyFill="0" applyAlignment="0" applyProtection="0"/>
    <xf numFmtId="0" fontId="90" fillId="0" borderId="49" applyNumberFormat="0" applyFill="0" applyAlignment="0" applyProtection="0"/>
    <xf numFmtId="0" fontId="90" fillId="0" borderId="0" applyNumberFormat="0" applyFill="0" applyBorder="0" applyAlignment="0" applyProtection="0"/>
    <xf numFmtId="0" fontId="91" fillId="49" borderId="44" applyNumberFormat="0" applyAlignment="0" applyProtection="0"/>
    <xf numFmtId="0" fontId="92" fillId="0" borderId="50" applyNumberFormat="0" applyFill="0" applyAlignment="0" applyProtection="0"/>
    <xf numFmtId="0" fontId="93" fillId="64" borderId="0" applyNumberFormat="0" applyBorder="0" applyAlignment="0" applyProtection="0"/>
    <xf numFmtId="0" fontId="5" fillId="0" borderId="0"/>
    <xf numFmtId="0" fontId="73" fillId="65" borderId="51" applyNumberFormat="0" applyFont="0" applyAlignment="0" applyProtection="0"/>
    <xf numFmtId="0" fontId="94" fillId="62" borderId="43" applyNumberFormat="0" applyAlignment="0" applyProtection="0"/>
    <xf numFmtId="0" fontId="96" fillId="0" borderId="0" applyNumberFormat="0" applyFill="0" applyBorder="0" applyAlignment="0" applyProtection="0"/>
    <xf numFmtId="0" fontId="97" fillId="0" borderId="46" applyNumberFormat="0" applyFill="0" applyAlignment="0" applyProtection="0"/>
    <xf numFmtId="0" fontId="104" fillId="0" borderId="0" applyNumberFormat="0" applyFill="0" applyBorder="0" applyAlignment="0" applyProtection="0"/>
    <xf numFmtId="0" fontId="108" fillId="0" borderId="0">
      <alignment horizontal="left" vertical="center" indent="1"/>
    </xf>
    <xf numFmtId="0" fontId="73" fillId="44"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47" borderId="0" applyNumberFormat="0" applyBorder="0" applyAlignment="0" applyProtection="0"/>
    <xf numFmtId="0" fontId="73" fillId="48" borderId="0" applyNumberFormat="0" applyBorder="0" applyAlignment="0" applyProtection="0"/>
    <xf numFmtId="0" fontId="73" fillId="49" borderId="0" applyNumberFormat="0" applyBorder="0" applyAlignment="0" applyProtection="0"/>
    <xf numFmtId="0" fontId="73" fillId="50" borderId="0" applyNumberFormat="0" applyBorder="0" applyAlignment="0" applyProtection="0"/>
    <xf numFmtId="0" fontId="73" fillId="51" borderId="0" applyNumberFormat="0" applyBorder="0" applyAlignment="0" applyProtection="0"/>
    <xf numFmtId="0" fontId="73" fillId="52" borderId="0" applyNumberFormat="0" applyBorder="0" applyAlignment="0" applyProtection="0"/>
    <xf numFmtId="0" fontId="73" fillId="47" borderId="0" applyNumberFormat="0" applyBorder="0" applyAlignment="0" applyProtection="0"/>
    <xf numFmtId="0" fontId="73" fillId="50" borderId="0" applyNumberFormat="0" applyBorder="0" applyAlignment="0" applyProtection="0"/>
    <xf numFmtId="0" fontId="73" fillId="53" borderId="0" applyNumberFormat="0" applyBorder="0" applyAlignment="0" applyProtection="0"/>
    <xf numFmtId="0" fontId="75" fillId="54" borderId="0" applyNumberFormat="0" applyBorder="0" applyAlignment="0" applyProtection="0"/>
    <xf numFmtId="0" fontId="75" fillId="51" borderId="0" applyNumberFormat="0" applyBorder="0" applyAlignment="0" applyProtection="0"/>
    <xf numFmtId="0" fontId="75" fillId="52" borderId="0" applyNumberFormat="0" applyBorder="0" applyAlignment="0" applyProtection="0"/>
    <xf numFmtId="0" fontId="75" fillId="55" borderId="0" applyNumberFormat="0" applyBorder="0" applyAlignment="0" applyProtection="0"/>
    <xf numFmtId="0" fontId="75" fillId="56" borderId="0" applyNumberFormat="0" applyBorder="0" applyAlignment="0" applyProtection="0"/>
    <xf numFmtId="0" fontId="75" fillId="57" borderId="0" applyNumberFormat="0" applyBorder="0" applyAlignment="0" applyProtection="0"/>
    <xf numFmtId="0" fontId="54" fillId="38" borderId="52">
      <alignment horizontal="right" vertical="center"/>
    </xf>
    <xf numFmtId="4" fontId="54" fillId="38" borderId="52">
      <alignment horizontal="right" vertical="center"/>
    </xf>
    <xf numFmtId="0" fontId="64" fillId="38" borderId="52">
      <alignment horizontal="right" vertical="center"/>
    </xf>
    <xf numFmtId="4" fontId="64" fillId="38" borderId="52">
      <alignment horizontal="right" vertical="center"/>
    </xf>
    <xf numFmtId="0" fontId="54" fillId="40" borderId="52">
      <alignment horizontal="right" vertical="center"/>
    </xf>
    <xf numFmtId="4" fontId="54" fillId="40" borderId="52">
      <alignment horizontal="right" vertical="center"/>
    </xf>
    <xf numFmtId="0" fontId="54" fillId="40" borderId="52">
      <alignment horizontal="right" vertical="center"/>
    </xf>
    <xf numFmtId="4" fontId="54" fillId="40" borderId="52">
      <alignment horizontal="right" vertical="center"/>
    </xf>
    <xf numFmtId="0" fontId="54" fillId="40" borderId="53">
      <alignment horizontal="right" vertical="center"/>
    </xf>
    <xf numFmtId="4" fontId="54" fillId="40" borderId="53">
      <alignment horizontal="right" vertical="center"/>
    </xf>
    <xf numFmtId="0" fontId="54" fillId="40" borderId="54">
      <alignment horizontal="right" vertical="center"/>
    </xf>
    <xf numFmtId="4" fontId="54" fillId="40" borderId="54">
      <alignment horizontal="right" vertical="center"/>
    </xf>
    <xf numFmtId="0" fontId="79" fillId="62" borderId="44" applyNumberFormat="0" applyAlignment="0" applyProtection="0"/>
    <xf numFmtId="0" fontId="57" fillId="40" borderId="55">
      <alignment horizontal="left" vertical="center" wrapText="1" indent="2"/>
    </xf>
    <xf numFmtId="0" fontId="57" fillId="0" borderId="55">
      <alignment horizontal="left" vertical="center" wrapText="1" indent="2"/>
    </xf>
    <xf numFmtId="0" fontId="57" fillId="38" borderId="53">
      <alignment horizontal="left" vertical="center"/>
    </xf>
    <xf numFmtId="0" fontId="85" fillId="0" borderId="0" applyNumberFormat="0" applyFill="0" applyBorder="0" applyAlignment="0" applyProtection="0"/>
    <xf numFmtId="0" fontId="91" fillId="49" borderId="44" applyNumberFormat="0" applyAlignment="0" applyProtection="0"/>
    <xf numFmtId="0" fontId="57" fillId="0" borderId="52">
      <alignment horizontal="right" vertical="center"/>
    </xf>
    <xf numFmtId="4" fontId="57" fillId="0" borderId="52">
      <alignment horizontal="right" vertical="center"/>
    </xf>
    <xf numFmtId="0" fontId="8" fillId="0" borderId="0"/>
    <xf numFmtId="0" fontId="57" fillId="0" borderId="52" applyNumberFormat="0" applyFill="0" applyAlignment="0" applyProtection="0"/>
    <xf numFmtId="0" fontId="94" fillId="62" borderId="43" applyNumberFormat="0" applyAlignment="0" applyProtection="0"/>
    <xf numFmtId="170" fontId="57" fillId="66" borderId="52" applyNumberFormat="0" applyFont="0" applyBorder="0" applyAlignment="0" applyProtection="0">
      <alignment horizontal="right" vertical="center"/>
    </xf>
    <xf numFmtId="0" fontId="57" fillId="39" borderId="52"/>
    <xf numFmtId="4" fontId="57" fillId="39" borderId="52"/>
    <xf numFmtId="0" fontId="97" fillId="0" borderId="46" applyNumberFormat="0" applyFill="0" applyAlignment="0" applyProtection="0"/>
    <xf numFmtId="0" fontId="104"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5" borderId="3" applyNumberFormat="0" applyAlignment="0" applyProtection="0"/>
    <xf numFmtId="0" fontId="57" fillId="38" borderId="0" applyBorder="0">
      <alignment horizontal="right" vertical="center"/>
    </xf>
    <xf numFmtId="0" fontId="57" fillId="38" borderId="0" applyBorder="0">
      <alignment horizontal="right" vertical="center"/>
    </xf>
    <xf numFmtId="0" fontId="57" fillId="0" borderId="0" applyBorder="0">
      <alignment horizontal="right" vertical="center"/>
    </xf>
    <xf numFmtId="0" fontId="5" fillId="0" borderId="0"/>
    <xf numFmtId="49" fontId="57" fillId="0" borderId="52" applyNumberFormat="0" applyFont="0" applyFill="0" applyBorder="0" applyProtection="0">
      <alignment horizontal="left" vertical="center" indent="2"/>
    </xf>
    <xf numFmtId="49" fontId="57" fillId="0" borderId="53" applyNumberFormat="0" applyFont="0" applyFill="0" applyBorder="0" applyProtection="0">
      <alignment horizontal="left" vertical="center" indent="5"/>
    </xf>
    <xf numFmtId="0" fontId="74" fillId="58" borderId="0" applyNumberFormat="0" applyBorder="0" applyAlignment="0" applyProtection="0"/>
    <xf numFmtId="0" fontId="74" fillId="59" borderId="0" applyNumberFormat="0" applyBorder="0" applyAlignment="0" applyProtection="0"/>
    <xf numFmtId="0" fontId="74" fillId="60" borderId="0" applyNumberFormat="0" applyBorder="0" applyAlignment="0" applyProtection="0"/>
    <xf numFmtId="0" fontId="74" fillId="55" borderId="0" applyNumberFormat="0" applyBorder="0" applyAlignment="0" applyProtection="0"/>
    <xf numFmtId="0" fontId="74" fillId="56" borderId="0" applyNumberFormat="0" applyBorder="0" applyAlignment="0" applyProtection="0"/>
    <xf numFmtId="0" fontId="74" fillId="61" borderId="0" applyNumberFormat="0" applyBorder="0" applyAlignment="0" applyProtection="0"/>
    <xf numFmtId="0" fontId="87" fillId="46" borderId="0" applyNumberFormat="0" applyBorder="0" applyAlignment="0" applyProtection="0"/>
    <xf numFmtId="4" fontId="5" fillId="0" borderId="0"/>
    <xf numFmtId="0" fontId="5" fillId="0" borderId="0"/>
    <xf numFmtId="0" fontId="8" fillId="0" borderId="0"/>
    <xf numFmtId="4" fontId="57" fillId="0" borderId="52" applyFill="0" applyBorder="0" applyProtection="0">
      <alignment horizontal="right" vertical="center"/>
    </xf>
    <xf numFmtId="49" fontId="55" fillId="0" borderId="52" applyNumberFormat="0" applyFill="0" applyBorder="0" applyProtection="0">
      <alignment horizontal="left" vertical="center"/>
    </xf>
    <xf numFmtId="0" fontId="5" fillId="39" borderId="0" applyNumberFormat="0" applyFont="0" applyBorder="0" applyAlignment="0" applyProtection="0"/>
    <xf numFmtId="0" fontId="95" fillId="45" borderId="0" applyNumberFormat="0" applyBorder="0" applyAlignment="0" applyProtection="0"/>
    <xf numFmtId="0" fontId="99" fillId="0" borderId="47" applyNumberFormat="0" applyFill="0" applyAlignment="0" applyProtection="0"/>
    <xf numFmtId="0" fontId="100" fillId="0" borderId="48" applyNumberFormat="0" applyFill="0" applyAlignment="0" applyProtection="0"/>
    <xf numFmtId="0" fontId="101" fillId="0" borderId="49" applyNumberFormat="0" applyFill="0" applyAlignment="0" applyProtection="0"/>
    <xf numFmtId="0" fontId="101" fillId="0" borderId="0" applyNumberFormat="0" applyFill="0" applyBorder="0" applyAlignment="0" applyProtection="0"/>
    <xf numFmtId="0" fontId="102" fillId="0" borderId="50" applyNumberFormat="0" applyFill="0" applyAlignment="0" applyProtection="0"/>
    <xf numFmtId="0" fontId="105" fillId="63" borderId="45" applyNumberFormat="0" applyAlignment="0" applyProtection="0"/>
    <xf numFmtId="0" fontId="67" fillId="0" borderId="0" applyNumberFormat="0" applyFill="0" applyBorder="0" applyAlignment="0" applyProtection="0"/>
    <xf numFmtId="0" fontId="8" fillId="0" borderId="0"/>
    <xf numFmtId="0" fontId="10" fillId="5" borderId="3" applyNumberFormat="0" applyAlignment="0" applyProtection="0"/>
    <xf numFmtId="0" fontId="66" fillId="44"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66" fillId="51" borderId="0" applyNumberFormat="0" applyBorder="0" applyAlignment="0" applyProtection="0"/>
    <xf numFmtId="0" fontId="66" fillId="52" borderId="0" applyNumberFormat="0" applyBorder="0" applyAlignment="0" applyProtection="0"/>
    <xf numFmtId="0" fontId="66" fillId="47" borderId="0" applyNumberFormat="0" applyBorder="0" applyAlignment="0" applyProtection="0"/>
    <xf numFmtId="0" fontId="66" fillId="50" borderId="0" applyNumberFormat="0" applyBorder="0" applyAlignment="0" applyProtection="0"/>
    <xf numFmtId="0" fontId="66" fillId="53" borderId="0" applyNumberFormat="0" applyBorder="0" applyAlignment="0" applyProtection="0"/>
    <xf numFmtId="0" fontId="74" fillId="54" borderId="0" applyNumberFormat="0" applyBorder="0" applyAlignment="0" applyProtection="0"/>
    <xf numFmtId="0" fontId="74" fillId="51" borderId="0" applyNumberFormat="0" applyBorder="0" applyAlignment="0" applyProtection="0"/>
    <xf numFmtId="0" fontId="74" fillId="52" borderId="0" applyNumberFormat="0" applyBorder="0" applyAlignment="0" applyProtection="0"/>
    <xf numFmtId="0" fontId="74" fillId="55" borderId="0" applyNumberFormat="0" applyBorder="0" applyAlignment="0" applyProtection="0"/>
    <xf numFmtId="0" fontId="74" fillId="56" borderId="0" applyNumberFormat="0" applyBorder="0" applyAlignment="0" applyProtection="0"/>
    <xf numFmtId="0" fontId="74" fillId="57" borderId="0" applyNumberFormat="0" applyBorder="0" applyAlignment="0" applyProtection="0"/>
    <xf numFmtId="0" fontId="76" fillId="62" borderId="43" applyNumberFormat="0" applyAlignment="0" applyProtection="0"/>
    <xf numFmtId="0" fontId="78" fillId="62" borderId="44" applyNumberFormat="0" applyAlignment="0" applyProtection="0"/>
    <xf numFmtId="0" fontId="83" fillId="0" borderId="46" applyNumberFormat="0" applyFill="0" applyAlignment="0" applyProtection="0"/>
    <xf numFmtId="0" fontId="84" fillId="0" borderId="0" applyNumberFormat="0" applyFill="0" applyBorder="0" applyAlignment="0" applyProtection="0"/>
    <xf numFmtId="0" fontId="8" fillId="0" borderId="0"/>
    <xf numFmtId="0" fontId="103" fillId="0" borderId="0" applyNumberFormat="0" applyFill="0" applyBorder="0" applyAlignment="0" applyProtection="0"/>
    <xf numFmtId="0" fontId="8" fillId="0" borderId="0"/>
    <xf numFmtId="0" fontId="8" fillId="0" borderId="0"/>
    <xf numFmtId="0" fontId="8" fillId="0" borderId="0"/>
    <xf numFmtId="49" fontId="57" fillId="0" borderId="1" applyNumberFormat="0" applyFont="0" applyFill="0" applyBorder="0" applyProtection="0">
      <alignment horizontal="left" vertical="center" indent="2"/>
    </xf>
    <xf numFmtId="49" fontId="57" fillId="0" borderId="29" applyNumberFormat="0" applyFont="0" applyFill="0" applyBorder="0" applyProtection="0">
      <alignment horizontal="left" vertical="center" indent="5"/>
    </xf>
    <xf numFmtId="0" fontId="54" fillId="38" borderId="1">
      <alignment horizontal="right" vertical="center"/>
    </xf>
    <xf numFmtId="4" fontId="54" fillId="38" borderId="1">
      <alignment horizontal="right" vertical="center"/>
    </xf>
    <xf numFmtId="0" fontId="64" fillId="38" borderId="1">
      <alignment horizontal="right" vertical="center"/>
    </xf>
    <xf numFmtId="4" fontId="64" fillId="38" borderId="1">
      <alignment horizontal="right" vertical="center"/>
    </xf>
    <xf numFmtId="0" fontId="54" fillId="40" borderId="1">
      <alignment horizontal="right" vertical="center"/>
    </xf>
    <xf numFmtId="4" fontId="54" fillId="40" borderId="1">
      <alignment horizontal="right" vertical="center"/>
    </xf>
    <xf numFmtId="0" fontId="54" fillId="40" borderId="1">
      <alignment horizontal="right" vertical="center"/>
    </xf>
    <xf numFmtId="4" fontId="54" fillId="40" borderId="1">
      <alignment horizontal="right" vertical="center"/>
    </xf>
    <xf numFmtId="0" fontId="54" fillId="40" borderId="29">
      <alignment horizontal="right" vertical="center"/>
    </xf>
    <xf numFmtId="4" fontId="54" fillId="40" borderId="29">
      <alignment horizontal="right" vertical="center"/>
    </xf>
    <xf numFmtId="0" fontId="54" fillId="40" borderId="30">
      <alignment horizontal="right" vertical="center"/>
    </xf>
    <xf numFmtId="4" fontId="54" fillId="40" borderId="30">
      <alignment horizontal="right" vertical="center"/>
    </xf>
    <xf numFmtId="169" fontId="109" fillId="0" borderId="0" applyFont="0" applyFill="0" applyBorder="0" applyAlignment="0" applyProtection="0"/>
    <xf numFmtId="0" fontId="57" fillId="40" borderId="40">
      <alignment horizontal="left" vertical="center" wrapText="1" indent="2"/>
    </xf>
    <xf numFmtId="0" fontId="57" fillId="0" borderId="40">
      <alignment horizontal="left" vertical="center" wrapText="1" indent="2"/>
    </xf>
    <xf numFmtId="0" fontId="57" fillId="38" borderId="29">
      <alignment horizontal="left" vertical="center"/>
    </xf>
    <xf numFmtId="0" fontId="82" fillId="49" borderId="44" applyNumberFormat="0" applyAlignment="0" applyProtection="0"/>
    <xf numFmtId="0" fontId="57" fillId="0" borderId="1">
      <alignment horizontal="right" vertical="center"/>
    </xf>
    <xf numFmtId="4" fontId="57" fillId="0" borderId="1">
      <alignment horizontal="right" vertical="center"/>
    </xf>
    <xf numFmtId="0" fontId="109" fillId="0" borderId="0"/>
    <xf numFmtId="0" fontId="107" fillId="0" borderId="0"/>
    <xf numFmtId="0" fontId="107" fillId="0" borderId="0"/>
    <xf numFmtId="0" fontId="8" fillId="0" borderId="0"/>
    <xf numFmtId="0" fontId="8" fillId="0" borderId="0"/>
    <xf numFmtId="0" fontId="8" fillId="0" borderId="0"/>
    <xf numFmtId="0" fontId="8" fillId="0" borderId="0"/>
    <xf numFmtId="0" fontId="107" fillId="0" borderId="0"/>
    <xf numFmtId="0" fontId="5" fillId="0" borderId="0"/>
    <xf numFmtId="4" fontId="57" fillId="0" borderId="1" applyFill="0" applyBorder="0" applyProtection="0">
      <alignment horizontal="right" vertical="center"/>
    </xf>
    <xf numFmtId="49" fontId="55" fillId="0" borderId="1" applyNumberFormat="0" applyFill="0" applyBorder="0" applyProtection="0">
      <alignment horizontal="left" vertical="center"/>
    </xf>
    <xf numFmtId="0" fontId="57" fillId="0" borderId="1" applyNumberFormat="0" applyFill="0" applyAlignment="0" applyProtection="0"/>
    <xf numFmtId="0" fontId="109" fillId="41" borderId="0" applyNumberFormat="0" applyFont="0" applyBorder="0" applyAlignment="0" applyProtection="0"/>
    <xf numFmtId="170" fontId="57" fillId="66" borderId="1" applyNumberFormat="0" applyFont="0" applyBorder="0" applyAlignment="0" applyProtection="0">
      <alignment horizontal="right" vertical="center"/>
    </xf>
    <xf numFmtId="9" fontId="109" fillId="0" borderId="0" applyFont="0" applyFill="0" applyBorder="0" applyAlignment="0" applyProtection="0"/>
    <xf numFmtId="0" fontId="57" fillId="39" borderId="1"/>
    <xf numFmtId="4" fontId="57" fillId="39" borderId="1"/>
    <xf numFmtId="0" fontId="57" fillId="40" borderId="55">
      <alignment horizontal="left" vertical="center" wrapText="1" indent="2"/>
    </xf>
    <xf numFmtId="0" fontId="57" fillId="0" borderId="55">
      <alignment horizontal="left" vertical="center" wrapText="1" indent="2"/>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40" borderId="40">
      <alignment horizontal="left" vertical="center" wrapText="1" indent="2"/>
    </xf>
    <xf numFmtId="0" fontId="57" fillId="0" borderId="40">
      <alignment horizontal="left" vertical="center" wrapText="1" indent="2"/>
    </xf>
    <xf numFmtId="0" fontId="5" fillId="0" borderId="0"/>
    <xf numFmtId="4" fontId="54" fillId="40" borderId="52">
      <alignment horizontal="right" vertical="center"/>
    </xf>
    <xf numFmtId="0" fontId="57" fillId="39" borderId="52"/>
    <xf numFmtId="0" fontId="78" fillId="62" borderId="44" applyNumberFormat="0" applyAlignment="0" applyProtection="0"/>
    <xf numFmtId="0" fontId="54" fillId="38" borderId="52">
      <alignment horizontal="right" vertical="center"/>
    </xf>
    <xf numFmtId="0" fontId="57" fillId="0" borderId="52">
      <alignment horizontal="right" vertical="center"/>
    </xf>
    <xf numFmtId="0" fontId="97" fillId="0" borderId="46" applyNumberFormat="0" applyFill="0" applyAlignment="0" applyProtection="0"/>
    <xf numFmtId="0" fontId="57" fillId="38" borderId="53">
      <alignment horizontal="left" vertical="center"/>
    </xf>
    <xf numFmtId="0" fontId="91" fillId="49" borderId="44" applyNumberFormat="0" applyAlignment="0" applyProtection="0"/>
    <xf numFmtId="170" fontId="57" fillId="66" borderId="52" applyNumberFormat="0" applyFont="0" applyBorder="0" applyAlignment="0" applyProtection="0">
      <alignment horizontal="right" vertical="center"/>
    </xf>
    <xf numFmtId="0" fontId="73" fillId="65" borderId="51" applyNumberFormat="0" applyFont="0" applyAlignment="0" applyProtection="0"/>
    <xf numFmtId="0" fontId="57" fillId="0" borderId="55">
      <alignment horizontal="left" vertical="center" wrapText="1" indent="2"/>
    </xf>
    <xf numFmtId="4" fontId="57" fillId="39" borderId="52"/>
    <xf numFmtId="49" fontId="55" fillId="0" borderId="52" applyNumberFormat="0" applyFill="0" applyBorder="0" applyProtection="0">
      <alignment horizontal="left" vertical="center"/>
    </xf>
    <xf numFmtId="0" fontId="57" fillId="0" borderId="52">
      <alignment horizontal="right" vertical="center"/>
    </xf>
    <xf numFmtId="4" fontId="54" fillId="40" borderId="54">
      <alignment horizontal="right" vertical="center"/>
    </xf>
    <xf numFmtId="4" fontId="54" fillId="40" borderId="52">
      <alignment horizontal="right" vertical="center"/>
    </xf>
    <xf numFmtId="4" fontId="54" fillId="40" borderId="52">
      <alignment horizontal="right" vertical="center"/>
    </xf>
    <xf numFmtId="0" fontId="64" fillId="38" borderId="52">
      <alignment horizontal="right" vertical="center"/>
    </xf>
    <xf numFmtId="0" fontId="54" fillId="38" borderId="52">
      <alignment horizontal="right" vertical="center"/>
    </xf>
    <xf numFmtId="49" fontId="57" fillId="0" borderId="52" applyNumberFormat="0" applyFont="0" applyFill="0" applyBorder="0" applyProtection="0">
      <alignment horizontal="left" vertical="center" indent="2"/>
    </xf>
    <xf numFmtId="0" fontId="91" fillId="49" borderId="44" applyNumberFormat="0" applyAlignment="0" applyProtection="0"/>
    <xf numFmtId="0" fontId="76" fillId="62" borderId="43" applyNumberFormat="0" applyAlignment="0" applyProtection="0"/>
    <xf numFmtId="49" fontId="57" fillId="0" borderId="52" applyNumberFormat="0" applyFont="0" applyFill="0" applyBorder="0" applyProtection="0">
      <alignment horizontal="left" vertical="center" indent="2"/>
    </xf>
    <xf numFmtId="0" fontId="82" fillId="49" borderId="44" applyNumberFormat="0" applyAlignment="0" applyProtection="0"/>
    <xf numFmtId="4" fontId="57" fillId="0" borderId="52" applyFill="0" applyBorder="0" applyProtection="0">
      <alignment horizontal="right" vertical="center"/>
    </xf>
    <xf numFmtId="0" fontId="79" fillId="62" borderId="44" applyNumberFormat="0" applyAlignment="0" applyProtection="0"/>
    <xf numFmtId="0" fontId="97" fillId="0" borderId="46" applyNumberFormat="0" applyFill="0" applyAlignment="0" applyProtection="0"/>
    <xf numFmtId="0" fontId="94" fillId="62" borderId="43" applyNumberFormat="0" applyAlignment="0" applyProtection="0"/>
    <xf numFmtId="0" fontId="57" fillId="0" borderId="52" applyNumberFormat="0" applyFill="0" applyAlignment="0" applyProtection="0"/>
    <xf numFmtId="4" fontId="57" fillId="0" borderId="52">
      <alignment horizontal="right" vertical="center"/>
    </xf>
    <xf numFmtId="0" fontId="57" fillId="0" borderId="52">
      <alignment horizontal="right" vertical="center"/>
    </xf>
    <xf numFmtId="0" fontId="91" fillId="49" borderId="44" applyNumberFormat="0" applyAlignment="0" applyProtection="0"/>
    <xf numFmtId="0" fontId="76" fillId="62" borderId="43" applyNumberFormat="0" applyAlignment="0" applyProtection="0"/>
    <xf numFmtId="0" fontId="78" fillId="62" borderId="44" applyNumberFormat="0" applyAlignment="0" applyProtection="0"/>
    <xf numFmtId="0" fontId="57" fillId="40" borderId="55">
      <alignment horizontal="left" vertical="center" wrapText="1" indent="2"/>
    </xf>
    <xf numFmtId="0" fontId="79" fillId="62" borderId="44" applyNumberFormat="0" applyAlignment="0" applyProtection="0"/>
    <xf numFmtId="0" fontId="79" fillId="62" borderId="44" applyNumberFormat="0" applyAlignment="0" applyProtection="0"/>
    <xf numFmtId="4" fontId="54" fillId="40" borderId="53">
      <alignment horizontal="right" vertical="center"/>
    </xf>
    <xf numFmtId="0" fontId="54" fillId="40" borderId="53">
      <alignment horizontal="right" vertical="center"/>
    </xf>
    <xf numFmtId="0" fontId="54" fillId="40" borderId="52">
      <alignment horizontal="right" vertical="center"/>
    </xf>
    <xf numFmtId="4" fontId="64" fillId="38" borderId="52">
      <alignment horizontal="right" vertical="center"/>
    </xf>
    <xf numFmtId="0" fontId="82" fillId="49" borderId="44" applyNumberFormat="0" applyAlignment="0" applyProtection="0"/>
    <xf numFmtId="0" fontId="83" fillId="0" borderId="46" applyNumberFormat="0" applyFill="0" applyAlignment="0" applyProtection="0"/>
    <xf numFmtId="0" fontId="97" fillId="0" borderId="46" applyNumberFormat="0" applyFill="0" applyAlignment="0" applyProtection="0"/>
    <xf numFmtId="0" fontId="73" fillId="65" borderId="51" applyNumberFormat="0" applyFont="0" applyAlignment="0" applyProtection="0"/>
    <xf numFmtId="0" fontId="91" fillId="49" borderId="44" applyNumberFormat="0" applyAlignment="0" applyProtection="0"/>
    <xf numFmtId="49" fontId="55" fillId="0" borderId="52" applyNumberFormat="0" applyFill="0" applyBorder="0" applyProtection="0">
      <alignment horizontal="left" vertical="center"/>
    </xf>
    <xf numFmtId="0" fontId="57" fillId="40" borderId="55">
      <alignment horizontal="left" vertical="center" wrapText="1" indent="2"/>
    </xf>
    <xf numFmtId="0" fontId="79" fillId="62" borderId="44" applyNumberFormat="0" applyAlignment="0" applyProtection="0"/>
    <xf numFmtId="0" fontId="57" fillId="0" borderId="55">
      <alignment horizontal="left" vertical="center" wrapText="1" indent="2"/>
    </xf>
    <xf numFmtId="0" fontId="73" fillId="65" borderId="51" applyNumberFormat="0" applyFont="0" applyAlignment="0" applyProtection="0"/>
    <xf numFmtId="0" fontId="5" fillId="65" borderId="51" applyNumberFormat="0" applyFont="0" applyAlignment="0" applyProtection="0"/>
    <xf numFmtId="0" fontId="94" fillId="62" borderId="43" applyNumberFormat="0" applyAlignment="0" applyProtection="0"/>
    <xf numFmtId="0" fontId="97" fillId="0" borderId="46" applyNumberFormat="0" applyFill="0" applyAlignment="0" applyProtection="0"/>
    <xf numFmtId="4" fontId="57" fillId="39" borderId="52"/>
    <xf numFmtId="0" fontId="54" fillId="40" borderId="52">
      <alignment horizontal="right" vertical="center"/>
    </xf>
    <xf numFmtId="0" fontId="97" fillId="0" borderId="46" applyNumberFormat="0" applyFill="0" applyAlignment="0" applyProtection="0"/>
    <xf numFmtId="4" fontId="54" fillId="40" borderId="54">
      <alignment horizontal="right" vertical="center"/>
    </xf>
    <xf numFmtId="0" fontId="78" fillId="62" borderId="44" applyNumberFormat="0" applyAlignment="0" applyProtection="0"/>
    <xf numFmtId="0" fontId="54" fillId="40" borderId="53">
      <alignment horizontal="right" vertical="center"/>
    </xf>
    <xf numFmtId="0" fontId="79" fillId="62" borderId="44" applyNumberFormat="0" applyAlignment="0" applyProtection="0"/>
    <xf numFmtId="0" fontId="83" fillId="0" borderId="46" applyNumberFormat="0" applyFill="0" applyAlignment="0" applyProtection="0"/>
    <xf numFmtId="0" fontId="73" fillId="65" borderId="51" applyNumberFormat="0" applyFont="0" applyAlignment="0" applyProtection="0"/>
    <xf numFmtId="4" fontId="54" fillId="40" borderId="53">
      <alignment horizontal="right" vertical="center"/>
    </xf>
    <xf numFmtId="0" fontId="57" fillId="40" borderId="55">
      <alignment horizontal="left" vertical="center" wrapText="1" indent="2"/>
    </xf>
    <xf numFmtId="0" fontId="57" fillId="39" borderId="52"/>
    <xf numFmtId="170" fontId="57" fillId="66" borderId="52" applyNumberFormat="0" applyFont="0" applyBorder="0" applyAlignment="0" applyProtection="0">
      <alignment horizontal="right" vertical="center"/>
    </xf>
    <xf numFmtId="0" fontId="57" fillId="0" borderId="52" applyNumberFormat="0" applyFill="0" applyAlignment="0" applyProtection="0"/>
    <xf numFmtId="4" fontId="57" fillId="0" borderId="52" applyFill="0" applyBorder="0" applyProtection="0">
      <alignment horizontal="right" vertical="center"/>
    </xf>
    <xf numFmtId="4" fontId="54" fillId="38" borderId="52">
      <alignment horizontal="right" vertical="center"/>
    </xf>
    <xf numFmtId="0" fontId="83" fillId="0" borderId="46" applyNumberFormat="0" applyFill="0" applyAlignment="0" applyProtection="0"/>
    <xf numFmtId="49" fontId="55" fillId="0" borderId="52" applyNumberFormat="0" applyFill="0" applyBorder="0" applyProtection="0">
      <alignment horizontal="left" vertical="center"/>
    </xf>
    <xf numFmtId="49" fontId="57" fillId="0" borderId="53" applyNumberFormat="0" applyFont="0" applyFill="0" applyBorder="0" applyProtection="0">
      <alignment horizontal="left" vertical="center" indent="5"/>
    </xf>
    <xf numFmtId="0" fontId="57" fillId="38" borderId="53">
      <alignment horizontal="left" vertical="center"/>
    </xf>
    <xf numFmtId="0" fontId="79" fillId="62" borderId="44" applyNumberFormat="0" applyAlignment="0" applyProtection="0"/>
    <xf numFmtId="4" fontId="54" fillId="40" borderId="54">
      <alignment horizontal="right" vertical="center"/>
    </xf>
    <xf numFmtId="0" fontId="91" fillId="49" borderId="44" applyNumberFormat="0" applyAlignment="0" applyProtection="0"/>
    <xf numFmtId="0" fontId="91" fillId="49" borderId="44" applyNumberFormat="0" applyAlignment="0" applyProtection="0"/>
    <xf numFmtId="0" fontId="73" fillId="65" borderId="51" applyNumberFormat="0" applyFont="0" applyAlignment="0" applyProtection="0"/>
    <xf numFmtId="0" fontId="94" fillId="62" borderId="43" applyNumberFormat="0" applyAlignment="0" applyProtection="0"/>
    <xf numFmtId="0" fontId="97" fillId="0" borderId="46" applyNumberFormat="0" applyFill="0" applyAlignment="0" applyProtection="0"/>
    <xf numFmtId="0" fontId="54" fillId="40" borderId="52">
      <alignment horizontal="right" vertical="center"/>
    </xf>
    <xf numFmtId="0" fontId="5" fillId="65" borderId="51" applyNumberFormat="0" applyFont="0" applyAlignment="0" applyProtection="0"/>
    <xf numFmtId="4" fontId="57" fillId="0" borderId="52">
      <alignment horizontal="right" vertical="center"/>
    </xf>
    <xf numFmtId="0" fontId="97" fillId="0" borderId="46" applyNumberFormat="0" applyFill="0" applyAlignment="0" applyProtection="0"/>
    <xf numFmtId="0" fontId="54" fillId="40" borderId="52">
      <alignment horizontal="right" vertical="center"/>
    </xf>
    <xf numFmtId="0" fontId="54" fillId="40" borderId="52">
      <alignment horizontal="right" vertical="center"/>
    </xf>
    <xf numFmtId="4" fontId="64" fillId="38" borderId="52">
      <alignment horizontal="right" vertical="center"/>
    </xf>
    <xf numFmtId="0" fontId="54" fillId="38" borderId="52">
      <alignment horizontal="right" vertical="center"/>
    </xf>
    <xf numFmtId="4" fontId="54" fillId="38" borderId="52">
      <alignment horizontal="right" vertical="center"/>
    </xf>
    <xf numFmtId="0" fontId="64" fillId="38" borderId="52">
      <alignment horizontal="right" vertical="center"/>
    </xf>
    <xf numFmtId="4" fontId="64" fillId="38" borderId="52">
      <alignment horizontal="right" vertical="center"/>
    </xf>
    <xf numFmtId="0" fontId="54" fillId="40" borderId="52">
      <alignment horizontal="right" vertical="center"/>
    </xf>
    <xf numFmtId="4" fontId="54" fillId="40" borderId="52">
      <alignment horizontal="right" vertical="center"/>
    </xf>
    <xf numFmtId="0" fontId="54" fillId="40" borderId="52">
      <alignment horizontal="right" vertical="center"/>
    </xf>
    <xf numFmtId="4" fontId="54" fillId="40" borderId="52">
      <alignment horizontal="right" vertical="center"/>
    </xf>
    <xf numFmtId="0" fontId="54" fillId="40" borderId="53">
      <alignment horizontal="right" vertical="center"/>
    </xf>
    <xf numFmtId="4" fontId="54" fillId="40" borderId="53">
      <alignment horizontal="right" vertical="center"/>
    </xf>
    <xf numFmtId="0" fontId="54" fillId="40" borderId="54">
      <alignment horizontal="right" vertical="center"/>
    </xf>
    <xf numFmtId="4" fontId="54" fillId="40" borderId="54">
      <alignment horizontal="right" vertical="center"/>
    </xf>
    <xf numFmtId="0" fontId="79" fillId="62" borderId="44" applyNumberFormat="0" applyAlignment="0" applyProtection="0"/>
    <xf numFmtId="0" fontId="57" fillId="40" borderId="55">
      <alignment horizontal="left" vertical="center" wrapText="1" indent="2"/>
    </xf>
    <xf numFmtId="0" fontId="57" fillId="0" borderId="55">
      <alignment horizontal="left" vertical="center" wrapText="1" indent="2"/>
    </xf>
    <xf numFmtId="0" fontId="57" fillId="38" borderId="53">
      <alignment horizontal="left" vertical="center"/>
    </xf>
    <xf numFmtId="0" fontId="91" fillId="49" borderId="44" applyNumberFormat="0" applyAlignment="0" applyProtection="0"/>
    <xf numFmtId="0" fontId="57" fillId="0" borderId="52">
      <alignment horizontal="right" vertical="center"/>
    </xf>
    <xf numFmtId="4" fontId="57" fillId="0" borderId="52">
      <alignment horizontal="right" vertical="center"/>
    </xf>
    <xf numFmtId="0" fontId="57" fillId="0" borderId="52" applyNumberFormat="0" applyFill="0" applyAlignment="0" applyProtection="0"/>
    <xf numFmtId="0" fontId="94" fillId="62" borderId="43" applyNumberFormat="0" applyAlignment="0" applyProtection="0"/>
    <xf numFmtId="170" fontId="57" fillId="66" borderId="52" applyNumberFormat="0" applyFont="0" applyBorder="0" applyAlignment="0" applyProtection="0">
      <alignment horizontal="right" vertical="center"/>
    </xf>
    <xf numFmtId="0" fontId="57" fillId="39" borderId="52"/>
    <xf numFmtId="4" fontId="57" fillId="39" borderId="52"/>
    <xf numFmtId="0" fontId="97" fillId="0" borderId="46" applyNumberFormat="0" applyFill="0" applyAlignment="0" applyProtection="0"/>
    <xf numFmtId="0" fontId="5" fillId="65" borderId="51" applyNumberFormat="0" applyFont="0" applyAlignment="0" applyProtection="0"/>
    <xf numFmtId="0" fontId="73" fillId="65" borderId="51" applyNumberFormat="0" applyFont="0" applyAlignment="0" applyProtection="0"/>
    <xf numFmtId="0" fontId="57" fillId="0" borderId="52" applyNumberFormat="0" applyFill="0" applyAlignment="0" applyProtection="0"/>
    <xf numFmtId="0" fontId="83" fillId="0" borderId="46" applyNumberFormat="0" applyFill="0" applyAlignment="0" applyProtection="0"/>
    <xf numFmtId="0" fontId="97" fillId="0" borderId="46" applyNumberFormat="0" applyFill="0" applyAlignment="0" applyProtection="0"/>
    <xf numFmtId="0" fontId="82" fillId="49" borderId="44" applyNumberFormat="0" applyAlignment="0" applyProtection="0"/>
    <xf numFmtId="0" fontId="79" fillId="62" borderId="44" applyNumberFormat="0" applyAlignment="0" applyProtection="0"/>
    <xf numFmtId="4" fontId="64" fillId="38" borderId="52">
      <alignment horizontal="right" vertical="center"/>
    </xf>
    <xf numFmtId="0" fontId="54" fillId="38" borderId="52">
      <alignment horizontal="right" vertical="center"/>
    </xf>
    <xf numFmtId="170" fontId="57" fillId="66" borderId="52" applyNumberFormat="0" applyFont="0" applyBorder="0" applyAlignment="0" applyProtection="0">
      <alignment horizontal="right" vertical="center"/>
    </xf>
    <xf numFmtId="0" fontId="83" fillId="0" borderId="46" applyNumberFormat="0" applyFill="0" applyAlignment="0" applyProtection="0"/>
    <xf numFmtId="49" fontId="57" fillId="0" borderId="52" applyNumberFormat="0" applyFont="0" applyFill="0" applyBorder="0" applyProtection="0">
      <alignment horizontal="left" vertical="center" indent="2"/>
    </xf>
    <xf numFmtId="49" fontId="57" fillId="0" borderId="53" applyNumberFormat="0" applyFont="0" applyFill="0" applyBorder="0" applyProtection="0">
      <alignment horizontal="left" vertical="center" indent="5"/>
    </xf>
    <xf numFmtId="49" fontId="57" fillId="0" borderId="52" applyNumberFormat="0" applyFont="0" applyFill="0" applyBorder="0" applyProtection="0">
      <alignment horizontal="left" vertical="center" indent="2"/>
    </xf>
    <xf numFmtId="4" fontId="57" fillId="0" borderId="52" applyFill="0" applyBorder="0" applyProtection="0">
      <alignment horizontal="right" vertical="center"/>
    </xf>
    <xf numFmtId="49" fontId="55" fillId="0" borderId="52" applyNumberFormat="0" applyFill="0" applyBorder="0" applyProtection="0">
      <alignment horizontal="left" vertical="center"/>
    </xf>
    <xf numFmtId="0" fontId="57" fillId="0" borderId="55">
      <alignment horizontal="left" vertical="center" wrapText="1" indent="2"/>
    </xf>
    <xf numFmtId="0" fontId="94" fillId="62" borderId="43" applyNumberFormat="0" applyAlignment="0" applyProtection="0"/>
    <xf numFmtId="0" fontId="54" fillId="40" borderId="54">
      <alignment horizontal="right" vertical="center"/>
    </xf>
    <xf numFmtId="0" fontId="82" fillId="49" borderId="44" applyNumberFormat="0" applyAlignment="0" applyProtection="0"/>
    <xf numFmtId="0" fontId="54" fillId="40" borderId="54">
      <alignment horizontal="right" vertical="center"/>
    </xf>
    <xf numFmtId="4" fontId="54" fillId="40" borderId="52">
      <alignment horizontal="right" vertical="center"/>
    </xf>
    <xf numFmtId="0" fontId="54" fillId="40" borderId="52">
      <alignment horizontal="right" vertical="center"/>
    </xf>
    <xf numFmtId="0" fontId="76" fillId="62" borderId="43" applyNumberFormat="0" applyAlignment="0" applyProtection="0"/>
    <xf numFmtId="0" fontId="78" fillId="62" borderId="44" applyNumberFormat="0" applyAlignment="0" applyProtection="0"/>
    <xf numFmtId="0" fontId="83" fillId="0" borderId="46" applyNumberFormat="0" applyFill="0" applyAlignment="0" applyProtection="0"/>
    <xf numFmtId="0" fontId="57" fillId="39" borderId="52"/>
    <xf numFmtId="4" fontId="57" fillId="39" borderId="52"/>
    <xf numFmtId="4" fontId="54" fillId="40" borderId="52">
      <alignment horizontal="right" vertical="center"/>
    </xf>
    <xf numFmtId="0" fontId="64" fillId="38" borderId="52">
      <alignment horizontal="right" vertical="center"/>
    </xf>
    <xf numFmtId="0" fontId="82" fillId="49" borderId="44" applyNumberFormat="0" applyAlignment="0" applyProtection="0"/>
    <xf numFmtId="0" fontId="79" fillId="62" borderId="44" applyNumberFormat="0" applyAlignment="0" applyProtection="0"/>
    <xf numFmtId="4" fontId="57" fillId="0" borderId="52">
      <alignment horizontal="right" vertical="center"/>
    </xf>
    <xf numFmtId="0" fontId="57" fillId="40" borderId="55">
      <alignment horizontal="left" vertical="center" wrapText="1" indent="2"/>
    </xf>
    <xf numFmtId="0" fontId="57" fillId="0" borderId="55">
      <alignment horizontal="left" vertical="center" wrapText="1" indent="2"/>
    </xf>
    <xf numFmtId="0" fontId="94" fillId="62" borderId="43" applyNumberFormat="0" applyAlignment="0" applyProtection="0"/>
    <xf numFmtId="0" fontId="91" fillId="49" borderId="44" applyNumberFormat="0" applyAlignment="0" applyProtection="0"/>
    <xf numFmtId="0" fontId="78" fillId="62" borderId="44" applyNumberFormat="0" applyAlignment="0" applyProtection="0"/>
    <xf numFmtId="0" fontId="76" fillId="62" borderId="43" applyNumberFormat="0" applyAlignment="0" applyProtection="0"/>
    <xf numFmtId="0" fontId="54" fillId="40" borderId="54">
      <alignment horizontal="right" vertical="center"/>
    </xf>
    <xf numFmtId="0" fontId="64" fillId="38" borderId="52">
      <alignment horizontal="right" vertical="center"/>
    </xf>
    <xf numFmtId="4" fontId="54" fillId="38" borderId="52">
      <alignment horizontal="right" vertical="center"/>
    </xf>
    <xf numFmtId="4" fontId="54" fillId="40" borderId="52">
      <alignment horizontal="right" vertical="center"/>
    </xf>
    <xf numFmtId="49" fontId="57" fillId="0" borderId="53" applyNumberFormat="0" applyFont="0" applyFill="0" applyBorder="0" applyProtection="0">
      <alignment horizontal="left" vertical="center" indent="5"/>
    </xf>
    <xf numFmtId="4" fontId="57" fillId="0" borderId="52" applyFill="0" applyBorder="0" applyProtection="0">
      <alignment horizontal="right" vertical="center"/>
    </xf>
    <xf numFmtId="4" fontId="54" fillId="38" borderId="52">
      <alignment horizontal="right" vertical="center"/>
    </xf>
    <xf numFmtId="0" fontId="5" fillId="0" borderId="0"/>
    <xf numFmtId="0" fontId="91" fillId="49" borderId="44" applyNumberFormat="0" applyAlignment="0" applyProtection="0"/>
    <xf numFmtId="0" fontId="82" fillId="49" borderId="44" applyNumberFormat="0" applyAlignment="0" applyProtection="0"/>
    <xf numFmtId="0" fontId="78" fillId="62" borderId="44" applyNumberFormat="0" applyAlignment="0" applyProtection="0"/>
    <xf numFmtId="0" fontId="57" fillId="40" borderId="55">
      <alignment horizontal="left" vertical="center" wrapText="1" indent="2"/>
    </xf>
    <xf numFmtId="0" fontId="57" fillId="0" borderId="55">
      <alignment horizontal="left" vertical="center" wrapText="1" indent="2"/>
    </xf>
    <xf numFmtId="0" fontId="57" fillId="40" borderId="55">
      <alignment horizontal="left" vertical="center" wrapText="1" indent="2"/>
    </xf>
    <xf numFmtId="0" fontId="57" fillId="0" borderId="55">
      <alignment horizontal="left" vertical="center" wrapText="1" indent="2"/>
    </xf>
    <xf numFmtId="0" fontId="76" fillId="62" borderId="43" applyNumberFormat="0" applyAlignment="0" applyProtection="0"/>
    <xf numFmtId="0" fontId="78" fillId="62" borderId="44" applyNumberFormat="0" applyAlignment="0" applyProtection="0"/>
    <xf numFmtId="0" fontId="79" fillId="62" borderId="44" applyNumberFormat="0" applyAlignment="0" applyProtection="0"/>
    <xf numFmtId="0" fontId="82" fillId="49" borderId="44" applyNumberFormat="0" applyAlignment="0" applyProtection="0"/>
    <xf numFmtId="0" fontId="83" fillId="0" borderId="46" applyNumberFormat="0" applyFill="0" applyAlignment="0" applyProtection="0"/>
    <xf numFmtId="0" fontId="91" fillId="49" borderId="44" applyNumberFormat="0" applyAlignment="0" applyProtection="0"/>
    <xf numFmtId="0" fontId="73" fillId="65" borderId="51" applyNumberFormat="0" applyFont="0" applyAlignment="0" applyProtection="0"/>
    <xf numFmtId="0" fontId="5" fillId="65" borderId="51" applyNumberFormat="0" applyFont="0" applyAlignment="0" applyProtection="0"/>
    <xf numFmtId="0" fontId="94" fillId="62" borderId="43" applyNumberFormat="0" applyAlignment="0" applyProtection="0"/>
    <xf numFmtId="0" fontId="97" fillId="0" borderId="46" applyNumberFormat="0" applyFill="0" applyAlignment="0" applyProtection="0"/>
    <xf numFmtId="0" fontId="79" fillId="62" borderId="44" applyNumberFormat="0" applyAlignment="0" applyProtection="0"/>
    <xf numFmtId="0" fontId="91" fillId="49" borderId="44" applyNumberFormat="0" applyAlignment="0" applyProtection="0"/>
    <xf numFmtId="0" fontId="73" fillId="65" borderId="51" applyNumberFormat="0" applyFont="0" applyAlignment="0" applyProtection="0"/>
    <xf numFmtId="0" fontId="94" fillId="62" borderId="43" applyNumberFormat="0" applyAlignment="0" applyProtection="0"/>
    <xf numFmtId="0" fontId="97" fillId="0" borderId="46" applyNumberFormat="0" applyFill="0" applyAlignment="0" applyProtection="0"/>
    <xf numFmtId="0" fontId="54" fillId="40" borderId="29">
      <alignment horizontal="right" vertical="center"/>
    </xf>
    <xf numFmtId="4" fontId="54" fillId="40" borderId="29">
      <alignment horizontal="right" vertical="center"/>
    </xf>
    <xf numFmtId="0" fontId="54" fillId="40" borderId="30">
      <alignment horizontal="right" vertical="center"/>
    </xf>
    <xf numFmtId="4" fontId="54" fillId="40" borderId="30">
      <alignment horizontal="right" vertical="center"/>
    </xf>
    <xf numFmtId="0" fontId="79" fillId="62" borderId="44" applyNumberFormat="0" applyAlignment="0" applyProtection="0"/>
    <xf numFmtId="0" fontId="57" fillId="40" borderId="40">
      <alignment horizontal="left" vertical="center" wrapText="1" indent="2"/>
    </xf>
    <xf numFmtId="0" fontId="57" fillId="0" borderId="40">
      <alignment horizontal="left" vertical="center" wrapText="1" indent="2"/>
    </xf>
    <xf numFmtId="0" fontId="57" fillId="38" borderId="29">
      <alignment horizontal="left" vertical="center"/>
    </xf>
    <xf numFmtId="0" fontId="91" fillId="49" borderId="44" applyNumberFormat="0" applyAlignment="0" applyProtection="0"/>
    <xf numFmtId="0" fontId="94" fillId="62" borderId="43" applyNumberFormat="0" applyAlignment="0" applyProtection="0"/>
    <xf numFmtId="0" fontId="97" fillId="0" borderId="46" applyNumberFormat="0" applyFill="0" applyAlignment="0" applyProtection="0"/>
    <xf numFmtId="49" fontId="57" fillId="0" borderId="29" applyNumberFormat="0" applyFont="0" applyFill="0" applyBorder="0" applyProtection="0">
      <alignment horizontal="left" vertical="center" indent="5"/>
    </xf>
    <xf numFmtId="0" fontId="76" fillId="62" borderId="43" applyNumberFormat="0" applyAlignment="0" applyProtection="0"/>
    <xf numFmtId="0" fontId="78" fillId="62" borderId="44" applyNumberFormat="0" applyAlignment="0" applyProtection="0"/>
    <xf numFmtId="0" fontId="83" fillId="0" borderId="46" applyNumberFormat="0" applyFill="0" applyAlignment="0" applyProtection="0"/>
    <xf numFmtId="49" fontId="57" fillId="0" borderId="52" applyNumberFormat="0" applyFont="0" applyFill="0" applyBorder="0" applyProtection="0">
      <alignment horizontal="left" vertical="center" indent="2"/>
    </xf>
    <xf numFmtId="0" fontId="54" fillId="38" borderId="52">
      <alignment horizontal="right" vertical="center"/>
    </xf>
    <xf numFmtId="4" fontId="54" fillId="38" borderId="52">
      <alignment horizontal="right" vertical="center"/>
    </xf>
    <xf numFmtId="0" fontId="64" fillId="38" borderId="52">
      <alignment horizontal="right" vertical="center"/>
    </xf>
    <xf numFmtId="4" fontId="64" fillId="38" borderId="52">
      <alignment horizontal="right" vertical="center"/>
    </xf>
    <xf numFmtId="0" fontId="54" fillId="40" borderId="52">
      <alignment horizontal="right" vertical="center"/>
    </xf>
    <xf numFmtId="4" fontId="54" fillId="40" borderId="52">
      <alignment horizontal="right" vertical="center"/>
    </xf>
    <xf numFmtId="0" fontId="54" fillId="40" borderId="52">
      <alignment horizontal="right" vertical="center"/>
    </xf>
    <xf numFmtId="4" fontId="54" fillId="40" borderId="52">
      <alignment horizontal="right" vertical="center"/>
    </xf>
    <xf numFmtId="0" fontId="82" fillId="49" borderId="44" applyNumberFormat="0" applyAlignment="0" applyProtection="0"/>
    <xf numFmtId="0" fontId="57" fillId="0" borderId="52">
      <alignment horizontal="right" vertical="center"/>
    </xf>
    <xf numFmtId="4" fontId="57" fillId="0" borderId="52">
      <alignment horizontal="right" vertical="center"/>
    </xf>
    <xf numFmtId="4" fontId="57" fillId="0" borderId="52" applyFill="0" applyBorder="0" applyProtection="0">
      <alignment horizontal="right" vertical="center"/>
    </xf>
    <xf numFmtId="49" fontId="55" fillId="0" borderId="52" applyNumberFormat="0" applyFill="0" applyBorder="0" applyProtection="0">
      <alignment horizontal="left" vertical="center"/>
    </xf>
    <xf numFmtId="0" fontId="57" fillId="0" borderId="52" applyNumberFormat="0" applyFill="0" applyAlignment="0" applyProtection="0"/>
    <xf numFmtId="170" fontId="57" fillId="66" borderId="52" applyNumberFormat="0" applyFont="0" applyBorder="0" applyAlignment="0" applyProtection="0">
      <alignment horizontal="right" vertical="center"/>
    </xf>
    <xf numFmtId="0" fontId="57" fillId="39" borderId="52"/>
    <xf numFmtId="4" fontId="57" fillId="39" borderId="52"/>
    <xf numFmtId="4" fontId="54" fillId="40" borderId="52">
      <alignment horizontal="right" vertical="center"/>
    </xf>
    <xf numFmtId="0" fontId="57" fillId="39" borderId="52"/>
    <xf numFmtId="0" fontId="78" fillId="62" borderId="44" applyNumberFormat="0" applyAlignment="0" applyProtection="0"/>
    <xf numFmtId="0" fontId="54" fillId="38" borderId="52">
      <alignment horizontal="right" vertical="center"/>
    </xf>
    <xf numFmtId="0" fontId="57" fillId="0" borderId="52">
      <alignment horizontal="right" vertical="center"/>
    </xf>
    <xf numFmtId="0" fontId="97" fillId="0" borderId="46" applyNumberFormat="0" applyFill="0" applyAlignment="0" applyProtection="0"/>
    <xf numFmtId="0" fontId="57" fillId="38" borderId="53">
      <alignment horizontal="left" vertical="center"/>
    </xf>
    <xf numFmtId="0" fontId="91" fillId="49" borderId="44" applyNumberFormat="0" applyAlignment="0" applyProtection="0"/>
    <xf numFmtId="170" fontId="57" fillId="66" borderId="52" applyNumberFormat="0" applyFont="0" applyBorder="0" applyAlignment="0" applyProtection="0">
      <alignment horizontal="right" vertical="center"/>
    </xf>
    <xf numFmtId="0" fontId="73" fillId="65" borderId="51" applyNumberFormat="0" applyFont="0" applyAlignment="0" applyProtection="0"/>
    <xf numFmtId="0" fontId="57" fillId="0" borderId="55">
      <alignment horizontal="left" vertical="center" wrapText="1" indent="2"/>
    </xf>
    <xf numFmtId="4" fontId="57" fillId="39" borderId="52"/>
    <xf numFmtId="49" fontId="55" fillId="0" borderId="52" applyNumberFormat="0" applyFill="0" applyBorder="0" applyProtection="0">
      <alignment horizontal="left" vertical="center"/>
    </xf>
    <xf numFmtId="0" fontId="57" fillId="0" borderId="52">
      <alignment horizontal="right" vertical="center"/>
    </xf>
    <xf numFmtId="4" fontId="54" fillId="40" borderId="54">
      <alignment horizontal="right" vertical="center"/>
    </xf>
    <xf numFmtId="4" fontId="54" fillId="40" borderId="52">
      <alignment horizontal="right" vertical="center"/>
    </xf>
    <xf numFmtId="4" fontId="54" fillId="40" borderId="52">
      <alignment horizontal="right" vertical="center"/>
    </xf>
    <xf numFmtId="0" fontId="64" fillId="38" borderId="52">
      <alignment horizontal="right" vertical="center"/>
    </xf>
    <xf numFmtId="0" fontId="54" fillId="38" borderId="52">
      <alignment horizontal="right" vertical="center"/>
    </xf>
    <xf numFmtId="49" fontId="57" fillId="0" borderId="52" applyNumberFormat="0" applyFont="0" applyFill="0" applyBorder="0" applyProtection="0">
      <alignment horizontal="left" vertical="center" indent="2"/>
    </xf>
    <xf numFmtId="0" fontId="91" fillId="49" borderId="44" applyNumberFormat="0" applyAlignment="0" applyProtection="0"/>
    <xf numFmtId="0" fontId="76" fillId="62" borderId="43" applyNumberFormat="0" applyAlignment="0" applyProtection="0"/>
    <xf numFmtId="49" fontId="57" fillId="0" borderId="52" applyNumberFormat="0" applyFont="0" applyFill="0" applyBorder="0" applyProtection="0">
      <alignment horizontal="left" vertical="center" indent="2"/>
    </xf>
    <xf numFmtId="0" fontId="82" fillId="49" borderId="44" applyNumberFormat="0" applyAlignment="0" applyProtection="0"/>
    <xf numFmtId="4" fontId="57" fillId="0" borderId="52" applyFill="0" applyBorder="0" applyProtection="0">
      <alignment horizontal="right" vertical="center"/>
    </xf>
    <xf numFmtId="0" fontId="79" fillId="62" borderId="44" applyNumberFormat="0" applyAlignment="0" applyProtection="0"/>
    <xf numFmtId="0" fontId="97" fillId="0" borderId="46" applyNumberFormat="0" applyFill="0" applyAlignment="0" applyProtection="0"/>
    <xf numFmtId="0" fontId="94" fillId="62" borderId="43" applyNumberFormat="0" applyAlignment="0" applyProtection="0"/>
    <xf numFmtId="0" fontId="57" fillId="0" borderId="52" applyNumberFormat="0" applyFill="0" applyAlignment="0" applyProtection="0"/>
    <xf numFmtId="4" fontId="57" fillId="0" borderId="52">
      <alignment horizontal="right" vertical="center"/>
    </xf>
    <xf numFmtId="0" fontId="57" fillId="0" borderId="52">
      <alignment horizontal="right" vertical="center"/>
    </xf>
    <xf numFmtId="0" fontId="91" fillId="49" borderId="44" applyNumberFormat="0" applyAlignment="0" applyProtection="0"/>
    <xf numFmtId="0" fontId="76" fillId="62" borderId="43" applyNumberFormat="0" applyAlignment="0" applyProtection="0"/>
    <xf numFmtId="0" fontId="78" fillId="62" borderId="44" applyNumberFormat="0" applyAlignment="0" applyProtection="0"/>
    <xf numFmtId="0" fontId="57" fillId="40" borderId="55">
      <alignment horizontal="left" vertical="center" wrapText="1" indent="2"/>
    </xf>
    <xf numFmtId="0" fontId="79" fillId="62" borderId="44" applyNumberFormat="0" applyAlignment="0" applyProtection="0"/>
    <xf numFmtId="0" fontId="79" fillId="62" borderId="44" applyNumberFormat="0" applyAlignment="0" applyProtection="0"/>
    <xf numFmtId="4" fontId="54" fillId="40" borderId="53">
      <alignment horizontal="right" vertical="center"/>
    </xf>
    <xf numFmtId="0" fontId="54" fillId="40" borderId="53">
      <alignment horizontal="right" vertical="center"/>
    </xf>
    <xf numFmtId="0" fontId="54" fillId="40" borderId="52">
      <alignment horizontal="right" vertical="center"/>
    </xf>
    <xf numFmtId="4" fontId="64" fillId="38" borderId="52">
      <alignment horizontal="right" vertical="center"/>
    </xf>
    <xf numFmtId="0" fontId="82" fillId="49" borderId="44" applyNumberFormat="0" applyAlignment="0" applyProtection="0"/>
    <xf numFmtId="0" fontId="83" fillId="0" borderId="46" applyNumberFormat="0" applyFill="0" applyAlignment="0" applyProtection="0"/>
    <xf numFmtId="0" fontId="97" fillId="0" borderId="46" applyNumberFormat="0" applyFill="0" applyAlignment="0" applyProtection="0"/>
    <xf numFmtId="0" fontId="73" fillId="65" borderId="51" applyNumberFormat="0" applyFont="0" applyAlignment="0" applyProtection="0"/>
    <xf numFmtId="0" fontId="91" fillId="49" borderId="44" applyNumberFormat="0" applyAlignment="0" applyProtection="0"/>
    <xf numFmtId="49" fontId="55" fillId="0" borderId="52" applyNumberFormat="0" applyFill="0" applyBorder="0" applyProtection="0">
      <alignment horizontal="left" vertical="center"/>
    </xf>
    <xf numFmtId="0" fontId="57" fillId="40" borderId="55">
      <alignment horizontal="left" vertical="center" wrapText="1" indent="2"/>
    </xf>
    <xf numFmtId="0" fontId="79" fillId="62" borderId="44" applyNumberFormat="0" applyAlignment="0" applyProtection="0"/>
    <xf numFmtId="0" fontId="57" fillId="0" borderId="55">
      <alignment horizontal="left" vertical="center" wrapText="1" indent="2"/>
    </xf>
    <xf numFmtId="0" fontId="73" fillId="65" borderId="51" applyNumberFormat="0" applyFont="0" applyAlignment="0" applyProtection="0"/>
    <xf numFmtId="0" fontId="5" fillId="65" borderId="51" applyNumberFormat="0" applyFont="0" applyAlignment="0" applyProtection="0"/>
    <xf numFmtId="0" fontId="94" fillId="62" borderId="43" applyNumberFormat="0" applyAlignment="0" applyProtection="0"/>
    <xf numFmtId="0" fontId="97" fillId="0" borderId="46" applyNumberFormat="0" applyFill="0" applyAlignment="0" applyProtection="0"/>
    <xf numFmtId="4" fontId="57" fillId="39" borderId="52"/>
    <xf numFmtId="0" fontId="54" fillId="40" borderId="52">
      <alignment horizontal="right" vertical="center"/>
    </xf>
    <xf numFmtId="0" fontId="97" fillId="0" borderId="46" applyNumberFormat="0" applyFill="0" applyAlignment="0" applyProtection="0"/>
    <xf numFmtId="4" fontId="54" fillId="40" borderId="54">
      <alignment horizontal="right" vertical="center"/>
    </xf>
    <xf numFmtId="0" fontId="78" fillId="62" borderId="44" applyNumberFormat="0" applyAlignment="0" applyProtection="0"/>
    <xf numFmtId="0" fontId="54" fillId="40" borderId="53">
      <alignment horizontal="right" vertical="center"/>
    </xf>
    <xf numFmtId="0" fontId="79" fillId="62" borderId="44" applyNumberFormat="0" applyAlignment="0" applyProtection="0"/>
    <xf numFmtId="0" fontId="83" fillId="0" borderId="46" applyNumberFormat="0" applyFill="0" applyAlignment="0" applyProtection="0"/>
    <xf numFmtId="0" fontId="73" fillId="65" borderId="51" applyNumberFormat="0" applyFont="0" applyAlignment="0" applyProtection="0"/>
    <xf numFmtId="4" fontId="54" fillId="40" borderId="53">
      <alignment horizontal="right" vertical="center"/>
    </xf>
    <xf numFmtId="0" fontId="57" fillId="40" borderId="55">
      <alignment horizontal="left" vertical="center" wrapText="1" indent="2"/>
    </xf>
    <xf numFmtId="0" fontId="57" fillId="39" borderId="52"/>
    <xf numFmtId="170" fontId="57" fillId="66" borderId="52" applyNumberFormat="0" applyFont="0" applyBorder="0" applyAlignment="0" applyProtection="0">
      <alignment horizontal="right" vertical="center"/>
    </xf>
    <xf numFmtId="0" fontId="57" fillId="0" borderId="52" applyNumberFormat="0" applyFill="0" applyAlignment="0" applyProtection="0"/>
    <xf numFmtId="4" fontId="57" fillId="0" borderId="52" applyFill="0" applyBorder="0" applyProtection="0">
      <alignment horizontal="right" vertical="center"/>
    </xf>
    <xf numFmtId="4" fontId="54" fillId="38" borderId="52">
      <alignment horizontal="right" vertical="center"/>
    </xf>
    <xf numFmtId="0" fontId="83" fillId="0" borderId="46" applyNumberFormat="0" applyFill="0" applyAlignment="0" applyProtection="0"/>
    <xf numFmtId="49" fontId="55" fillId="0" borderId="52" applyNumberFormat="0" applyFill="0" applyBorder="0" applyProtection="0">
      <alignment horizontal="left" vertical="center"/>
    </xf>
    <xf numFmtId="49" fontId="57" fillId="0" borderId="53" applyNumberFormat="0" applyFont="0" applyFill="0" applyBorder="0" applyProtection="0">
      <alignment horizontal="left" vertical="center" indent="5"/>
    </xf>
    <xf numFmtId="0" fontId="57" fillId="38" borderId="53">
      <alignment horizontal="left" vertical="center"/>
    </xf>
    <xf numFmtId="0" fontId="79" fillId="62" borderId="44" applyNumberFormat="0" applyAlignment="0" applyProtection="0"/>
    <xf numFmtId="4" fontId="54" fillId="40" borderId="54">
      <alignment horizontal="right" vertical="center"/>
    </xf>
    <xf numFmtId="0" fontId="91" fillId="49" borderId="44" applyNumberFormat="0" applyAlignment="0" applyProtection="0"/>
    <xf numFmtId="0" fontId="91" fillId="49" borderId="44" applyNumberFormat="0" applyAlignment="0" applyProtection="0"/>
    <xf numFmtId="0" fontId="73" fillId="65" borderId="51" applyNumberFormat="0" applyFont="0" applyAlignment="0" applyProtection="0"/>
    <xf numFmtId="0" fontId="94" fillId="62" borderId="43" applyNumberFormat="0" applyAlignment="0" applyProtection="0"/>
    <xf numFmtId="0" fontId="97" fillId="0" borderId="46" applyNumberFormat="0" applyFill="0" applyAlignment="0" applyProtection="0"/>
    <xf numFmtId="0" fontId="54" fillId="40" borderId="52">
      <alignment horizontal="right" vertical="center"/>
    </xf>
    <xf numFmtId="0" fontId="5" fillId="65" borderId="51" applyNumberFormat="0" applyFont="0" applyAlignment="0" applyProtection="0"/>
    <xf numFmtId="4" fontId="57" fillId="0" borderId="52">
      <alignment horizontal="right" vertical="center"/>
    </xf>
    <xf numFmtId="0" fontId="97" fillId="0" borderId="46" applyNumberFormat="0" applyFill="0" applyAlignment="0" applyProtection="0"/>
    <xf numFmtId="0" fontId="54" fillId="40" borderId="52">
      <alignment horizontal="right" vertical="center"/>
    </xf>
    <xf numFmtId="0" fontId="54" fillId="40" borderId="52">
      <alignment horizontal="right" vertical="center"/>
    </xf>
    <xf numFmtId="4" fontId="64" fillId="38" borderId="52">
      <alignment horizontal="right" vertical="center"/>
    </xf>
    <xf numFmtId="0" fontId="54" fillId="38" borderId="52">
      <alignment horizontal="right" vertical="center"/>
    </xf>
    <xf numFmtId="4" fontId="54" fillId="38" borderId="52">
      <alignment horizontal="right" vertical="center"/>
    </xf>
    <xf numFmtId="0" fontId="64" fillId="38" borderId="52">
      <alignment horizontal="right" vertical="center"/>
    </xf>
    <xf numFmtId="4" fontId="64" fillId="38" borderId="52">
      <alignment horizontal="right" vertical="center"/>
    </xf>
    <xf numFmtId="0" fontId="54" fillId="40" borderId="52">
      <alignment horizontal="right" vertical="center"/>
    </xf>
    <xf numFmtId="4" fontId="54" fillId="40" borderId="52">
      <alignment horizontal="right" vertical="center"/>
    </xf>
    <xf numFmtId="0" fontId="54" fillId="40" borderId="52">
      <alignment horizontal="right" vertical="center"/>
    </xf>
    <xf numFmtId="4" fontId="54" fillId="40" borderId="52">
      <alignment horizontal="right" vertical="center"/>
    </xf>
    <xf numFmtId="0" fontId="54" fillId="40" borderId="53">
      <alignment horizontal="right" vertical="center"/>
    </xf>
    <xf numFmtId="4" fontId="54" fillId="40" borderId="53">
      <alignment horizontal="right" vertical="center"/>
    </xf>
    <xf numFmtId="0" fontId="54" fillId="40" borderId="54">
      <alignment horizontal="right" vertical="center"/>
    </xf>
    <xf numFmtId="4" fontId="54" fillId="40" borderId="54">
      <alignment horizontal="right" vertical="center"/>
    </xf>
    <xf numFmtId="0" fontId="79" fillId="62" borderId="44" applyNumberFormat="0" applyAlignment="0" applyProtection="0"/>
    <xf numFmtId="0" fontId="57" fillId="40" borderId="55">
      <alignment horizontal="left" vertical="center" wrapText="1" indent="2"/>
    </xf>
    <xf numFmtId="0" fontId="57" fillId="0" borderId="55">
      <alignment horizontal="left" vertical="center" wrapText="1" indent="2"/>
    </xf>
    <xf numFmtId="0" fontId="57" fillId="38" borderId="53">
      <alignment horizontal="left" vertical="center"/>
    </xf>
    <xf numFmtId="0" fontId="91" fillId="49" borderId="44" applyNumberFormat="0" applyAlignment="0" applyProtection="0"/>
    <xf numFmtId="0" fontId="57" fillId="0" borderId="52">
      <alignment horizontal="right" vertical="center"/>
    </xf>
    <xf numFmtId="4" fontId="57" fillId="0" borderId="52">
      <alignment horizontal="right" vertical="center"/>
    </xf>
    <xf numFmtId="0" fontId="57" fillId="0" borderId="52" applyNumberFormat="0" applyFill="0" applyAlignment="0" applyProtection="0"/>
    <xf numFmtId="0" fontId="94" fillId="62" borderId="43" applyNumberFormat="0" applyAlignment="0" applyProtection="0"/>
    <xf numFmtId="170" fontId="57" fillId="66" borderId="52" applyNumberFormat="0" applyFont="0" applyBorder="0" applyAlignment="0" applyProtection="0">
      <alignment horizontal="right" vertical="center"/>
    </xf>
    <xf numFmtId="0" fontId="57" fillId="39" borderId="52"/>
    <xf numFmtId="4" fontId="57" fillId="39" borderId="52"/>
    <xf numFmtId="0" fontId="97" fillId="0" borderId="46" applyNumberFormat="0" applyFill="0" applyAlignment="0" applyProtection="0"/>
    <xf numFmtId="0" fontId="5" fillId="65" borderId="51" applyNumberFormat="0" applyFont="0" applyAlignment="0" applyProtection="0"/>
    <xf numFmtId="0" fontId="73" fillId="65" borderId="51" applyNumberFormat="0" applyFont="0" applyAlignment="0" applyProtection="0"/>
    <xf numFmtId="0" fontId="57" fillId="0" borderId="52" applyNumberFormat="0" applyFill="0" applyAlignment="0" applyProtection="0"/>
    <xf numFmtId="0" fontId="83" fillId="0" borderId="46" applyNumberFormat="0" applyFill="0" applyAlignment="0" applyProtection="0"/>
    <xf numFmtId="0" fontId="97" fillId="0" borderId="46" applyNumberFormat="0" applyFill="0" applyAlignment="0" applyProtection="0"/>
    <xf numFmtId="0" fontId="82" fillId="49" borderId="44" applyNumberFormat="0" applyAlignment="0" applyProtection="0"/>
    <xf numFmtId="0" fontId="79" fillId="62" borderId="44" applyNumberFormat="0" applyAlignment="0" applyProtection="0"/>
    <xf numFmtId="4" fontId="64" fillId="38" borderId="52">
      <alignment horizontal="right" vertical="center"/>
    </xf>
    <xf numFmtId="0" fontId="54" fillId="38" borderId="52">
      <alignment horizontal="right" vertical="center"/>
    </xf>
    <xf numFmtId="170" fontId="57" fillId="66" borderId="52" applyNumberFormat="0" applyFont="0" applyBorder="0" applyAlignment="0" applyProtection="0">
      <alignment horizontal="right" vertical="center"/>
    </xf>
    <xf numFmtId="0" fontId="83" fillId="0" borderId="46" applyNumberFormat="0" applyFill="0" applyAlignment="0" applyProtection="0"/>
    <xf numFmtId="49" fontId="57" fillId="0" borderId="52" applyNumberFormat="0" applyFont="0" applyFill="0" applyBorder="0" applyProtection="0">
      <alignment horizontal="left" vertical="center" indent="2"/>
    </xf>
    <xf numFmtId="49" fontId="57" fillId="0" borderId="53" applyNumberFormat="0" applyFont="0" applyFill="0" applyBorder="0" applyProtection="0">
      <alignment horizontal="left" vertical="center" indent="5"/>
    </xf>
    <xf numFmtId="49" fontId="57" fillId="0" borderId="52" applyNumberFormat="0" applyFont="0" applyFill="0" applyBorder="0" applyProtection="0">
      <alignment horizontal="left" vertical="center" indent="2"/>
    </xf>
    <xf numFmtId="4" fontId="57" fillId="0" borderId="52" applyFill="0" applyBorder="0" applyProtection="0">
      <alignment horizontal="right" vertical="center"/>
    </xf>
    <xf numFmtId="49" fontId="55" fillId="0" borderId="52" applyNumberFormat="0" applyFill="0" applyBorder="0" applyProtection="0">
      <alignment horizontal="left" vertical="center"/>
    </xf>
    <xf numFmtId="0" fontId="57" fillId="0" borderId="55">
      <alignment horizontal="left" vertical="center" wrapText="1" indent="2"/>
    </xf>
    <xf numFmtId="0" fontId="94" fillId="62" borderId="43" applyNumberFormat="0" applyAlignment="0" applyProtection="0"/>
    <xf numFmtId="0" fontId="54" fillId="40" borderId="54">
      <alignment horizontal="right" vertical="center"/>
    </xf>
    <xf numFmtId="0" fontId="82" fillId="49" borderId="44" applyNumberFormat="0" applyAlignment="0" applyProtection="0"/>
    <xf numFmtId="0" fontId="54" fillId="40" borderId="54">
      <alignment horizontal="right" vertical="center"/>
    </xf>
    <xf numFmtId="4" fontId="54" fillId="40" borderId="52">
      <alignment horizontal="right" vertical="center"/>
    </xf>
    <xf numFmtId="0" fontId="54" fillId="40" borderId="52">
      <alignment horizontal="right" vertical="center"/>
    </xf>
    <xf numFmtId="0" fontId="76" fillId="62" borderId="43" applyNumberFormat="0" applyAlignment="0" applyProtection="0"/>
    <xf numFmtId="0" fontId="78" fillId="62" borderId="44" applyNumberFormat="0" applyAlignment="0" applyProtection="0"/>
    <xf numFmtId="0" fontId="83" fillId="0" borderId="46" applyNumberFormat="0" applyFill="0" applyAlignment="0" applyProtection="0"/>
    <xf numFmtId="0" fontId="57" fillId="39" borderId="52"/>
    <xf numFmtId="4" fontId="57" fillId="39" borderId="52"/>
    <xf numFmtId="4" fontId="54" fillId="40" borderId="52">
      <alignment horizontal="right" vertical="center"/>
    </xf>
    <xf numFmtId="0" fontId="64" fillId="38" borderId="52">
      <alignment horizontal="right" vertical="center"/>
    </xf>
    <xf numFmtId="0" fontId="82" fillId="49" borderId="44" applyNumberFormat="0" applyAlignment="0" applyProtection="0"/>
    <xf numFmtId="0" fontId="79" fillId="62" borderId="44" applyNumberFormat="0" applyAlignment="0" applyProtection="0"/>
    <xf numFmtId="4" fontId="57" fillId="0" borderId="52">
      <alignment horizontal="right" vertical="center"/>
    </xf>
    <xf numFmtId="0" fontId="57" fillId="40" borderId="55">
      <alignment horizontal="left" vertical="center" wrapText="1" indent="2"/>
    </xf>
    <xf numFmtId="0" fontId="57" fillId="0" borderId="55">
      <alignment horizontal="left" vertical="center" wrapText="1" indent="2"/>
    </xf>
    <xf numFmtId="0" fontId="94" fillId="62" borderId="43" applyNumberFormat="0" applyAlignment="0" applyProtection="0"/>
    <xf numFmtId="0" fontId="91" fillId="49" borderId="44" applyNumberFormat="0" applyAlignment="0" applyProtection="0"/>
    <xf numFmtId="0" fontId="78" fillId="62" borderId="44" applyNumberFormat="0" applyAlignment="0" applyProtection="0"/>
    <xf numFmtId="0" fontId="76" fillId="62" borderId="43" applyNumberFormat="0" applyAlignment="0" applyProtection="0"/>
    <xf numFmtId="0" fontId="54" fillId="40" borderId="54">
      <alignment horizontal="right" vertical="center"/>
    </xf>
    <xf numFmtId="0" fontId="64" fillId="38" borderId="52">
      <alignment horizontal="right" vertical="center"/>
    </xf>
    <xf numFmtId="4" fontId="54" fillId="38" borderId="52">
      <alignment horizontal="right" vertical="center"/>
    </xf>
    <xf numFmtId="4" fontId="54" fillId="40" borderId="52">
      <alignment horizontal="right" vertical="center"/>
    </xf>
    <xf numFmtId="49" fontId="57" fillId="0" borderId="53" applyNumberFormat="0" applyFont="0" applyFill="0" applyBorder="0" applyProtection="0">
      <alignment horizontal="left" vertical="center" indent="5"/>
    </xf>
    <xf numFmtId="4" fontId="57" fillId="0" borderId="52" applyFill="0" applyBorder="0" applyProtection="0">
      <alignment horizontal="right" vertical="center"/>
    </xf>
    <xf numFmtId="4" fontId="54" fillId="38" borderId="52">
      <alignment horizontal="right" vertical="center"/>
    </xf>
    <xf numFmtId="0" fontId="91" fillId="49" borderId="44" applyNumberFormat="0" applyAlignment="0" applyProtection="0"/>
    <xf numFmtId="0" fontId="82" fillId="49" borderId="44" applyNumberFormat="0" applyAlignment="0" applyProtection="0"/>
    <xf numFmtId="0" fontId="78" fillId="62" borderId="44" applyNumberFormat="0" applyAlignment="0" applyProtection="0"/>
    <xf numFmtId="0" fontId="57" fillId="40" borderId="55">
      <alignment horizontal="left" vertical="center" wrapText="1" indent="2"/>
    </xf>
    <xf numFmtId="0" fontId="57" fillId="0" borderId="55">
      <alignment horizontal="left" vertical="center" wrapText="1" indent="2"/>
    </xf>
    <xf numFmtId="0" fontId="57" fillId="40" borderId="55">
      <alignment horizontal="left" vertical="center" wrapText="1" indent="2"/>
    </xf>
    <xf numFmtId="0" fontId="8" fillId="0" borderId="0"/>
    <xf numFmtId="0" fontId="69" fillId="19" borderId="23" applyNumberFormat="0" applyAlignment="0" applyProtection="0"/>
    <xf numFmtId="0" fontId="69" fillId="19" borderId="23" applyNumberFormat="0" applyAlignment="0" applyProtection="0"/>
    <xf numFmtId="0" fontId="70" fillId="19" borderId="3" applyNumberFormat="0" applyAlignment="0" applyProtection="0"/>
    <xf numFmtId="0" fontId="23" fillId="0" borderId="0" applyNumberFormat="0" applyFill="0" applyBorder="0" applyAlignment="0" applyProtection="0"/>
    <xf numFmtId="0" fontId="71" fillId="0" borderId="0" applyNumberFormat="0" applyFill="0" applyBorder="0" applyAlignment="0" applyProtection="0"/>
    <xf numFmtId="0" fontId="6" fillId="0" borderId="24" applyNumberFormat="0" applyFill="0" applyAlignment="0" applyProtection="0"/>
    <xf numFmtId="0" fontId="8" fillId="20" borderId="0" applyNumberFormat="0" applyBorder="0" applyAlignment="0" applyProtection="0"/>
    <xf numFmtId="0" fontId="8" fillId="21" borderId="0" applyNumberFormat="0" applyBorder="0" applyAlignment="0" applyProtection="0"/>
    <xf numFmtId="0" fontId="72"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72"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72"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72"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72"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72" fillId="37" borderId="0" applyNumberFormat="0" applyBorder="0" applyAlignment="0" applyProtection="0"/>
    <xf numFmtId="0" fontId="23" fillId="0" borderId="0" applyNumberFormat="0" applyFill="0" applyBorder="0" applyAlignment="0" applyProtection="0"/>
    <xf numFmtId="0" fontId="70" fillId="19" borderId="3" applyNumberFormat="0" applyAlignment="0" applyProtection="0"/>
    <xf numFmtId="0" fontId="8" fillId="30" borderId="0" applyNumberFormat="0" applyBorder="0" applyAlignment="0" applyProtection="0"/>
    <xf numFmtId="0" fontId="72" fillId="22" borderId="0" applyNumberFormat="0" applyBorder="0" applyAlignment="0" applyProtection="0"/>
    <xf numFmtId="0" fontId="72" fillId="25" borderId="0" applyNumberFormat="0" applyBorder="0" applyAlignment="0" applyProtection="0"/>
    <xf numFmtId="0" fontId="72" fillId="34" borderId="0" applyNumberFormat="0" applyBorder="0" applyAlignment="0" applyProtection="0"/>
    <xf numFmtId="0" fontId="8" fillId="24" borderId="0" applyNumberFormat="0" applyBorder="0" applyAlignment="0" applyProtection="0"/>
    <xf numFmtId="0" fontId="8" fillId="29" borderId="0" applyNumberFormat="0" applyBorder="0" applyAlignment="0" applyProtection="0"/>
    <xf numFmtId="0" fontId="72" fillId="37" borderId="0" applyNumberFormat="0" applyBorder="0" applyAlignment="0" applyProtection="0"/>
    <xf numFmtId="0" fontId="8" fillId="21" borderId="0" applyNumberFormat="0" applyBorder="0" applyAlignment="0" applyProtection="0"/>
    <xf numFmtId="0" fontId="71" fillId="0" borderId="0" applyNumberFormat="0" applyFill="0" applyBorder="0" applyAlignment="0" applyProtection="0"/>
    <xf numFmtId="0" fontId="72" fillId="28"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72" fillId="31" borderId="0" applyNumberFormat="0" applyBorder="0" applyAlignment="0" applyProtection="0"/>
    <xf numFmtId="0" fontId="8" fillId="26" borderId="0" applyNumberFormat="0" applyBorder="0" applyAlignment="0" applyProtection="0"/>
    <xf numFmtId="0" fontId="6" fillId="0" borderId="24" applyNumberFormat="0" applyFill="0" applyAlignment="0" applyProtection="0"/>
    <xf numFmtId="0" fontId="8" fillId="33" borderId="0" applyNumberFormat="0" applyBorder="0" applyAlignment="0" applyProtection="0"/>
    <xf numFmtId="0" fontId="8" fillId="23" borderId="0" applyNumberFormat="0" applyBorder="0" applyAlignment="0" applyProtection="0"/>
    <xf numFmtId="0" fontId="8" fillId="36" borderId="0" applyNumberFormat="0" applyBorder="0" applyAlignment="0" applyProtection="0"/>
    <xf numFmtId="0" fontId="8" fillId="20" borderId="0" applyNumberFormat="0" applyBorder="0" applyAlignment="0" applyProtection="0"/>
    <xf numFmtId="0" fontId="8" fillId="27" borderId="0" applyNumberFormat="0" applyBorder="0" applyAlignment="0" applyProtection="0"/>
    <xf numFmtId="0" fontId="117" fillId="76" borderId="56">
      <alignment horizontal="center"/>
    </xf>
    <xf numFmtId="0" fontId="118" fillId="67" borderId="56"/>
    <xf numFmtId="0" fontId="118" fillId="77" borderId="56"/>
  </cellStyleXfs>
  <cellXfs count="742">
    <xf numFmtId="0" fontId="0" fillId="0" borderId="0" xfId="0"/>
    <xf numFmtId="0" fontId="0" fillId="0" borderId="1" xfId="0" applyBorder="1"/>
    <xf numFmtId="2" fontId="3" fillId="0" borderId="1" xfId="0" applyNumberFormat="1" applyFont="1" applyBorder="1" applyAlignment="1">
      <alignment vertical="top" wrapText="1"/>
    </xf>
    <xf numFmtId="2" fontId="0" fillId="0" borderId="1" xfId="0" applyNumberFormat="1" applyBorder="1" applyAlignment="1">
      <alignment vertical="top" wrapText="1"/>
    </xf>
    <xf numFmtId="2" fontId="4" fillId="0" borderId="1" xfId="1" applyNumberFormat="1" applyFont="1" applyFill="1" applyBorder="1" applyAlignment="1">
      <alignment vertical="top" wrapText="1"/>
    </xf>
    <xf numFmtId="4" fontId="0" fillId="0" borderId="0" xfId="0" applyNumberFormat="1"/>
    <xf numFmtId="164" fontId="0" fillId="0" borderId="0" xfId="0" applyNumberFormat="1"/>
    <xf numFmtId="2" fontId="0" fillId="0" borderId="1" xfId="0" applyNumberFormat="1" applyBorder="1" applyAlignment="1">
      <alignment vertical="top"/>
    </xf>
    <xf numFmtId="2" fontId="7" fillId="0" borderId="1" xfId="2" applyNumberFormat="1" applyFont="1" applyFill="1" applyBorder="1" applyAlignment="1">
      <alignment vertical="top" wrapText="1"/>
    </xf>
    <xf numFmtId="0" fontId="8" fillId="0" borderId="0" xfId="0" applyFont="1" applyAlignment="1">
      <alignment vertical="top"/>
    </xf>
    <xf numFmtId="0" fontId="0" fillId="0" borderId="0" xfId="0" applyAlignment="1">
      <alignment vertical="top"/>
    </xf>
    <xf numFmtId="0" fontId="4" fillId="0" borderId="0" xfId="3" applyFont="1" applyAlignment="1">
      <alignment vertical="top"/>
    </xf>
    <xf numFmtId="2" fontId="0" fillId="0" borderId="1" xfId="0" applyNumberFormat="1" applyBorder="1"/>
    <xf numFmtId="165" fontId="0" fillId="0" borderId="0" xfId="0" applyNumberFormat="1"/>
    <xf numFmtId="0" fontId="11" fillId="0" borderId="0" xfId="0" applyFont="1"/>
    <xf numFmtId="0" fontId="14" fillId="0" borderId="0" xfId="0" applyFont="1"/>
    <xf numFmtId="0" fontId="15" fillId="0" borderId="0" xfId="0" applyFont="1"/>
    <xf numFmtId="0" fontId="17" fillId="0" borderId="0" xfId="0" applyFont="1"/>
    <xf numFmtId="0" fontId="18" fillId="0" borderId="0" xfId="0" applyFont="1"/>
    <xf numFmtId="0" fontId="19" fillId="8" borderId="7" xfId="0" applyFont="1" applyFill="1" applyBorder="1" applyAlignment="1">
      <alignment horizontal="center" vertical="center"/>
    </xf>
    <xf numFmtId="0" fontId="19" fillId="8" borderId="8" xfId="0" applyFont="1" applyFill="1" applyBorder="1" applyAlignment="1">
      <alignment horizontal="center" vertical="center"/>
    </xf>
    <xf numFmtId="0" fontId="19" fillId="8" borderId="9" xfId="0" applyFont="1" applyFill="1" applyBorder="1" applyAlignment="1">
      <alignment horizontal="center" vertical="center"/>
    </xf>
    <xf numFmtId="0" fontId="23" fillId="0" borderId="0" xfId="0" applyFont="1"/>
    <xf numFmtId="0" fontId="12" fillId="0" borderId="0" xfId="0" applyFont="1"/>
    <xf numFmtId="0" fontId="24" fillId="0" borderId="0" xfId="0" applyFont="1"/>
    <xf numFmtId="0" fontId="19" fillId="8" borderId="4" xfId="0" applyFont="1" applyFill="1" applyBorder="1" applyAlignment="1">
      <alignment horizontal="center" vertical="center"/>
    </xf>
    <xf numFmtId="0" fontId="19" fillId="8" borderId="5" xfId="0" applyFont="1" applyFill="1" applyBorder="1" applyAlignment="1">
      <alignment horizontal="center" vertical="center"/>
    </xf>
    <xf numFmtId="0" fontId="19" fillId="8" borderId="6" xfId="0" applyFont="1" applyFill="1" applyBorder="1" applyAlignment="1">
      <alignment horizontal="center" vertical="center"/>
    </xf>
    <xf numFmtId="166" fontId="26" fillId="0" borderId="11" xfId="0" applyNumberFormat="1" applyFont="1" applyBorder="1" applyAlignment="1">
      <alignment horizontal="center" vertical="center"/>
    </xf>
    <xf numFmtId="168" fontId="26" fillId="10" borderId="11" xfId="0" applyNumberFormat="1" applyFont="1" applyFill="1" applyBorder="1" applyAlignment="1">
      <alignment horizontal="center" vertical="center"/>
    </xf>
    <xf numFmtId="0" fontId="0" fillId="4" borderId="1" xfId="0" applyFill="1" applyBorder="1" applyAlignment="1">
      <alignment horizontal="center"/>
    </xf>
    <xf numFmtId="0" fontId="8" fillId="0" borderId="1" xfId="0" applyFont="1" applyBorder="1" applyAlignment="1">
      <alignment horizontal="center" vertical="top" wrapText="1"/>
    </xf>
    <xf numFmtId="0" fontId="22" fillId="0" borderId="0" xfId="0" applyFont="1"/>
    <xf numFmtId="0" fontId="28" fillId="0" borderId="0" xfId="0" applyFont="1"/>
    <xf numFmtId="0" fontId="29" fillId="0" borderId="0" xfId="0" applyFont="1"/>
    <xf numFmtId="9" fontId="12" fillId="0" borderId="0" xfId="6" applyFont="1"/>
    <xf numFmtId="9" fontId="0" fillId="0" borderId="0" xfId="6" applyFont="1"/>
    <xf numFmtId="9" fontId="6" fillId="0" borderId="0" xfId="6" applyFont="1"/>
    <xf numFmtId="2" fontId="3" fillId="11" borderId="1" xfId="0" applyNumberFormat="1" applyFont="1" applyFill="1" applyBorder="1" applyAlignment="1">
      <alignment vertical="top" wrapText="1"/>
    </xf>
    <xf numFmtId="2" fontId="0" fillId="11" borderId="1" xfId="0" applyNumberFormat="1" applyFill="1" applyBorder="1" applyAlignment="1">
      <alignment vertical="top" wrapText="1"/>
    </xf>
    <xf numFmtId="2" fontId="7" fillId="11" borderId="1" xfId="2" applyNumberFormat="1" applyFont="1" applyFill="1" applyBorder="1" applyAlignment="1">
      <alignment vertical="top" wrapText="1"/>
    </xf>
    <xf numFmtId="0" fontId="31" fillId="0" borderId="0" xfId="0" applyFont="1"/>
    <xf numFmtId="0" fontId="4" fillId="9" borderId="1" xfId="1" applyFont="1" applyFill="1" applyBorder="1" applyAlignment="1">
      <alignment horizontal="left" vertical="top" wrapText="1"/>
    </xf>
    <xf numFmtId="0" fontId="9" fillId="0" borderId="0" xfId="3"/>
    <xf numFmtId="0" fontId="0" fillId="0" borderId="1" xfId="0" applyBorder="1" applyAlignment="1">
      <alignment horizontal="center"/>
    </xf>
    <xf numFmtId="0" fontId="13" fillId="0" borderId="0" xfId="0" applyFont="1" applyAlignment="1">
      <alignment wrapText="1"/>
    </xf>
    <xf numFmtId="0" fontId="0" fillId="0" borderId="0" xfId="0" applyAlignment="1">
      <alignment wrapText="1"/>
    </xf>
    <xf numFmtId="0" fontId="32" fillId="0" borderId="0" xfId="0" applyFont="1" applyAlignment="1">
      <alignment wrapText="1"/>
    </xf>
    <xf numFmtId="0" fontId="28"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19" fillId="8" borderId="5" xfId="0" applyFont="1" applyFill="1" applyBorder="1" applyAlignment="1">
      <alignment horizontal="center" vertical="center" wrapText="1"/>
    </xf>
    <xf numFmtId="0" fontId="19" fillId="8" borderId="8" xfId="0" applyFont="1" applyFill="1" applyBorder="1" applyAlignment="1">
      <alignment horizontal="center" vertical="center" wrapText="1"/>
    </xf>
    <xf numFmtId="167" fontId="26" fillId="0" borderId="11" xfId="0" applyNumberFormat="1" applyFont="1" applyBorder="1" applyAlignment="1">
      <alignment horizontal="center" vertical="center" wrapText="1"/>
    </xf>
    <xf numFmtId="167" fontId="26" fillId="10" borderId="11" xfId="0" applyNumberFormat="1" applyFont="1" applyFill="1" applyBorder="1" applyAlignment="1">
      <alignment horizontal="center" vertical="center" wrapText="1"/>
    </xf>
    <xf numFmtId="0" fontId="0" fillId="0" borderId="0" xfId="0" applyAlignment="1">
      <alignment horizontal="center"/>
    </xf>
    <xf numFmtId="0" fontId="29" fillId="0" borderId="0" xfId="0" applyFont="1" applyAlignment="1">
      <alignment wrapText="1"/>
    </xf>
    <xf numFmtId="9" fontId="0" fillId="0" borderId="1" xfId="6" applyFont="1" applyBorder="1" applyAlignment="1">
      <alignment horizontal="center"/>
    </xf>
    <xf numFmtId="0" fontId="22" fillId="0" borderId="1" xfId="0" applyFont="1" applyBorder="1" applyAlignment="1">
      <alignment horizontal="center"/>
    </xf>
    <xf numFmtId="0" fontId="0" fillId="0" borderId="0" xfId="0" applyAlignment="1">
      <alignment horizontal="center" vertical="center"/>
    </xf>
    <xf numFmtId="0" fontId="22" fillId="0" borderId="0" xfId="0" applyFont="1" applyAlignment="1">
      <alignment wrapText="1"/>
    </xf>
    <xf numFmtId="0" fontId="3" fillId="0" borderId="0" xfId="5" applyFont="1"/>
    <xf numFmtId="0" fontId="5" fillId="0" borderId="0" xfId="5"/>
    <xf numFmtId="0" fontId="4" fillId="9" borderId="1" xfId="0" applyFont="1" applyFill="1" applyBorder="1" applyAlignment="1">
      <alignment vertical="top" wrapText="1"/>
    </xf>
    <xf numFmtId="0" fontId="0" fillId="0" borderId="0" xfId="0" applyAlignment="1">
      <alignment horizontal="left"/>
    </xf>
    <xf numFmtId="0" fontId="0" fillId="7" borderId="1" xfId="0" applyFill="1" applyBorder="1" applyAlignment="1">
      <alignment horizontal="left"/>
    </xf>
    <xf numFmtId="0" fontId="22" fillId="7" borderId="1" xfId="0" applyFont="1" applyFill="1" applyBorder="1" applyAlignment="1">
      <alignment horizontal="left"/>
    </xf>
    <xf numFmtId="0" fontId="0" fillId="9" borderId="1" xfId="0" applyFill="1" applyBorder="1" applyAlignment="1">
      <alignment horizontal="left"/>
    </xf>
    <xf numFmtId="0" fontId="19" fillId="8" borderId="4" xfId="0" applyFont="1" applyFill="1" applyBorder="1" applyAlignment="1">
      <alignment horizontal="left" vertical="center"/>
    </xf>
    <xf numFmtId="0" fontId="19" fillId="8" borderId="10" xfId="0" applyFont="1" applyFill="1" applyBorder="1" applyAlignment="1">
      <alignment horizontal="left" vertical="center"/>
    </xf>
    <xf numFmtId="166" fontId="26" fillId="0" borderId="11" xfId="0" applyNumberFormat="1" applyFont="1" applyBorder="1" applyAlignment="1">
      <alignment horizontal="left" vertical="center"/>
    </xf>
    <xf numFmtId="166" fontId="26" fillId="10" borderId="11" xfId="0" applyNumberFormat="1" applyFont="1" applyFill="1" applyBorder="1" applyAlignment="1">
      <alignment horizontal="left" vertical="center"/>
    </xf>
    <xf numFmtId="0" fontId="27" fillId="0" borderId="0" xfId="0" applyFont="1" applyAlignment="1">
      <alignment horizontal="left"/>
    </xf>
    <xf numFmtId="0" fontId="22" fillId="7" borderId="1" xfId="0" applyFont="1" applyFill="1" applyBorder="1" applyAlignment="1">
      <alignment horizontal="left" wrapText="1"/>
    </xf>
    <xf numFmtId="0" fontId="0" fillId="0" borderId="0" xfId="0" quotePrefix="1"/>
    <xf numFmtId="0" fontId="28" fillId="0" borderId="0" xfId="0" quotePrefix="1" applyFont="1" applyAlignment="1">
      <alignment wrapText="1"/>
    </xf>
    <xf numFmtId="0" fontId="0" fillId="0" borderId="12" xfId="0" applyBorder="1"/>
    <xf numFmtId="0" fontId="34" fillId="12" borderId="1" xfId="0" applyFont="1" applyFill="1" applyBorder="1"/>
    <xf numFmtId="0" fontId="34" fillId="12" borderId="13" xfId="0" applyFont="1" applyFill="1" applyBorder="1"/>
    <xf numFmtId="0" fontId="36" fillId="13" borderId="13" xfId="0" applyFont="1" applyFill="1" applyBorder="1"/>
    <xf numFmtId="0" fontId="36" fillId="13" borderId="14" xfId="0" applyFont="1" applyFill="1" applyBorder="1"/>
    <xf numFmtId="0" fontId="36" fillId="13" borderId="15" xfId="0" applyFont="1" applyFill="1" applyBorder="1"/>
    <xf numFmtId="0" fontId="36" fillId="13" borderId="16" xfId="0" applyFont="1" applyFill="1" applyBorder="1"/>
    <xf numFmtId="0" fontId="36" fillId="13" borderId="1" xfId="0" applyFont="1" applyFill="1" applyBorder="1"/>
    <xf numFmtId="0" fontId="0" fillId="12" borderId="14" xfId="0" applyFill="1" applyBorder="1" applyAlignment="1">
      <alignment horizontal="center"/>
    </xf>
    <xf numFmtId="0" fontId="34" fillId="12" borderId="2" xfId="0" applyFont="1" applyFill="1" applyBorder="1" applyAlignment="1">
      <alignment horizontal="center"/>
    </xf>
    <xf numFmtId="0" fontId="36" fillId="13" borderId="17" xfId="0" applyFont="1" applyFill="1" applyBorder="1"/>
    <xf numFmtId="0" fontId="36" fillId="13" borderId="18" xfId="0" applyFont="1" applyFill="1" applyBorder="1"/>
    <xf numFmtId="0" fontId="36" fillId="13" borderId="0" xfId="0" applyFont="1" applyFill="1"/>
    <xf numFmtId="0" fontId="36" fillId="0" borderId="13" xfId="0" applyFont="1" applyBorder="1"/>
    <xf numFmtId="0" fontId="36" fillId="0" borderId="14" xfId="0" applyFont="1" applyBorder="1"/>
    <xf numFmtId="0" fontId="36" fillId="0" borderId="16" xfId="0" applyFont="1" applyBorder="1"/>
    <xf numFmtId="0" fontId="36" fillId="0" borderId="2" xfId="0" applyFont="1" applyBorder="1"/>
    <xf numFmtId="0" fontId="36" fillId="0" borderId="1" xfId="0" applyFont="1" applyBorder="1"/>
    <xf numFmtId="0" fontId="34" fillId="12" borderId="13" xfId="0" applyFont="1" applyFill="1" applyBorder="1" applyAlignment="1">
      <alignment horizontal="center"/>
    </xf>
    <xf numFmtId="0" fontId="38" fillId="13" borderId="13" xfId="0" applyFont="1" applyFill="1" applyBorder="1"/>
    <xf numFmtId="0" fontId="34" fillId="12" borderId="14" xfId="0" applyFont="1" applyFill="1" applyBorder="1" applyAlignment="1">
      <alignment horizontal="center"/>
    </xf>
    <xf numFmtId="0" fontId="34" fillId="6" borderId="13" xfId="0" applyFont="1" applyFill="1" applyBorder="1"/>
    <xf numFmtId="0" fontId="34" fillId="12" borderId="14" xfId="0" applyFont="1" applyFill="1" applyBorder="1"/>
    <xf numFmtId="0" fontId="34" fillId="14" borderId="1" xfId="0" applyFont="1" applyFill="1" applyBorder="1" applyAlignment="1">
      <alignment horizontal="left"/>
    </xf>
    <xf numFmtId="0" fontId="34" fillId="14" borderId="2" xfId="0" applyFont="1" applyFill="1" applyBorder="1"/>
    <xf numFmtId="0" fontId="36" fillId="15" borderId="1" xfId="0" applyFont="1" applyFill="1" applyBorder="1"/>
    <xf numFmtId="0" fontId="36" fillId="15" borderId="0" xfId="0" applyFont="1" applyFill="1"/>
    <xf numFmtId="1" fontId="36" fillId="16" borderId="13" xfId="0" applyNumberFormat="1" applyFont="1" applyFill="1" applyBorder="1"/>
    <xf numFmtId="0" fontId="36" fillId="15" borderId="18" xfId="0" applyFont="1" applyFill="1" applyBorder="1"/>
    <xf numFmtId="0" fontId="34" fillId="14" borderId="1" xfId="0" applyFont="1" applyFill="1" applyBorder="1"/>
    <xf numFmtId="1" fontId="36" fillId="16" borderId="1" xfId="0" applyNumberFormat="1" applyFont="1" applyFill="1" applyBorder="1"/>
    <xf numFmtId="165" fontId="36" fillId="16" borderId="1" xfId="0" applyNumberFormat="1" applyFont="1" applyFill="1" applyBorder="1"/>
    <xf numFmtId="0" fontId="34" fillId="0" borderId="0" xfId="0" applyFont="1" applyAlignment="1">
      <alignment horizontal="center" vertical="center"/>
    </xf>
    <xf numFmtId="0" fontId="34" fillId="14" borderId="1" xfId="0" applyFont="1" applyFill="1" applyBorder="1" applyAlignment="1">
      <alignment horizontal="center" vertical="center"/>
    </xf>
    <xf numFmtId="1" fontId="0" fillId="0" borderId="0" xfId="0" applyNumberFormat="1"/>
    <xf numFmtId="1" fontId="34" fillId="12" borderId="15" xfId="0" applyNumberFormat="1" applyFont="1" applyFill="1" applyBorder="1"/>
    <xf numFmtId="2" fontId="36" fillId="13" borderId="1" xfId="0" applyNumberFormat="1" applyFont="1" applyFill="1" applyBorder="1"/>
    <xf numFmtId="1" fontId="36" fillId="13" borderId="1" xfId="0" applyNumberFormat="1" applyFont="1" applyFill="1" applyBorder="1"/>
    <xf numFmtId="168" fontId="36" fillId="13" borderId="19" xfId="0" applyNumberFormat="1" applyFont="1" applyFill="1" applyBorder="1"/>
    <xf numFmtId="1" fontId="34" fillId="12" borderId="1" xfId="0" applyNumberFormat="1" applyFont="1" applyFill="1" applyBorder="1"/>
    <xf numFmtId="168" fontId="36" fillId="13" borderId="1" xfId="0" applyNumberFormat="1" applyFont="1" applyFill="1" applyBorder="1"/>
    <xf numFmtId="168" fontId="36" fillId="13" borderId="0" xfId="0" applyNumberFormat="1" applyFont="1" applyFill="1"/>
    <xf numFmtId="168" fontId="36" fillId="13" borderId="13" xfId="0" applyNumberFormat="1" applyFont="1" applyFill="1" applyBorder="1" applyAlignment="1">
      <alignment wrapText="1"/>
    </xf>
    <xf numFmtId="2" fontId="36" fillId="13" borderId="0" xfId="0" applyNumberFormat="1" applyFont="1" applyFill="1"/>
    <xf numFmtId="2" fontId="36" fillId="13" borderId="13" xfId="0" applyNumberFormat="1" applyFont="1" applyFill="1" applyBorder="1" applyAlignment="1">
      <alignment wrapText="1"/>
    </xf>
    <xf numFmtId="165" fontId="0" fillId="0" borderId="1" xfId="0" applyNumberFormat="1" applyBorder="1"/>
    <xf numFmtId="165" fontId="36" fillId="13" borderId="1" xfId="0" applyNumberFormat="1" applyFont="1" applyFill="1" applyBorder="1"/>
    <xf numFmtId="168" fontId="0" fillId="0" borderId="1" xfId="0" applyNumberFormat="1" applyBorder="1"/>
    <xf numFmtId="166" fontId="0" fillId="0" borderId="1" xfId="0" applyNumberFormat="1" applyBorder="1"/>
    <xf numFmtId="0" fontId="33" fillId="0" borderId="0" xfId="0" applyFont="1"/>
    <xf numFmtId="166" fontId="22" fillId="0" borderId="1" xfId="0" applyNumberFormat="1" applyFont="1" applyBorder="1" applyAlignment="1">
      <alignment horizontal="center"/>
    </xf>
    <xf numFmtId="166" fontId="11" fillId="0" borderId="0" xfId="0" applyNumberFormat="1" applyFont="1" applyAlignment="1">
      <alignment horizontal="center"/>
    </xf>
    <xf numFmtId="0" fontId="11" fillId="0" borderId="1" xfId="0" applyFont="1" applyBorder="1" applyAlignment="1">
      <alignment horizontal="center"/>
    </xf>
    <xf numFmtId="166" fontId="4" fillId="0" borderId="1" xfId="0" applyNumberFormat="1" applyFont="1" applyBorder="1" applyAlignment="1">
      <alignment horizontal="center"/>
    </xf>
    <xf numFmtId="0" fontId="4" fillId="0" borderId="1" xfId="0" applyFont="1" applyBorder="1" applyAlignment="1">
      <alignment horizontal="center"/>
    </xf>
    <xf numFmtId="0" fontId="4" fillId="0" borderId="0" xfId="0" applyFont="1" applyAlignment="1">
      <alignment horizontal="center"/>
    </xf>
    <xf numFmtId="0" fontId="11" fillId="4" borderId="1" xfId="0" applyFont="1" applyFill="1" applyBorder="1"/>
    <xf numFmtId="2" fontId="3" fillId="4" borderId="1" xfId="0" applyNumberFormat="1" applyFont="1" applyFill="1" applyBorder="1" applyAlignment="1">
      <alignment vertical="top" wrapText="1"/>
    </xf>
    <xf numFmtId="164" fontId="3" fillId="0" borderId="1" xfId="0" applyNumberFormat="1" applyFont="1" applyBorder="1" applyAlignment="1">
      <alignment horizontal="right" vertical="top" wrapText="1"/>
    </xf>
    <xf numFmtId="3" fontId="4" fillId="4" borderId="1" xfId="0" applyNumberFormat="1" applyFont="1" applyFill="1" applyBorder="1"/>
    <xf numFmtId="1" fontId="4" fillId="4" borderId="1" xfId="0" applyNumberFormat="1" applyFont="1" applyFill="1" applyBorder="1"/>
    <xf numFmtId="165" fontId="4" fillId="4" borderId="3" xfId="4" applyNumberFormat="1" applyFont="1" applyFill="1"/>
    <xf numFmtId="164" fontId="0" fillId="0" borderId="1" xfId="0" applyNumberFormat="1" applyBorder="1" applyAlignment="1">
      <alignment horizontal="right" vertical="top" wrapText="1"/>
    </xf>
    <xf numFmtId="164" fontId="6" fillId="0" borderId="1" xfId="0" applyNumberFormat="1" applyFont="1" applyBorder="1" applyAlignment="1">
      <alignment horizontal="right" vertical="top" wrapText="1"/>
    </xf>
    <xf numFmtId="0" fontId="42" fillId="0" borderId="0" xfId="0" applyFont="1"/>
    <xf numFmtId="0" fontId="22" fillId="4" borderId="0" xfId="0" applyFont="1" applyFill="1" applyAlignment="1">
      <alignment horizontal="left"/>
    </xf>
    <xf numFmtId="165" fontId="22" fillId="0" borderId="1" xfId="0" applyNumberFormat="1" applyFont="1" applyBorder="1" applyAlignment="1">
      <alignment horizontal="center"/>
    </xf>
    <xf numFmtId="9" fontId="44" fillId="0" borderId="0" xfId="6" applyFont="1" applyAlignment="1">
      <alignment wrapText="1"/>
    </xf>
    <xf numFmtId="0" fontId="44" fillId="0" borderId="0" xfId="0" applyFont="1" applyAlignment="1">
      <alignment wrapText="1"/>
    </xf>
    <xf numFmtId="0" fontId="17" fillId="0" borderId="0" xfId="0" applyFont="1" applyAlignment="1">
      <alignment wrapText="1"/>
    </xf>
    <xf numFmtId="0" fontId="8" fillId="18" borderId="1" xfId="0" applyFont="1" applyFill="1" applyBorder="1" applyAlignment="1">
      <alignment horizontal="left" vertical="top" wrapText="1"/>
    </xf>
    <xf numFmtId="0" fontId="4" fillId="18" borderId="1" xfId="0" applyFont="1" applyFill="1" applyBorder="1" applyAlignment="1">
      <alignment vertical="top" wrapText="1"/>
    </xf>
    <xf numFmtId="0" fontId="46" fillId="0" borderId="0" xfId="0" applyFont="1"/>
    <xf numFmtId="9" fontId="46" fillId="0" borderId="0" xfId="6" quotePrefix="1" applyFont="1" applyAlignment="1">
      <alignment wrapText="1"/>
    </xf>
    <xf numFmtId="0" fontId="47" fillId="0" borderId="0" xfId="0" applyFont="1"/>
    <xf numFmtId="9" fontId="47" fillId="0" borderId="0" xfId="6" applyFont="1"/>
    <xf numFmtId="0" fontId="48" fillId="0" borderId="0" xfId="0" quotePrefix="1" applyFont="1"/>
    <xf numFmtId="0" fontId="48" fillId="0" borderId="0" xfId="0" applyFont="1"/>
    <xf numFmtId="0" fontId="17" fillId="0" borderId="0" xfId="0" applyFont="1" applyAlignment="1">
      <alignment vertical="top" wrapText="1"/>
    </xf>
    <xf numFmtId="0" fontId="22" fillId="7" borderId="1" xfId="0" applyFont="1" applyFill="1" applyBorder="1" applyAlignment="1">
      <alignment vertical="top"/>
    </xf>
    <xf numFmtId="0" fontId="0" fillId="0" borderId="1" xfId="0" applyBorder="1" applyAlignment="1">
      <alignment horizontal="center" vertical="top"/>
    </xf>
    <xf numFmtId="2" fontId="0" fillId="0" borderId="0" xfId="0" applyNumberFormat="1"/>
    <xf numFmtId="0" fontId="4" fillId="0" borderId="1" xfId="0" applyFont="1" applyBorder="1" applyAlignment="1">
      <alignment vertical="top" wrapText="1"/>
    </xf>
    <xf numFmtId="0" fontId="4" fillId="0" borderId="1" xfId="0" applyFont="1" applyBorder="1" applyAlignment="1">
      <alignment wrapText="1"/>
    </xf>
    <xf numFmtId="0" fontId="4" fillId="0" borderId="1" xfId="1" applyFont="1" applyFill="1" applyBorder="1" applyAlignment="1">
      <alignment horizontal="left" vertical="top" wrapText="1"/>
    </xf>
    <xf numFmtId="0" fontId="6" fillId="0" borderId="0" xfId="0" applyFont="1"/>
    <xf numFmtId="0" fontId="8" fillId="0" borderId="0" xfId="0" applyFont="1"/>
    <xf numFmtId="166" fontId="0" fillId="0" borderId="1" xfId="0" applyNumberFormat="1" applyBorder="1" applyAlignment="1">
      <alignment horizontal="center" wrapText="1"/>
    </xf>
    <xf numFmtId="0" fontId="9" fillId="0" borderId="0" xfId="3" applyAlignment="1">
      <alignment wrapText="1"/>
    </xf>
    <xf numFmtId="0" fontId="12" fillId="0" borderId="0" xfId="0" applyFont="1" applyAlignment="1">
      <alignment vertical="top" wrapText="1"/>
    </xf>
    <xf numFmtId="0" fontId="11" fillId="0" borderId="1" xfId="0" applyFont="1" applyBorder="1" applyAlignment="1">
      <alignment horizontal="center" vertical="top"/>
    </xf>
    <xf numFmtId="0" fontId="6" fillId="0" borderId="0" xfId="0" applyFont="1" applyAlignment="1">
      <alignment horizontal="center"/>
    </xf>
    <xf numFmtId="0" fontId="32" fillId="0" borderId="0" xfId="0" applyFont="1" applyAlignment="1">
      <alignment horizontal="center" vertical="top" wrapText="1"/>
    </xf>
    <xf numFmtId="0" fontId="0" fillId="0" borderId="0" xfId="0" applyAlignment="1">
      <alignment horizontal="center" vertical="top"/>
    </xf>
    <xf numFmtId="0" fontId="0" fillId="0" borderId="0" xfId="0" applyAlignment="1">
      <alignment horizontal="center" vertical="top" wrapText="1"/>
    </xf>
    <xf numFmtId="0" fontId="43" fillId="0" borderId="0" xfId="0" applyFont="1"/>
    <xf numFmtId="0" fontId="44" fillId="0" borderId="0" xfId="0" applyFont="1"/>
    <xf numFmtId="166" fontId="4" fillId="0" borderId="1" xfId="0" applyNumberFormat="1" applyFont="1" applyBorder="1" applyAlignment="1">
      <alignment horizontal="center" wrapText="1"/>
    </xf>
    <xf numFmtId="0" fontId="50" fillId="0" borderId="0" xfId="0" applyFont="1"/>
    <xf numFmtId="0" fontId="51" fillId="0" borderId="0" xfId="0" applyFont="1" applyAlignment="1">
      <alignment wrapText="1"/>
    </xf>
    <xf numFmtId="0" fontId="52" fillId="0" borderId="0" xfId="0" applyFont="1" applyAlignment="1">
      <alignment wrapText="1"/>
    </xf>
    <xf numFmtId="0" fontId="55" fillId="40" borderId="39" xfId="18" applyFont="1" applyFill="1" applyBorder="1" applyAlignment="1">
      <alignment horizontal="center" vertical="center"/>
    </xf>
    <xf numFmtId="0" fontId="57" fillId="13" borderId="0" xfId="11" applyFont="1" applyFill="1"/>
    <xf numFmtId="168" fontId="4" fillId="0" borderId="0" xfId="0" applyNumberFormat="1" applyFont="1" applyAlignment="1">
      <alignment horizontal="center"/>
    </xf>
    <xf numFmtId="166" fontId="0" fillId="0" borderId="0" xfId="0" applyNumberFormat="1" applyAlignment="1">
      <alignment horizontal="left"/>
    </xf>
    <xf numFmtId="0" fontId="16" fillId="0" borderId="0" xfId="0" applyFont="1"/>
    <xf numFmtId="165" fontId="0" fillId="0" borderId="12" xfId="0" applyNumberFormat="1" applyBorder="1"/>
    <xf numFmtId="10" fontId="0" fillId="0" borderId="0" xfId="6" applyNumberFormat="1" applyFont="1"/>
    <xf numFmtId="168" fontId="0" fillId="0" borderId="0" xfId="0" applyNumberFormat="1"/>
    <xf numFmtId="10" fontId="0" fillId="0" borderId="1" xfId="6" applyNumberFormat="1" applyFont="1" applyBorder="1"/>
    <xf numFmtId="166" fontId="6" fillId="0" borderId="1" xfId="0" applyNumberFormat="1" applyFont="1" applyBorder="1"/>
    <xf numFmtId="166" fontId="6" fillId="0" borderId="1" xfId="0" applyNumberFormat="1" applyFont="1" applyBorder="1" applyAlignment="1">
      <alignment horizontal="center" vertical="center"/>
    </xf>
    <xf numFmtId="0" fontId="8" fillId="0" borderId="0" xfId="0" applyFont="1" applyAlignment="1">
      <alignment vertical="center"/>
    </xf>
    <xf numFmtId="0" fontId="9" fillId="0" borderId="0" xfId="3" applyAlignment="1">
      <alignment vertical="center"/>
    </xf>
    <xf numFmtId="0" fontId="57" fillId="13" borderId="32" xfId="11" applyFont="1" applyFill="1" applyBorder="1"/>
    <xf numFmtId="0" fontId="57" fillId="13" borderId="32" xfId="10" applyFont="1" applyFill="1" applyBorder="1">
      <alignment horizontal="right"/>
    </xf>
    <xf numFmtId="0" fontId="57" fillId="0" borderId="0" xfId="11" applyFont="1"/>
    <xf numFmtId="0" fontId="53" fillId="13" borderId="0" xfId="9" applyFill="1" applyBorder="1" applyAlignment="1"/>
    <xf numFmtId="0" fontId="65" fillId="13" borderId="0" xfId="11" applyFont="1" applyFill="1"/>
    <xf numFmtId="0" fontId="57" fillId="13" borderId="0" xfId="10" applyFont="1" applyFill="1">
      <alignment horizontal="right"/>
    </xf>
    <xf numFmtId="0" fontId="57" fillId="13" borderId="0" xfId="11" applyFont="1" applyFill="1" applyAlignment="1">
      <alignment horizontal="center" vertical="center"/>
    </xf>
    <xf numFmtId="0" fontId="57" fillId="40" borderId="41" xfId="18" applyFill="1" applyBorder="1" applyAlignment="1">
      <alignment vertical="center"/>
    </xf>
    <xf numFmtId="0" fontId="57" fillId="40" borderId="42" xfId="18" applyFill="1" applyBorder="1" applyAlignment="1">
      <alignment vertical="center"/>
    </xf>
    <xf numFmtId="3" fontId="0" fillId="0" borderId="0" xfId="0" applyNumberFormat="1"/>
    <xf numFmtId="164" fontId="6" fillId="0" borderId="0" xfId="0" applyNumberFormat="1" applyFont="1"/>
    <xf numFmtId="164" fontId="11" fillId="0" borderId="0" xfId="0" applyNumberFormat="1" applyFont="1"/>
    <xf numFmtId="0" fontId="6" fillId="17" borderId="0" xfId="0" applyFont="1" applyFill="1"/>
    <xf numFmtId="0" fontId="0" fillId="17" borderId="0" xfId="0" applyFill="1"/>
    <xf numFmtId="0" fontId="9" fillId="17" borderId="0" xfId="3" applyFill="1"/>
    <xf numFmtId="0" fontId="113" fillId="17" borderId="0" xfId="0" applyFont="1" applyFill="1" applyAlignment="1">
      <alignment horizontal="left" vertical="top" wrapText="1"/>
    </xf>
    <xf numFmtId="0" fontId="111" fillId="17" borderId="0" xfId="0" applyFont="1" applyFill="1" applyAlignment="1">
      <alignment vertical="top" wrapText="1"/>
    </xf>
    <xf numFmtId="0" fontId="111" fillId="17" borderId="0" xfId="0" applyFont="1" applyFill="1" applyAlignment="1">
      <alignment horizontal="center" vertical="top" wrapText="1"/>
    </xf>
    <xf numFmtId="0" fontId="6" fillId="69" borderId="0" xfId="0" applyFont="1" applyFill="1"/>
    <xf numFmtId="0" fontId="0" fillId="69" borderId="0" xfId="0" applyFill="1"/>
    <xf numFmtId="0" fontId="9" fillId="69" borderId="0" xfId="3" applyFill="1"/>
    <xf numFmtId="164" fontId="0" fillId="69" borderId="0" xfId="0" applyNumberFormat="1" applyFill="1"/>
    <xf numFmtId="4" fontId="0" fillId="69" borderId="0" xfId="0" applyNumberFormat="1" applyFill="1"/>
    <xf numFmtId="164" fontId="6" fillId="71" borderId="0" xfId="0" applyNumberFormat="1" applyFont="1" applyFill="1"/>
    <xf numFmtId="4" fontId="0" fillId="71" borderId="0" xfId="0" applyNumberFormat="1" applyFill="1"/>
    <xf numFmtId="164" fontId="0" fillId="71" borderId="0" xfId="0" applyNumberFormat="1" applyFill="1"/>
    <xf numFmtId="0" fontId="0" fillId="71" borderId="0" xfId="0" applyFill="1"/>
    <xf numFmtId="0" fontId="112" fillId="72" borderId="0" xfId="0" applyFont="1" applyFill="1" applyAlignment="1">
      <alignment vertical="top" wrapText="1"/>
    </xf>
    <xf numFmtId="171" fontId="16" fillId="72" borderId="0" xfId="0" applyNumberFormat="1" applyFont="1" applyFill="1"/>
    <xf numFmtId="164" fontId="0" fillId="72" borderId="0" xfId="0" applyNumberFormat="1" applyFill="1"/>
    <xf numFmtId="0" fontId="6" fillId="73" borderId="0" xfId="0" applyFont="1" applyFill="1"/>
    <xf numFmtId="4" fontId="0" fillId="73" borderId="0" xfId="0" applyNumberFormat="1" applyFill="1"/>
    <xf numFmtId="164" fontId="0" fillId="73" borderId="0" xfId="0" applyNumberFormat="1" applyFill="1"/>
    <xf numFmtId="164" fontId="6" fillId="70" borderId="0" xfId="0" applyNumberFormat="1" applyFont="1" applyFill="1" applyAlignment="1">
      <alignment wrapText="1"/>
    </xf>
    <xf numFmtId="4" fontId="6" fillId="70" borderId="0" xfId="0" applyNumberFormat="1" applyFont="1" applyFill="1" applyAlignment="1">
      <alignment wrapText="1"/>
    </xf>
    <xf numFmtId="0" fontId="6" fillId="70" borderId="0" xfId="0" applyFont="1" applyFill="1" applyAlignment="1">
      <alignment wrapText="1"/>
    </xf>
    <xf numFmtId="1" fontId="6" fillId="0" borderId="0" xfId="0" applyNumberFormat="1" applyFont="1"/>
    <xf numFmtId="164" fontId="6" fillId="10" borderId="0" xfId="0" applyNumberFormat="1" applyFont="1" applyFill="1"/>
    <xf numFmtId="164" fontId="0" fillId="10" borderId="0" xfId="0" applyNumberFormat="1" applyFill="1"/>
    <xf numFmtId="4" fontId="0" fillId="10" borderId="0" xfId="0" applyNumberFormat="1" applyFill="1"/>
    <xf numFmtId="0" fontId="0" fillId="10" borderId="0" xfId="0" applyFill="1"/>
    <xf numFmtId="164" fontId="9" fillId="10" borderId="0" xfId="3" applyNumberFormat="1" applyFill="1"/>
    <xf numFmtId="0" fontId="115" fillId="10" borderId="0" xfId="0" applyFont="1" applyFill="1"/>
    <xf numFmtId="0" fontId="9" fillId="10" borderId="0" xfId="3" applyFill="1"/>
    <xf numFmtId="164" fontId="6" fillId="74" borderId="0" xfId="0" applyNumberFormat="1" applyFont="1" applyFill="1"/>
    <xf numFmtId="4" fontId="0" fillId="74" borderId="0" xfId="0" applyNumberFormat="1" applyFill="1"/>
    <xf numFmtId="164" fontId="0" fillId="74" borderId="0" xfId="0" applyNumberFormat="1" applyFill="1"/>
    <xf numFmtId="0" fontId="0" fillId="74" borderId="0" xfId="0" applyFill="1"/>
    <xf numFmtId="164" fontId="0" fillId="10" borderId="0" xfId="0" applyNumberFormat="1" applyFill="1" applyAlignment="1">
      <alignment horizontal="center"/>
    </xf>
    <xf numFmtId="4" fontId="0" fillId="10" borderId="0" xfId="0" applyNumberFormat="1" applyFill="1" applyAlignment="1">
      <alignment horizontal="center"/>
    </xf>
    <xf numFmtId="0" fontId="116" fillId="10" borderId="0" xfId="0" applyFont="1" applyFill="1" applyAlignment="1">
      <alignment horizontal="center"/>
    </xf>
    <xf numFmtId="164" fontId="6" fillId="74" borderId="0" xfId="0" applyNumberFormat="1" applyFont="1" applyFill="1" applyAlignment="1">
      <alignment horizontal="center"/>
    </xf>
    <xf numFmtId="164" fontId="50" fillId="75" borderId="0" xfId="0" applyNumberFormat="1" applyFont="1" applyFill="1"/>
    <xf numFmtId="164" fontId="0" fillId="75" borderId="0" xfId="0" applyNumberFormat="1" applyFill="1"/>
    <xf numFmtId="164" fontId="6" fillId="75" borderId="0" xfId="0" applyNumberFormat="1" applyFont="1" applyFill="1"/>
    <xf numFmtId="164" fontId="17" fillId="10" borderId="0" xfId="0" applyNumberFormat="1" applyFont="1" applyFill="1"/>
    <xf numFmtId="0" fontId="117" fillId="76" borderId="56" xfId="947">
      <alignment horizontal="center"/>
    </xf>
    <xf numFmtId="0" fontId="118" fillId="67" borderId="56" xfId="948"/>
    <xf numFmtId="0" fontId="118" fillId="77" borderId="56" xfId="949"/>
    <xf numFmtId="0" fontId="0" fillId="0" borderId="58" xfId="0" applyBorder="1"/>
    <xf numFmtId="2" fontId="57" fillId="0" borderId="0" xfId="11" applyNumberFormat="1" applyFont="1"/>
    <xf numFmtId="165" fontId="57" fillId="0" borderId="0" xfId="11" applyNumberFormat="1" applyFont="1"/>
    <xf numFmtId="0" fontId="52" fillId="0" borderId="0" xfId="0" applyFont="1"/>
    <xf numFmtId="165" fontId="52" fillId="0" borderId="0" xfId="0" applyNumberFormat="1" applyFont="1"/>
    <xf numFmtId="165" fontId="22" fillId="0" borderId="1" xfId="0" applyNumberFormat="1" applyFont="1" applyBorder="1"/>
    <xf numFmtId="0" fontId="119" fillId="0" borderId="0" xfId="3" applyFont="1"/>
    <xf numFmtId="1" fontId="0" fillId="0" borderId="1" xfId="0" applyNumberFormat="1" applyBorder="1"/>
    <xf numFmtId="0" fontId="120" fillId="0" borderId="0" xfId="0" applyFont="1" applyAlignment="1">
      <alignment vertical="center"/>
    </xf>
    <xf numFmtId="166" fontId="6" fillId="0" borderId="0" xfId="0" applyNumberFormat="1" applyFont="1"/>
    <xf numFmtId="0" fontId="8" fillId="0" borderId="0" xfId="0" applyFont="1" applyAlignment="1">
      <alignment horizontal="left" vertical="center" indent="1"/>
    </xf>
    <xf numFmtId="3" fontId="0" fillId="0" borderId="52" xfId="0" applyNumberFormat="1" applyBorder="1"/>
    <xf numFmtId="4" fontId="8" fillId="0" borderId="52" xfId="0" applyNumberFormat="1" applyFont="1" applyBorder="1"/>
    <xf numFmtId="3" fontId="0" fillId="0" borderId="20" xfId="0" applyNumberFormat="1" applyBorder="1"/>
    <xf numFmtId="4" fontId="8" fillId="0" borderId="20" xfId="0" applyNumberFormat="1" applyFont="1" applyBorder="1"/>
    <xf numFmtId="164" fontId="5"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3" xfId="4" applyFont="1" applyFill="1" applyAlignment="1">
      <alignment horizontal="center" vertical="center" wrapText="1"/>
    </xf>
    <xf numFmtId="4" fontId="0" fillId="0" borderId="0" xfId="0" applyNumberFormat="1" applyAlignment="1">
      <alignment horizontal="center" vertical="center"/>
    </xf>
    <xf numFmtId="164" fontId="5" fillId="0" borderId="60" xfId="0" applyNumberFormat="1" applyFont="1" applyBorder="1" applyAlignment="1">
      <alignment horizontal="center" vertical="center" wrapText="1"/>
    </xf>
    <xf numFmtId="164" fontId="5" fillId="0" borderId="61" xfId="0" applyNumberFormat="1" applyFont="1" applyBorder="1" applyAlignment="1">
      <alignment horizontal="center" vertical="center" wrapText="1"/>
    </xf>
    <xf numFmtId="0" fontId="8" fillId="0" borderId="62" xfId="0" applyFont="1" applyBorder="1" applyAlignment="1">
      <alignment horizontal="center" vertical="center" wrapText="1"/>
    </xf>
    <xf numFmtId="0" fontId="4" fillId="0" borderId="0" xfId="0" applyFont="1"/>
    <xf numFmtId="3" fontId="4" fillId="0" borderId="52" xfId="0" applyNumberFormat="1" applyFont="1" applyBorder="1"/>
    <xf numFmtId="168" fontId="4" fillId="0" borderId="52" xfId="0" applyNumberFormat="1" applyFont="1" applyBorder="1"/>
    <xf numFmtId="3" fontId="4" fillId="0" borderId="0" xfId="0" applyNumberFormat="1" applyFont="1"/>
    <xf numFmtId="164" fontId="4" fillId="0" borderId="52" xfId="0" applyNumberFormat="1" applyFont="1" applyBorder="1"/>
    <xf numFmtId="171" fontId="4" fillId="0" borderId="52" xfId="0" applyNumberFormat="1" applyFont="1" applyBorder="1"/>
    <xf numFmtId="170" fontId="4" fillId="0" borderId="52" xfId="0" applyNumberFormat="1" applyFont="1" applyBorder="1"/>
    <xf numFmtId="0" fontId="36" fillId="13" borderId="64" xfId="0" applyFont="1" applyFill="1" applyBorder="1"/>
    <xf numFmtId="0" fontId="36" fillId="13" borderId="18" xfId="0" applyFont="1" applyFill="1" applyBorder="1" applyAlignment="1">
      <alignment wrapText="1"/>
    </xf>
    <xf numFmtId="0" fontId="34" fillId="12" borderId="64" xfId="0" applyFont="1" applyFill="1" applyBorder="1"/>
    <xf numFmtId="0" fontId="0" fillId="12" borderId="64" xfId="0" applyFill="1" applyBorder="1" applyAlignment="1">
      <alignment horizontal="center" vertical="center"/>
    </xf>
    <xf numFmtId="1" fontId="34" fillId="12" borderId="64" xfId="0" applyNumberFormat="1" applyFont="1" applyFill="1" applyBorder="1"/>
    <xf numFmtId="0" fontId="36" fillId="13" borderId="17" xfId="0" applyFont="1" applyFill="1" applyBorder="1" applyAlignment="1">
      <alignment wrapText="1"/>
    </xf>
    <xf numFmtId="1" fontId="36" fillId="13" borderId="20" xfId="0" applyNumberFormat="1" applyFont="1" applyFill="1" applyBorder="1"/>
    <xf numFmtId="2" fontId="36" fillId="13" borderId="65" xfId="0" applyNumberFormat="1" applyFont="1" applyFill="1" applyBorder="1"/>
    <xf numFmtId="0" fontId="0" fillId="12" borderId="63" xfId="0" applyFill="1" applyBorder="1" applyAlignment="1">
      <alignment horizontal="center"/>
    </xf>
    <xf numFmtId="1" fontId="34" fillId="12" borderId="39" xfId="0" applyNumberFormat="1" applyFont="1" applyFill="1" applyBorder="1"/>
    <xf numFmtId="0" fontId="36" fillId="13" borderId="66" xfId="0" applyFont="1" applyFill="1" applyBorder="1"/>
    <xf numFmtId="0" fontId="36" fillId="13" borderId="66" xfId="0" applyFont="1" applyFill="1" applyBorder="1" applyAlignment="1">
      <alignment wrapText="1"/>
    </xf>
    <xf numFmtId="165" fontId="121" fillId="13" borderId="63" xfId="0" applyNumberFormat="1" applyFont="1" applyFill="1" applyBorder="1"/>
    <xf numFmtId="0" fontId="34" fillId="6" borderId="1" xfId="0" applyFont="1" applyFill="1" applyBorder="1"/>
    <xf numFmtId="0" fontId="0" fillId="6" borderId="1" xfId="0" applyFill="1" applyBorder="1"/>
    <xf numFmtId="0" fontId="34" fillId="6" borderId="1" xfId="0" applyFont="1" applyFill="1" applyBorder="1" applyAlignment="1">
      <alignment horizontal="center" vertical="center"/>
    </xf>
    <xf numFmtId="1" fontId="34" fillId="6" borderId="1" xfId="0" applyNumberFormat="1" applyFont="1" applyFill="1" applyBorder="1"/>
    <xf numFmtId="0" fontId="5" fillId="78" borderId="41" xfId="0" applyFont="1" applyFill="1" applyBorder="1"/>
    <xf numFmtId="2" fontId="0" fillId="0" borderId="1" xfId="0" applyNumberFormat="1" applyBorder="1" applyAlignment="1">
      <alignment horizontal="center"/>
    </xf>
    <xf numFmtId="165" fontId="0" fillId="0" borderId="1" xfId="0" applyNumberFormat="1" applyBorder="1" applyAlignment="1">
      <alignment horizontal="center"/>
    </xf>
    <xf numFmtId="0" fontId="4" fillId="4" borderId="1" xfId="0" applyFont="1" applyFill="1" applyBorder="1" applyAlignment="1">
      <alignment vertical="top" wrapText="1"/>
    </xf>
    <xf numFmtId="0" fontId="4" fillId="4" borderId="1" xfId="0" applyFont="1" applyFill="1" applyBorder="1" applyAlignment="1">
      <alignment vertical="center" wrapText="1"/>
    </xf>
    <xf numFmtId="0" fontId="0" fillId="0" borderId="59" xfId="0" applyBorder="1"/>
    <xf numFmtId="9" fontId="0" fillId="6" borderId="1" xfId="6" applyFont="1" applyFill="1" applyBorder="1" applyAlignment="1" applyProtection="1">
      <alignment horizontal="center"/>
      <protection locked="0"/>
    </xf>
    <xf numFmtId="0" fontId="0" fillId="6" borderId="1" xfId="0" applyFill="1" applyBorder="1" applyAlignment="1" applyProtection="1">
      <alignment horizontal="center"/>
      <protection locked="0"/>
    </xf>
    <xf numFmtId="0" fontId="22" fillId="6" borderId="1" xfId="0" applyFont="1" applyFill="1" applyBorder="1" applyAlignment="1" applyProtection="1">
      <alignment horizontal="center"/>
      <protection locked="0"/>
    </xf>
    <xf numFmtId="0" fontId="0" fillId="6" borderId="1" xfId="0" applyFill="1" applyBorder="1" applyAlignment="1" applyProtection="1">
      <alignment horizontal="center" vertical="center" wrapText="1"/>
      <protection locked="0"/>
    </xf>
    <xf numFmtId="0" fontId="4" fillId="6" borderId="1" xfId="0" applyFont="1" applyFill="1" applyBorder="1" applyAlignment="1" applyProtection="1">
      <alignment horizontal="center"/>
      <protection locked="0"/>
    </xf>
    <xf numFmtId="3" fontId="4" fillId="6" borderId="1" xfId="0" applyNumberFormat="1" applyFont="1" applyFill="1" applyBorder="1" applyAlignment="1" applyProtection="1">
      <alignment horizontal="center"/>
      <protection locked="0"/>
    </xf>
    <xf numFmtId="0" fontId="125" fillId="79" borderId="74" xfId="0" applyFont="1" applyFill="1" applyBorder="1" applyAlignment="1">
      <alignment horizontal="center" vertical="center" wrapText="1"/>
    </xf>
    <xf numFmtId="0" fontId="125" fillId="79" borderId="70" xfId="0" applyFont="1" applyFill="1" applyBorder="1" applyAlignment="1">
      <alignment horizontal="center" vertical="center" wrapText="1"/>
    </xf>
    <xf numFmtId="0" fontId="124" fillId="79" borderId="70" xfId="0" applyFont="1" applyFill="1" applyBorder="1" applyAlignment="1">
      <alignment horizontal="left" vertical="center" wrapText="1"/>
    </xf>
    <xf numFmtId="0" fontId="125" fillId="79" borderId="70" xfId="0" applyFont="1" applyFill="1" applyBorder="1" applyAlignment="1">
      <alignment horizontal="left" vertical="center" wrapText="1"/>
    </xf>
    <xf numFmtId="0" fontId="125" fillId="79" borderId="70" xfId="0" applyFont="1" applyFill="1" applyBorder="1" applyAlignment="1">
      <alignment horizontal="left" vertical="center" wrapText="1" indent="1"/>
    </xf>
    <xf numFmtId="0" fontId="124" fillId="79" borderId="70" xfId="0" applyFont="1" applyFill="1" applyBorder="1" applyAlignment="1">
      <alignment horizontal="center" vertical="center" wrapText="1"/>
    </xf>
    <xf numFmtId="0" fontId="125" fillId="0" borderId="71" xfId="0" applyFont="1" applyBorder="1" applyAlignment="1">
      <alignment horizontal="left" vertical="center" wrapText="1" indent="1"/>
    </xf>
    <xf numFmtId="0" fontId="124" fillId="80" borderId="70" xfId="0" applyFont="1" applyFill="1" applyBorder="1" applyAlignment="1">
      <alignment horizontal="left" vertical="center" wrapText="1"/>
    </xf>
    <xf numFmtId="0" fontId="124" fillId="0" borderId="70" xfId="0" applyFont="1" applyBorder="1" applyAlignment="1">
      <alignment horizontal="left" vertical="center" wrapText="1"/>
    </xf>
    <xf numFmtId="0" fontId="125" fillId="0" borderId="71" xfId="0" applyFont="1" applyBorder="1" applyAlignment="1">
      <alignment horizontal="center" vertical="center" wrapText="1"/>
    </xf>
    <xf numFmtId="0" fontId="128" fillId="0" borderId="70" xfId="0" applyFont="1" applyBorder="1" applyAlignment="1">
      <alignment horizontal="left" vertical="center" wrapText="1"/>
    </xf>
    <xf numFmtId="0" fontId="125" fillId="79" borderId="68" xfId="0" applyFont="1" applyFill="1" applyBorder="1" applyAlignment="1">
      <alignment horizontal="center" vertical="center" wrapText="1"/>
    </xf>
    <xf numFmtId="0" fontId="125" fillId="79" borderId="69" xfId="0" applyFont="1" applyFill="1" applyBorder="1" applyAlignment="1">
      <alignment horizontal="justify" vertical="center" wrapText="1"/>
    </xf>
    <xf numFmtId="0" fontId="125" fillId="79" borderId="69" xfId="0" applyFont="1" applyFill="1" applyBorder="1" applyAlignment="1">
      <alignment horizontal="center" vertical="center" wrapText="1"/>
    </xf>
    <xf numFmtId="0" fontId="125" fillId="79" borderId="69" xfId="0" applyFont="1" applyFill="1" applyBorder="1" applyAlignment="1">
      <alignment horizontal="left" vertical="center" wrapText="1" indent="1"/>
    </xf>
    <xf numFmtId="0" fontId="125" fillId="79" borderId="69" xfId="0" applyFont="1" applyFill="1" applyBorder="1" applyAlignment="1">
      <alignment horizontal="left" vertical="center" wrapText="1"/>
    </xf>
    <xf numFmtId="0" fontId="124" fillId="0" borderId="73" xfId="0" applyFont="1" applyBorder="1" applyAlignment="1">
      <alignment horizontal="left" vertical="center" wrapText="1" indent="1"/>
    </xf>
    <xf numFmtId="0" fontId="128" fillId="0" borderId="71" xfId="0" applyFont="1" applyBorder="1" applyAlignment="1">
      <alignment horizontal="left" vertical="center" wrapText="1" indent="1"/>
    </xf>
    <xf numFmtId="0" fontId="125" fillId="0" borderId="0" xfId="0" applyFont="1" applyAlignment="1">
      <alignment horizontal="left" vertical="center" indent="6"/>
    </xf>
    <xf numFmtId="0" fontId="130" fillId="79" borderId="74" xfId="0" applyFont="1" applyFill="1" applyBorder="1" applyAlignment="1">
      <alignment horizontal="center" vertical="center" wrapText="1"/>
    </xf>
    <xf numFmtId="0" fontId="130" fillId="79" borderId="79" xfId="0" applyFont="1" applyFill="1" applyBorder="1" applyAlignment="1">
      <alignment horizontal="center" vertical="center" wrapText="1"/>
    </xf>
    <xf numFmtId="0" fontId="130" fillId="79" borderId="70" xfId="0" applyFont="1" applyFill="1" applyBorder="1" applyAlignment="1">
      <alignment horizontal="justify" vertical="center" wrapText="1"/>
    </xf>
    <xf numFmtId="0" fontId="124" fillId="0" borderId="73" xfId="0" applyFont="1" applyBorder="1" applyAlignment="1">
      <alignment horizontal="left" vertical="center" wrapText="1"/>
    </xf>
    <xf numFmtId="0" fontId="124" fillId="0" borderId="71" xfId="0" applyFont="1" applyBorder="1" applyAlignment="1">
      <alignment horizontal="center" vertical="center" wrapText="1"/>
    </xf>
    <xf numFmtId="0" fontId="124" fillId="0" borderId="79" xfId="0" applyFont="1" applyBorder="1" applyAlignment="1">
      <alignment horizontal="center" vertical="center" wrapText="1"/>
    </xf>
    <xf numFmtId="0" fontId="124" fillId="0" borderId="71" xfId="0" applyFont="1" applyBorder="1" applyAlignment="1">
      <alignment horizontal="left" vertical="center" wrapText="1"/>
    </xf>
    <xf numFmtId="0" fontId="124" fillId="0" borderId="70" xfId="0" applyFont="1" applyBorder="1" applyAlignment="1">
      <alignment horizontal="center" vertical="center" wrapText="1"/>
    </xf>
    <xf numFmtId="0" fontId="124" fillId="0" borderId="70" xfId="0" applyFont="1" applyBorder="1" applyAlignment="1">
      <alignment horizontal="left" vertical="center" wrapText="1" indent="1"/>
    </xf>
    <xf numFmtId="0" fontId="130" fillId="79" borderId="79" xfId="0" applyFont="1" applyFill="1" applyBorder="1" applyAlignment="1">
      <alignment horizontal="left" vertical="center" wrapText="1"/>
    </xf>
    <xf numFmtId="0" fontId="130" fillId="79" borderId="70" xfId="0" applyFont="1" applyFill="1" applyBorder="1" applyAlignment="1">
      <alignment horizontal="center" vertical="center" wrapText="1"/>
    </xf>
    <xf numFmtId="0" fontId="26" fillId="79" borderId="70" xfId="0" applyFont="1" applyFill="1" applyBorder="1" applyAlignment="1">
      <alignment vertical="top" wrapText="1"/>
    </xf>
    <xf numFmtId="0" fontId="131" fillId="79" borderId="74" xfId="0" applyFont="1" applyFill="1" applyBorder="1" applyAlignment="1">
      <alignment horizontal="center" vertical="center" wrapText="1"/>
    </xf>
    <xf numFmtId="172" fontId="0" fillId="0" borderId="0" xfId="0" applyNumberFormat="1"/>
    <xf numFmtId="0" fontId="137" fillId="0" borderId="0" xfId="0" applyFont="1"/>
    <xf numFmtId="0" fontId="138" fillId="0" borderId="71" xfId="0" applyFont="1" applyBorder="1" applyAlignment="1">
      <alignment horizontal="left" vertical="center" wrapText="1"/>
    </xf>
    <xf numFmtId="0" fontId="129" fillId="0" borderId="70" xfId="0" applyFont="1" applyBorder="1" applyAlignment="1">
      <alignment horizontal="center" vertical="center" wrapText="1"/>
    </xf>
    <xf numFmtId="0" fontId="129" fillId="0" borderId="71" xfId="0" applyFont="1" applyBorder="1" applyAlignment="1">
      <alignment horizontal="left" vertical="center" wrapText="1"/>
    </xf>
    <xf numFmtId="2" fontId="129" fillId="0" borderId="70" xfId="0" applyNumberFormat="1" applyFont="1" applyBorder="1" applyAlignment="1">
      <alignment horizontal="center" vertical="center" wrapText="1"/>
    </xf>
    <xf numFmtId="0" fontId="129" fillId="0" borderId="79" xfId="0" applyFont="1" applyBorder="1" applyAlignment="1">
      <alignment horizontal="center" vertical="center" wrapText="1"/>
    </xf>
    <xf numFmtId="0" fontId="129" fillId="0" borderId="73" xfId="0" applyFont="1" applyBorder="1" applyAlignment="1">
      <alignment horizontal="left" vertical="center" wrapText="1"/>
    </xf>
    <xf numFmtId="0" fontId="129" fillId="0" borderId="72" xfId="0" applyFont="1" applyBorder="1" applyAlignment="1">
      <alignment vertical="center" wrapText="1"/>
    </xf>
    <xf numFmtId="2" fontId="129" fillId="0" borderId="72" xfId="0" applyNumberFormat="1" applyFont="1" applyBorder="1" applyAlignment="1">
      <alignment horizontal="center" vertical="center" wrapText="1"/>
    </xf>
    <xf numFmtId="0" fontId="129" fillId="0" borderId="72" xfId="0" applyFont="1" applyBorder="1" applyAlignment="1">
      <alignment horizontal="center" vertical="center" wrapText="1"/>
    </xf>
    <xf numFmtId="0" fontId="129" fillId="0" borderId="76" xfId="0" applyFont="1" applyBorder="1" applyAlignment="1">
      <alignment horizontal="center" vertical="center" wrapText="1"/>
    </xf>
    <xf numFmtId="0" fontId="129" fillId="0" borderId="80" xfId="0" applyFont="1" applyBorder="1" applyAlignment="1">
      <alignment horizontal="center" vertical="center" wrapText="1"/>
    </xf>
    <xf numFmtId="0" fontId="129" fillId="0" borderId="80" xfId="0" applyFont="1" applyBorder="1" applyAlignment="1">
      <alignment horizontal="left" vertical="center" wrapText="1"/>
    </xf>
    <xf numFmtId="2" fontId="129" fillId="0" borderId="74" xfId="0" applyNumberFormat="1" applyFont="1" applyBorder="1" applyAlignment="1">
      <alignment horizontal="center" vertical="center" wrapText="1"/>
    </xf>
    <xf numFmtId="0" fontId="129" fillId="0" borderId="81" xfId="0" applyFont="1" applyBorder="1" applyAlignment="1">
      <alignment vertical="center" wrapText="1"/>
    </xf>
    <xf numFmtId="2" fontId="129" fillId="0" borderId="82" xfId="0" applyNumberFormat="1" applyFont="1" applyBorder="1" applyAlignment="1">
      <alignment horizontal="center" vertical="center" wrapText="1"/>
    </xf>
    <xf numFmtId="0" fontId="129" fillId="0" borderId="83" xfId="0" applyFont="1" applyBorder="1" applyAlignment="1">
      <alignment horizontal="center" vertical="center" wrapText="1"/>
    </xf>
    <xf numFmtId="0" fontId="129" fillId="0" borderId="67" xfId="0" applyFont="1" applyBorder="1" applyAlignment="1">
      <alignment horizontal="center" vertical="center" wrapText="1"/>
    </xf>
    <xf numFmtId="2" fontId="129" fillId="0" borderId="79" xfId="0" applyNumberFormat="1" applyFont="1" applyBorder="1" applyAlignment="1">
      <alignment horizontal="center" vertical="center" wrapText="1"/>
    </xf>
    <xf numFmtId="0" fontId="129" fillId="0" borderId="81" xfId="0" applyFont="1" applyBorder="1" applyAlignment="1">
      <alignment horizontal="left" vertical="center" wrapText="1"/>
    </xf>
    <xf numFmtId="2" fontId="129" fillId="0" borderId="80" xfId="0" applyNumberFormat="1" applyFont="1" applyBorder="1" applyAlignment="1">
      <alignment horizontal="center" vertical="center" wrapText="1"/>
    </xf>
    <xf numFmtId="0" fontId="129" fillId="0" borderId="74" xfId="0" applyFont="1" applyBorder="1" applyAlignment="1">
      <alignment horizontal="center" vertical="center" wrapText="1"/>
    </xf>
    <xf numFmtId="2" fontId="129" fillId="0" borderId="75" xfId="0" applyNumberFormat="1" applyFont="1" applyBorder="1" applyAlignment="1">
      <alignment horizontal="center" vertical="center" wrapText="1"/>
    </xf>
    <xf numFmtId="0" fontId="129" fillId="0" borderId="82" xfId="0" applyFont="1" applyBorder="1" applyAlignment="1">
      <alignment horizontal="center" vertical="center" wrapText="1"/>
    </xf>
    <xf numFmtId="0" fontId="129" fillId="0" borderId="0" xfId="0" applyFont="1" applyAlignment="1">
      <alignment horizontal="left" vertical="center" wrapText="1"/>
    </xf>
    <xf numFmtId="0" fontId="129" fillId="0" borderId="0" xfId="0" applyFont="1" applyAlignment="1">
      <alignment horizontal="left" vertical="center"/>
    </xf>
    <xf numFmtId="0" fontId="125" fillId="79" borderId="71" xfId="0" applyFont="1" applyFill="1" applyBorder="1" applyAlignment="1">
      <alignment horizontal="left" vertical="center" wrapText="1" indent="1"/>
    </xf>
    <xf numFmtId="165" fontId="124" fillId="79" borderId="71" xfId="0" applyNumberFormat="1" applyFont="1" applyFill="1" applyBorder="1" applyAlignment="1">
      <alignment horizontal="left" vertical="center" wrapText="1" indent="1"/>
    </xf>
    <xf numFmtId="0" fontId="142" fillId="0" borderId="0" xfId="0" applyFont="1"/>
    <xf numFmtId="0" fontId="143" fillId="0" borderId="0" xfId="0" applyFont="1" applyAlignment="1">
      <alignment horizontal="left" vertical="center" indent="6"/>
    </xf>
    <xf numFmtId="0" fontId="143" fillId="0" borderId="0" xfId="0" applyFont="1"/>
    <xf numFmtId="0" fontId="143" fillId="0" borderId="0" xfId="0" applyFont="1" applyAlignment="1">
      <alignment horizontal="left" vertical="center"/>
    </xf>
    <xf numFmtId="0" fontId="0" fillId="17" borderId="1" xfId="0" applyFill="1" applyBorder="1"/>
    <xf numFmtId="0" fontId="0" fillId="17" borderId="1" xfId="0" applyFill="1" applyBorder="1" applyAlignment="1">
      <alignment horizontal="center"/>
    </xf>
    <xf numFmtId="0" fontId="6" fillId="17" borderId="1" xfId="0" applyFont="1" applyFill="1" applyBorder="1"/>
    <xf numFmtId="0" fontId="6" fillId="17" borderId="1" xfId="0" applyFont="1" applyFill="1" applyBorder="1" applyAlignment="1">
      <alignment horizontal="center"/>
    </xf>
    <xf numFmtId="0" fontId="50" fillId="0" borderId="0" xfId="0" applyFont="1" applyAlignment="1">
      <alignment wrapText="1"/>
    </xf>
    <xf numFmtId="0" fontId="8" fillId="0" borderId="1" xfId="0" applyFont="1" applyBorder="1" applyAlignment="1">
      <alignment horizontal="left" vertical="top"/>
    </xf>
    <xf numFmtId="1" fontId="0" fillId="0" borderId="1" xfId="0" applyNumberFormat="1" applyBorder="1" applyAlignment="1">
      <alignment horizontal="center"/>
    </xf>
    <xf numFmtId="0" fontId="8" fillId="0" borderId="0" xfId="0" applyFont="1" applyAlignment="1">
      <alignment horizontal="left" vertical="top"/>
    </xf>
    <xf numFmtId="0" fontId="8" fillId="17" borderId="1" xfId="0" applyFont="1" applyFill="1" applyBorder="1"/>
    <xf numFmtId="165" fontId="6" fillId="0" borderId="1" xfId="0" applyNumberFormat="1" applyFont="1" applyBorder="1" applyAlignment="1">
      <alignment horizontal="center"/>
    </xf>
    <xf numFmtId="0" fontId="18" fillId="0" borderId="0" xfId="0" applyFont="1" applyAlignment="1">
      <alignment horizontal="left" wrapText="1"/>
    </xf>
    <xf numFmtId="0" fontId="151" fillId="0" borderId="80" xfId="0" applyFont="1" applyBorder="1"/>
    <xf numFmtId="0" fontId="60" fillId="13" borderId="0" xfId="18" applyFont="1" applyFill="1" applyAlignment="1">
      <alignment vertical="center"/>
    </xf>
    <xf numFmtId="166" fontId="32" fillId="0" borderId="0" xfId="0" applyNumberFormat="1" applyFont="1"/>
    <xf numFmtId="165" fontId="32" fillId="0" borderId="0" xfId="0" applyNumberFormat="1" applyFont="1"/>
    <xf numFmtId="164" fontId="157" fillId="0" borderId="0" xfId="0" applyNumberFormat="1" applyFont="1"/>
    <xf numFmtId="0" fontId="158" fillId="0" borderId="0" xfId="0" applyFont="1" applyAlignment="1">
      <alignment vertical="top"/>
    </xf>
    <xf numFmtId="0" fontId="9" fillId="0" borderId="0" xfId="3" applyAlignment="1" applyProtection="1">
      <alignment vertical="top"/>
    </xf>
    <xf numFmtId="0" fontId="159" fillId="0" borderId="1" xfId="0" applyFont="1" applyBorder="1" applyAlignment="1">
      <alignment vertical="top"/>
    </xf>
    <xf numFmtId="0" fontId="5" fillId="4" borderId="19" xfId="0" applyFont="1" applyFill="1" applyBorder="1" applyAlignment="1">
      <alignment vertical="top"/>
    </xf>
    <xf numFmtId="0" fontId="5" fillId="4" borderId="1" xfId="0" applyFont="1" applyFill="1" applyBorder="1" applyAlignment="1">
      <alignment horizontal="center" vertical="top" wrapText="1"/>
    </xf>
    <xf numFmtId="165" fontId="3" fillId="4" borderId="1" xfId="0" applyNumberFormat="1" applyFont="1" applyFill="1" applyBorder="1" applyAlignment="1">
      <alignment horizontal="center" vertical="top" wrapText="1"/>
    </xf>
    <xf numFmtId="165" fontId="0" fillId="4" borderId="1" xfId="0" applyNumberFormat="1" applyFill="1" applyBorder="1" applyAlignment="1">
      <alignment horizontal="center" vertical="top"/>
    </xf>
    <xf numFmtId="165" fontId="163" fillId="4" borderId="1" xfId="0" applyNumberFormat="1" applyFont="1" applyFill="1" applyBorder="1" applyAlignment="1">
      <alignment horizontal="center" vertical="top"/>
    </xf>
    <xf numFmtId="0" fontId="164" fillId="4" borderId="41" xfId="0" applyFont="1" applyFill="1" applyBorder="1" applyAlignment="1">
      <alignment vertical="top"/>
    </xf>
    <xf numFmtId="0" fontId="164" fillId="0" borderId="41" xfId="0" applyFont="1" applyBorder="1" applyAlignment="1">
      <alignment vertical="top"/>
    </xf>
    <xf numFmtId="0" fontId="5" fillId="0" borderId="1" xfId="0" applyFont="1" applyBorder="1" applyAlignment="1">
      <alignment horizontal="center" vertical="top" wrapText="1"/>
    </xf>
    <xf numFmtId="165" fontId="0" fillId="0" borderId="1" xfId="0" applyNumberFormat="1" applyBorder="1" applyAlignment="1">
      <alignment horizontal="center" vertical="top"/>
    </xf>
    <xf numFmtId="165" fontId="163" fillId="0" borderId="1" xfId="0" applyNumberFormat="1" applyFont="1" applyBorder="1" applyAlignment="1">
      <alignment horizontal="center" vertical="top"/>
    </xf>
    <xf numFmtId="0" fontId="5" fillId="0" borderId="19" xfId="0" applyFont="1" applyBorder="1" applyAlignment="1">
      <alignment vertical="center"/>
    </xf>
    <xf numFmtId="0" fontId="164" fillId="0" borderId="41" xfId="0" applyFont="1" applyBorder="1" applyAlignment="1">
      <alignment vertical="center"/>
    </xf>
    <xf numFmtId="0" fontId="164" fillId="0" borderId="20" xfId="0" applyFont="1" applyBorder="1" applyAlignment="1">
      <alignment vertical="center"/>
    </xf>
    <xf numFmtId="165" fontId="3" fillId="0" borderId="1" xfId="0" applyNumberFormat="1" applyFont="1" applyBorder="1" applyAlignment="1">
      <alignment horizontal="center"/>
    </xf>
    <xf numFmtId="0" fontId="165" fillId="0" borderId="0" xfId="0" applyFont="1"/>
    <xf numFmtId="0" fontId="5" fillId="0" borderId="0" xfId="0" applyFont="1" applyAlignment="1">
      <alignment vertical="top"/>
    </xf>
    <xf numFmtId="0" fontId="50" fillId="81" borderId="0" xfId="0" applyFont="1" applyFill="1" applyAlignment="1">
      <alignment vertical="top"/>
    </xf>
    <xf numFmtId="0" fontId="6" fillId="4" borderId="1" xfId="0" applyFont="1" applyFill="1" applyBorder="1" applyAlignment="1">
      <alignment horizontal="center"/>
    </xf>
    <xf numFmtId="165" fontId="6" fillId="0" borderId="0" xfId="0" applyNumberFormat="1" applyFont="1" applyAlignment="1">
      <alignment horizontal="center"/>
    </xf>
    <xf numFmtId="166" fontId="0" fillId="0" borderId="1" xfId="0" applyNumberFormat="1" applyBorder="1" applyAlignment="1">
      <alignment vertical="top"/>
    </xf>
    <xf numFmtId="0" fontId="5" fillId="6" borderId="1" xfId="0" applyFont="1" applyFill="1" applyBorder="1" applyAlignment="1">
      <alignment horizontal="center" vertical="top" wrapText="1"/>
    </xf>
    <xf numFmtId="165" fontId="0" fillId="6" borderId="1" xfId="0" applyNumberFormat="1" applyFill="1" applyBorder="1" applyAlignment="1">
      <alignment horizontal="center" vertical="top"/>
    </xf>
    <xf numFmtId="166" fontId="0" fillId="6" borderId="1" xfId="0" applyNumberFormat="1" applyFill="1" applyBorder="1" applyAlignment="1">
      <alignment vertical="top"/>
    </xf>
    <xf numFmtId="165" fontId="163" fillId="6" borderId="1" xfId="0" applyNumberFormat="1" applyFont="1" applyFill="1" applyBorder="1" applyAlignment="1">
      <alignment horizontal="center" vertical="top"/>
    </xf>
    <xf numFmtId="0" fontId="5" fillId="6" borderId="41" xfId="0" applyFont="1" applyFill="1" applyBorder="1" applyAlignment="1">
      <alignment vertical="center"/>
    </xf>
    <xf numFmtId="0" fontId="0" fillId="6" borderId="0" xfId="0" applyFill="1"/>
    <xf numFmtId="2" fontId="31" fillId="4" borderId="0" xfId="0" applyNumberFormat="1" applyFont="1" applyFill="1"/>
    <xf numFmtId="3" fontId="28" fillId="0" borderId="0" xfId="0" applyNumberFormat="1" applyFont="1"/>
    <xf numFmtId="165" fontId="167" fillId="6" borderId="1" xfId="0" applyNumberFormat="1" applyFont="1" applyFill="1" applyBorder="1" applyAlignment="1">
      <alignment horizontal="center" vertical="top" wrapText="1"/>
    </xf>
    <xf numFmtId="0" fontId="0" fillId="0" borderId="85" xfId="0" applyBorder="1"/>
    <xf numFmtId="0" fontId="0" fillId="0" borderId="86" xfId="0" applyBorder="1"/>
    <xf numFmtId="0" fontId="0" fillId="0" borderId="35" xfId="0" applyBorder="1"/>
    <xf numFmtId="0" fontId="159" fillId="0" borderId="87" xfId="0" applyFont="1" applyBorder="1" applyAlignment="1">
      <alignment vertical="top"/>
    </xf>
    <xf numFmtId="0" fontId="0" fillId="0" borderId="88" xfId="0" applyBorder="1"/>
    <xf numFmtId="0" fontId="0" fillId="0" borderId="89" xfId="0" applyBorder="1"/>
    <xf numFmtId="0" fontId="159" fillId="0" borderId="90" xfId="0" applyFont="1" applyBorder="1" applyAlignment="1">
      <alignment vertical="top"/>
    </xf>
    <xf numFmtId="0" fontId="5" fillId="0" borderId="85" xfId="0" applyFont="1" applyBorder="1" applyAlignment="1">
      <alignment vertical="top"/>
    </xf>
    <xf numFmtId="0" fontId="0" fillId="0" borderId="32" xfId="0" applyBorder="1"/>
    <xf numFmtId="0" fontId="0" fillId="0" borderId="92" xfId="0" applyBorder="1"/>
    <xf numFmtId="0" fontId="166" fillId="0" borderId="86" xfId="0" applyFont="1" applyBorder="1" applyAlignment="1">
      <alignment vertical="top"/>
    </xf>
    <xf numFmtId="0" fontId="5" fillId="0" borderId="88" xfId="0" applyFont="1" applyBorder="1" applyAlignment="1">
      <alignment vertical="top"/>
    </xf>
    <xf numFmtId="0" fontId="5" fillId="0" borderId="35" xfId="0" applyFont="1" applyBorder="1" applyAlignment="1">
      <alignment vertical="top"/>
    </xf>
    <xf numFmtId="0" fontId="0" fillId="0" borderId="36" xfId="0" applyBorder="1"/>
    <xf numFmtId="0" fontId="5" fillId="0" borderId="94" xfId="0" applyFont="1" applyBorder="1" applyAlignment="1">
      <alignment vertical="top"/>
    </xf>
    <xf numFmtId="0" fontId="5" fillId="0" borderId="86" xfId="0" applyFont="1" applyBorder="1" applyAlignment="1">
      <alignment vertical="top"/>
    </xf>
    <xf numFmtId="0" fontId="5" fillId="0" borderId="89" xfId="0" applyFont="1" applyBorder="1" applyAlignment="1">
      <alignment vertical="top"/>
    </xf>
    <xf numFmtId="164" fontId="4" fillId="0" borderId="0" xfId="0" applyNumberFormat="1" applyFont="1"/>
    <xf numFmtId="0" fontId="156" fillId="0" borderId="0" xfId="0" applyFont="1"/>
    <xf numFmtId="0" fontId="55" fillId="40" borderId="38" xfId="18" applyFont="1" applyFill="1" applyBorder="1" applyAlignment="1">
      <alignment horizontal="center" vertical="center"/>
    </xf>
    <xf numFmtId="4" fontId="6" fillId="73" borderId="0" xfId="0" applyNumberFormat="1" applyFont="1" applyFill="1"/>
    <xf numFmtId="0" fontId="9" fillId="71" borderId="0" xfId="3" applyFill="1"/>
    <xf numFmtId="3" fontId="0" fillId="71" borderId="0" xfId="0" applyNumberFormat="1" applyFill="1"/>
    <xf numFmtId="2" fontId="36" fillId="13" borderId="14" xfId="0" applyNumberFormat="1" applyFont="1" applyFill="1" applyBorder="1"/>
    <xf numFmtId="0" fontId="55" fillId="40" borderId="95" xfId="18" applyFont="1" applyFill="1" applyBorder="1" applyAlignment="1">
      <alignment vertical="center"/>
    </xf>
    <xf numFmtId="0" fontId="55" fillId="40" borderId="1" xfId="12" applyFill="1" applyBorder="1">
      <alignment horizontal="left" vertical="center"/>
    </xf>
    <xf numFmtId="2" fontId="57" fillId="5" borderId="1" xfId="0" applyNumberFormat="1" applyFont="1" applyFill="1" applyBorder="1" applyAlignment="1">
      <alignment horizontal="right"/>
    </xf>
    <xf numFmtId="2" fontId="57" fillId="68" borderId="1" xfId="0" applyNumberFormat="1" applyFont="1" applyFill="1" applyBorder="1" applyAlignment="1">
      <alignment horizontal="right"/>
    </xf>
    <xf numFmtId="0" fontId="57" fillId="40" borderId="1" xfId="20" applyFont="1" applyFill="1" applyBorder="1">
      <alignment horizontal="left" vertical="center" indent="5"/>
    </xf>
    <xf numFmtId="0" fontId="57" fillId="40" borderId="1" xfId="18" applyFill="1" applyBorder="1" applyAlignment="1">
      <alignment horizontal="left" vertical="center" indent="1"/>
    </xf>
    <xf numFmtId="2" fontId="57" fillId="67" borderId="1" xfId="0" applyNumberFormat="1" applyFont="1" applyFill="1" applyBorder="1" applyAlignment="1">
      <alignment horizontal="right"/>
    </xf>
    <xf numFmtId="0" fontId="57" fillId="40" borderId="1" xfId="20" applyFont="1" applyFill="1" applyBorder="1" applyAlignment="1">
      <alignment horizontal="left" vertical="center" indent="1"/>
    </xf>
    <xf numFmtId="0" fontId="57" fillId="40" borderId="1" xfId="18" applyFill="1" applyBorder="1" applyAlignment="1">
      <alignment horizontal="left" vertical="center" indent="2"/>
    </xf>
    <xf numFmtId="0" fontId="54" fillId="40" borderId="1" xfId="20" applyFont="1" applyFill="1" applyBorder="1">
      <alignment horizontal="left" vertical="center" indent="5"/>
    </xf>
    <xf numFmtId="0" fontId="54" fillId="40" borderId="2" xfId="20" applyFont="1" applyFill="1" applyBorder="1" applyAlignment="1">
      <alignment horizontal="left" vertical="center" indent="2"/>
    </xf>
    <xf numFmtId="3" fontId="118" fillId="67" borderId="56" xfId="948" applyNumberFormat="1"/>
    <xf numFmtId="3" fontId="118" fillId="77" borderId="56" xfId="949" applyNumberFormat="1"/>
    <xf numFmtId="3" fontId="118" fillId="77" borderId="57" xfId="949" applyNumberFormat="1" applyBorder="1"/>
    <xf numFmtId="3" fontId="118" fillId="67" borderId="57" xfId="948" applyNumberFormat="1" applyBorder="1"/>
    <xf numFmtId="0" fontId="0" fillId="0" borderId="87" xfId="0" applyBorder="1"/>
    <xf numFmtId="0" fontId="0" fillId="0" borderId="97" xfId="0" applyBorder="1"/>
    <xf numFmtId="0" fontId="0" fillId="0" borderId="94" xfId="0" applyBorder="1"/>
    <xf numFmtId="164" fontId="50" fillId="0" borderId="0" xfId="0" applyNumberFormat="1" applyFont="1"/>
    <xf numFmtId="3" fontId="50" fillId="0" borderId="80" xfId="0" applyNumberFormat="1" applyFont="1" applyBorder="1"/>
    <xf numFmtId="3" fontId="50" fillId="0" borderId="92" xfId="0" applyNumberFormat="1" applyFont="1" applyBorder="1"/>
    <xf numFmtId="164" fontId="50" fillId="0" borderId="97" xfId="0" applyNumberFormat="1" applyFont="1" applyBorder="1"/>
    <xf numFmtId="3" fontId="6" fillId="0" borderId="80" xfId="0" applyNumberFormat="1" applyFont="1" applyBorder="1"/>
    <xf numFmtId="0" fontId="32" fillId="0" borderId="97" xfId="0" applyFont="1" applyBorder="1"/>
    <xf numFmtId="164" fontId="156" fillId="0" borderId="97" xfId="0" applyNumberFormat="1" applyFont="1" applyBorder="1"/>
    <xf numFmtId="0" fontId="19" fillId="0" borderId="0" xfId="0" applyFont="1" applyAlignment="1">
      <alignment horizontal="center" vertical="center"/>
    </xf>
    <xf numFmtId="168" fontId="26" fillId="0" borderId="0" xfId="0" applyNumberFormat="1" applyFont="1" applyAlignment="1">
      <alignment horizontal="center" vertical="center"/>
    </xf>
    <xf numFmtId="166" fontId="26" fillId="0" borderId="0" xfId="0" applyNumberFormat="1" applyFont="1" applyAlignment="1">
      <alignment horizontal="center" vertical="center"/>
    </xf>
    <xf numFmtId="0" fontId="0" fillId="0" borderId="1" xfId="0" applyBorder="1" applyAlignment="1">
      <alignment horizontal="center" vertical="center"/>
    </xf>
    <xf numFmtId="0" fontId="6" fillId="7" borderId="1" xfId="0" applyFont="1" applyFill="1" applyBorder="1" applyAlignment="1">
      <alignment horizontal="center" vertical="center"/>
    </xf>
    <xf numFmtId="0" fontId="8" fillId="9" borderId="1" xfId="0" applyFont="1" applyFill="1" applyBorder="1" applyAlignment="1">
      <alignment horizontal="left"/>
    </xf>
    <xf numFmtId="0" fontId="8" fillId="9" borderId="2" xfId="0" applyFont="1" applyFill="1" applyBorder="1" applyAlignment="1">
      <alignment horizontal="left" vertical="center"/>
    </xf>
    <xf numFmtId="0" fontId="22" fillId="7" borderId="1" xfId="0" applyFont="1" applyFill="1" applyBorder="1" applyAlignment="1">
      <alignment horizontal="left" vertical="center"/>
    </xf>
    <xf numFmtId="166" fontId="4" fillId="0" borderId="0" xfId="0" applyNumberFormat="1" applyFont="1" applyAlignment="1">
      <alignment horizontal="center" wrapText="1"/>
    </xf>
    <xf numFmtId="0" fontId="8" fillId="0" borderId="0" xfId="0" applyFont="1" applyAlignment="1">
      <alignment horizontal="left" vertical="center"/>
    </xf>
    <xf numFmtId="0" fontId="138" fillId="0" borderId="71" xfId="0" applyFont="1" applyBorder="1" applyAlignment="1">
      <alignment horizontal="center" vertical="center" wrapText="1"/>
    </xf>
    <xf numFmtId="0" fontId="170" fillId="0" borderId="0" xfId="0" applyFont="1"/>
    <xf numFmtId="0" fontId="171" fillId="0" borderId="0" xfId="0" applyFont="1" applyAlignment="1">
      <alignment horizontal="left" vertical="top"/>
    </xf>
    <xf numFmtId="0" fontId="171" fillId="0" borderId="0" xfId="0" applyFont="1"/>
    <xf numFmtId="0" fontId="8" fillId="0" borderId="0" xfId="7"/>
    <xf numFmtId="0" fontId="31" fillId="0" borderId="0" xfId="0" applyFont="1" applyAlignment="1">
      <alignment vertical="top" wrapText="1"/>
    </xf>
    <xf numFmtId="0" fontId="8" fillId="9" borderId="1" xfId="0" applyFont="1" applyFill="1" applyBorder="1" applyAlignment="1">
      <alignment horizontal="left" wrapText="1"/>
    </xf>
    <xf numFmtId="0" fontId="4" fillId="0" borderId="1" xfId="0" applyFont="1" applyBorder="1" applyAlignment="1">
      <alignment horizontal="left"/>
    </xf>
    <xf numFmtId="2" fontId="4" fillId="7" borderId="1" xfId="0" applyNumberFormat="1" applyFont="1" applyFill="1" applyBorder="1" applyAlignment="1">
      <alignment horizontal="center"/>
    </xf>
    <xf numFmtId="2" fontId="4" fillId="0" borderId="1" xfId="0" applyNumberFormat="1" applyFont="1" applyBorder="1" applyAlignment="1">
      <alignment horizontal="center"/>
    </xf>
    <xf numFmtId="165" fontId="7" fillId="0" borderId="1" xfId="0" applyNumberFormat="1" applyFont="1" applyBorder="1" applyAlignment="1">
      <alignment horizontal="center"/>
    </xf>
    <xf numFmtId="0" fontId="174" fillId="0" borderId="0" xfId="0" applyFont="1"/>
    <xf numFmtId="0" fontId="28" fillId="0" borderId="0" xfId="0" applyFont="1" applyAlignment="1">
      <alignment horizontal="left" vertical="top"/>
    </xf>
    <xf numFmtId="14" fontId="0" fillId="0" borderId="0" xfId="0" applyNumberFormat="1"/>
    <xf numFmtId="0" fontId="153" fillId="0" borderId="0" xfId="0" applyFont="1"/>
    <xf numFmtId="0" fontId="154" fillId="0" borderId="84" xfId="0" applyFont="1" applyBorder="1" applyAlignment="1">
      <alignment horizontal="left" vertical="top" wrapText="1"/>
    </xf>
    <xf numFmtId="0" fontId="155" fillId="0" borderId="84" xfId="0" applyFont="1" applyBorder="1" applyAlignment="1">
      <alignment vertical="center" wrapText="1"/>
    </xf>
    <xf numFmtId="0" fontId="154" fillId="0" borderId="84" xfId="0" applyFont="1" applyBorder="1" applyAlignment="1">
      <alignment vertical="center" wrapText="1"/>
    </xf>
    <xf numFmtId="2" fontId="4" fillId="0" borderId="0" xfId="0" applyNumberFormat="1" applyFont="1" applyAlignment="1">
      <alignment horizontal="center"/>
    </xf>
    <xf numFmtId="165" fontId="7" fillId="0" borderId="0" xfId="0" applyNumberFormat="1" applyFont="1" applyAlignment="1">
      <alignment horizontal="center"/>
    </xf>
    <xf numFmtId="0" fontId="51" fillId="0" borderId="0" xfId="0" applyFont="1" applyAlignment="1">
      <alignment horizontal="left"/>
    </xf>
    <xf numFmtId="2" fontId="175" fillId="0" borderId="0" xfId="11" applyNumberFormat="1" applyFont="1"/>
    <xf numFmtId="0" fontId="4" fillId="0" borderId="0" xfId="0" applyFont="1" applyAlignment="1">
      <alignment vertical="top"/>
    </xf>
    <xf numFmtId="0" fontId="4" fillId="0" borderId="1" xfId="0" applyFont="1" applyBorder="1" applyAlignment="1">
      <alignment vertical="top"/>
    </xf>
    <xf numFmtId="0" fontId="22" fillId="0" borderId="1" xfId="0" applyFont="1" applyBorder="1" applyAlignment="1">
      <alignment horizontal="center" vertical="center"/>
    </xf>
    <xf numFmtId="0" fontId="22" fillId="0" borderId="0" xfId="0" applyFont="1" applyAlignment="1">
      <alignment horizontal="center" vertical="center"/>
    </xf>
    <xf numFmtId="0" fontId="4" fillId="9" borderId="0" xfId="1" applyFont="1" applyFill="1" applyBorder="1" applyAlignment="1">
      <alignment horizontal="left" vertical="top" wrapText="1"/>
    </xf>
    <xf numFmtId="2" fontId="3" fillId="0" borderId="0" xfId="0" applyNumberFormat="1" applyFont="1" applyAlignment="1">
      <alignment vertical="top" wrapText="1"/>
    </xf>
    <xf numFmtId="2" fontId="4" fillId="0" borderId="0" xfId="1" applyNumberFormat="1" applyFont="1" applyFill="1" applyBorder="1" applyAlignment="1">
      <alignment vertical="top" wrapText="1"/>
    </xf>
    <xf numFmtId="2" fontId="0" fillId="0" borderId="0" xfId="0" applyNumberFormat="1" applyAlignment="1">
      <alignment vertical="top" wrapText="1"/>
    </xf>
    <xf numFmtId="2" fontId="7" fillId="0" borderId="0" xfId="2" applyNumberFormat="1" applyFont="1" applyFill="1" applyBorder="1" applyAlignment="1">
      <alignment vertical="top" wrapText="1"/>
    </xf>
    <xf numFmtId="0" fontId="4" fillId="9" borderId="1" xfId="0" applyFont="1" applyFill="1" applyBorder="1" applyAlignment="1">
      <alignment horizontal="left"/>
    </xf>
    <xf numFmtId="0" fontId="4" fillId="9" borderId="1" xfId="0" applyFont="1" applyFill="1" applyBorder="1" applyAlignment="1">
      <alignment horizontal="left" wrapText="1"/>
    </xf>
    <xf numFmtId="173" fontId="0" fillId="0" borderId="0" xfId="0" applyNumberFormat="1"/>
    <xf numFmtId="0" fontId="176" fillId="0" borderId="0" xfId="0" applyFont="1"/>
    <xf numFmtId="0" fontId="51" fillId="0" borderId="0" xfId="0" applyFont="1"/>
    <xf numFmtId="9" fontId="0" fillId="0" borderId="0" xfId="6" applyFont="1" applyFill="1"/>
    <xf numFmtId="0" fontId="172" fillId="0" borderId="0" xfId="0" applyFont="1"/>
    <xf numFmtId="0" fontId="8" fillId="9" borderId="1" xfId="0" applyFont="1" applyFill="1" applyBorder="1"/>
    <xf numFmtId="0" fontId="0" fillId="82" borderId="0" xfId="0" applyFill="1"/>
    <xf numFmtId="0" fontId="129" fillId="0" borderId="1" xfId="0" applyFont="1" applyBorder="1" applyAlignment="1">
      <alignment horizontal="left" vertical="center" wrapText="1"/>
    </xf>
    <xf numFmtId="2" fontId="129" fillId="0" borderId="1" xfId="0" applyNumberFormat="1" applyFont="1" applyBorder="1" applyAlignment="1">
      <alignment horizontal="center" vertical="center" wrapText="1"/>
    </xf>
    <xf numFmtId="0" fontId="129" fillId="0" borderId="1" xfId="0" applyFont="1" applyBorder="1" applyAlignment="1">
      <alignment horizontal="center" vertical="center" wrapText="1"/>
    </xf>
    <xf numFmtId="4" fontId="4" fillId="6" borderId="1" xfId="0" applyNumberFormat="1" applyFont="1" applyFill="1" applyBorder="1" applyAlignment="1" applyProtection="1">
      <alignment horizontal="center"/>
      <protection locked="0"/>
    </xf>
    <xf numFmtId="0" fontId="4" fillId="0" borderId="1" xfId="0" applyFont="1" applyBorder="1"/>
    <xf numFmtId="2" fontId="4" fillId="4" borderId="1" xfId="0" applyNumberFormat="1" applyFont="1" applyFill="1" applyBorder="1"/>
    <xf numFmtId="3" fontId="4" fillId="0" borderId="1" xfId="0" applyNumberFormat="1" applyFont="1" applyBorder="1"/>
    <xf numFmtId="0" fontId="8" fillId="9" borderId="2" xfId="0" applyFont="1" applyFill="1" applyBorder="1" applyAlignment="1">
      <alignment horizontal="left" wrapText="1"/>
    </xf>
    <xf numFmtId="0" fontId="0" fillId="9" borderId="1" xfId="0" applyFill="1" applyBorder="1" applyAlignment="1">
      <alignment horizontal="left" wrapText="1"/>
    </xf>
    <xf numFmtId="0" fontId="6" fillId="9" borderId="21" xfId="0" applyFont="1" applyFill="1" applyBorder="1" applyAlignment="1">
      <alignment horizontal="center" vertical="center"/>
    </xf>
    <xf numFmtId="165" fontId="4" fillId="4" borderId="1" xfId="0" applyNumberFormat="1" applyFont="1" applyFill="1" applyBorder="1" applyAlignment="1">
      <alignment horizontal="center"/>
    </xf>
    <xf numFmtId="165" fontId="4" fillId="0" borderId="1" xfId="0" applyNumberFormat="1" applyFont="1" applyBorder="1" applyAlignment="1">
      <alignment horizontal="center"/>
    </xf>
    <xf numFmtId="9" fontId="4" fillId="6" borderId="1" xfId="6" applyFont="1" applyFill="1" applyBorder="1" applyAlignment="1" applyProtection="1">
      <alignment horizontal="center"/>
      <protection locked="0"/>
    </xf>
    <xf numFmtId="166" fontId="4" fillId="0" borderId="0" xfId="0" applyNumberFormat="1" applyFont="1" applyAlignment="1">
      <alignment horizontal="center"/>
    </xf>
    <xf numFmtId="0" fontId="4" fillId="6" borderId="1" xfId="0" applyFont="1" applyFill="1" applyBorder="1" applyAlignment="1" applyProtection="1">
      <alignment horizontal="center" vertical="center" wrapText="1"/>
      <protection locked="0"/>
    </xf>
    <xf numFmtId="9" fontId="4" fillId="0" borderId="1" xfId="6" applyFont="1" applyFill="1" applyBorder="1" applyAlignment="1" applyProtection="1">
      <alignment horizontal="center"/>
      <protection locked="0"/>
    </xf>
    <xf numFmtId="9" fontId="4" fillId="0" borderId="1" xfId="6" applyFont="1" applyFill="1" applyBorder="1" applyAlignment="1" applyProtection="1">
      <alignment horizontal="center"/>
    </xf>
    <xf numFmtId="4" fontId="4" fillId="0" borderId="1" xfId="0" applyNumberFormat="1" applyFont="1" applyBorder="1"/>
    <xf numFmtId="0" fontId="6" fillId="7" borderId="1" xfId="0" applyFont="1" applyFill="1" applyBorder="1" applyAlignment="1">
      <alignment horizontal="left"/>
    </xf>
    <xf numFmtId="0" fontId="7" fillId="7" borderId="1" xfId="0" applyFont="1" applyFill="1" applyBorder="1" applyAlignment="1">
      <alignment horizontal="left"/>
    </xf>
    <xf numFmtId="0" fontId="7" fillId="7" borderId="1" xfId="0" applyFont="1" applyFill="1" applyBorder="1" applyAlignment="1">
      <alignment horizontal="left" wrapText="1"/>
    </xf>
    <xf numFmtId="0" fontId="181" fillId="8" borderId="4" xfId="0" applyFont="1" applyFill="1" applyBorder="1" applyAlignment="1">
      <alignment horizontal="left"/>
    </xf>
    <xf numFmtId="0" fontId="181" fillId="8" borderId="5" xfId="0" applyFont="1" applyFill="1" applyBorder="1" applyAlignment="1">
      <alignment horizontal="left"/>
    </xf>
    <xf numFmtId="0" fontId="181" fillId="8" borderId="5" xfId="0" applyFont="1" applyFill="1" applyBorder="1" applyAlignment="1">
      <alignment horizontal="left" wrapText="1"/>
    </xf>
    <xf numFmtId="2" fontId="0" fillId="0" borderId="19" xfId="0" applyNumberFormat="1" applyBorder="1" applyAlignment="1">
      <alignment horizontal="center"/>
    </xf>
    <xf numFmtId="0" fontId="0" fillId="0" borderId="19" xfId="0" applyBorder="1" applyAlignment="1">
      <alignment horizontal="center"/>
    </xf>
    <xf numFmtId="0" fontId="183" fillId="7" borderId="1" xfId="0" applyFont="1" applyFill="1" applyBorder="1" applyAlignment="1">
      <alignment horizontal="left"/>
    </xf>
    <xf numFmtId="0" fontId="8" fillId="9" borderId="22" xfId="0" applyFont="1" applyFill="1" applyBorder="1" applyAlignment="1">
      <alignment horizontal="center" vertical="center"/>
    </xf>
    <xf numFmtId="0" fontId="8" fillId="9" borderId="1" xfId="0" applyFont="1" applyFill="1" applyBorder="1" applyAlignment="1">
      <alignment horizontal="center" vertical="center"/>
    </xf>
    <xf numFmtId="0" fontId="6" fillId="9" borderId="1" xfId="0" applyFont="1" applyFill="1" applyBorder="1" applyAlignment="1">
      <alignment horizontal="center" vertical="center"/>
    </xf>
    <xf numFmtId="0" fontId="6" fillId="6" borderId="1" xfId="0" applyFont="1" applyFill="1" applyBorder="1" applyAlignment="1" applyProtection="1">
      <alignment horizontal="center" vertical="center"/>
      <protection locked="0"/>
    </xf>
    <xf numFmtId="0" fontId="6" fillId="9" borderId="2" xfId="0" applyFont="1" applyFill="1" applyBorder="1" applyAlignment="1">
      <alignment horizontal="left" vertical="center"/>
    </xf>
    <xf numFmtId="0" fontId="0" fillId="7" borderId="1" xfId="0" applyFill="1" applyBorder="1" applyAlignment="1">
      <alignment horizontal="left" vertical="center"/>
    </xf>
    <xf numFmtId="0" fontId="44" fillId="0" borderId="0" xfId="0" applyFont="1" applyAlignment="1">
      <alignment vertical="top" wrapText="1"/>
    </xf>
    <xf numFmtId="0" fontId="4" fillId="7" borderId="1" xfId="0" applyFont="1" applyFill="1" applyBorder="1" applyAlignment="1">
      <alignment horizontal="left" wrapText="1"/>
    </xf>
    <xf numFmtId="0" fontId="123" fillId="0" borderId="0" xfId="0" applyFont="1"/>
    <xf numFmtId="0" fontId="0" fillId="0" borderId="98" xfId="0" applyBorder="1"/>
    <xf numFmtId="0" fontId="186" fillId="0" borderId="99" xfId="0" applyFont="1" applyBorder="1" applyAlignment="1">
      <alignment vertical="center"/>
    </xf>
    <xf numFmtId="0" fontId="187" fillId="0" borderId="99" xfId="0" applyFont="1" applyBorder="1" applyAlignment="1">
      <alignment vertical="center"/>
    </xf>
    <xf numFmtId="0" fontId="188" fillId="0" borderId="99" xfId="0" applyFont="1" applyBorder="1" applyAlignment="1">
      <alignment vertical="center"/>
    </xf>
    <xf numFmtId="0" fontId="186" fillId="83" borderId="100" xfId="0" applyFont="1" applyFill="1" applyBorder="1" applyAlignment="1">
      <alignment vertical="center"/>
    </xf>
    <xf numFmtId="0" fontId="186" fillId="84" borderId="101" xfId="0" applyFont="1" applyFill="1" applyBorder="1" applyAlignment="1">
      <alignment vertical="center"/>
    </xf>
    <xf numFmtId="0" fontId="189" fillId="0" borderId="0" xfId="0" applyFont="1" applyAlignment="1">
      <alignment horizontal="center" vertical="center"/>
    </xf>
    <xf numFmtId="164" fontId="187" fillId="0" borderId="0" xfId="0" applyNumberFormat="1" applyFont="1" applyAlignment="1">
      <alignment vertical="center"/>
    </xf>
    <xf numFmtId="164" fontId="188" fillId="0" borderId="0" xfId="0" applyNumberFormat="1" applyFont="1" applyAlignment="1">
      <alignment vertical="center"/>
    </xf>
    <xf numFmtId="0" fontId="187" fillId="0" borderId="0" xfId="0" applyFont="1" applyAlignment="1">
      <alignment vertical="center"/>
    </xf>
    <xf numFmtId="0" fontId="189" fillId="0" borderId="0" xfId="0" applyFont="1" applyAlignment="1">
      <alignment vertical="center"/>
    </xf>
    <xf numFmtId="0" fontId="190" fillId="85" borderId="98" xfId="0" applyFont="1" applyFill="1" applyBorder="1"/>
    <xf numFmtId="0" fontId="0" fillId="85" borderId="92" xfId="0" applyFill="1" applyBorder="1"/>
    <xf numFmtId="0" fontId="0" fillId="85" borderId="99" xfId="0" applyFill="1" applyBorder="1"/>
    <xf numFmtId="0" fontId="0" fillId="85" borderId="0" xfId="0" applyFill="1"/>
    <xf numFmtId="0" fontId="0" fillId="85" borderId="58" xfId="0" applyFill="1" applyBorder="1"/>
    <xf numFmtId="165" fontId="0" fillId="85" borderId="99" xfId="0" applyNumberFormat="1" applyFill="1" applyBorder="1"/>
    <xf numFmtId="10" fontId="0" fillId="85" borderId="100" xfId="6" applyNumberFormat="1" applyFont="1" applyFill="1" applyBorder="1"/>
    <xf numFmtId="0" fontId="0" fillId="85" borderId="36" xfId="0" applyFill="1" applyBorder="1"/>
    <xf numFmtId="0" fontId="0" fillId="85" borderId="59" xfId="0" applyFill="1" applyBorder="1"/>
    <xf numFmtId="0" fontId="0" fillId="85" borderId="99" xfId="0" applyFill="1" applyBorder="1" applyAlignment="1">
      <alignment horizontal="center"/>
    </xf>
    <xf numFmtId="10" fontId="191" fillId="83" borderId="36" xfId="184" applyNumberFormat="1" applyFont="1" applyFill="1" applyBorder="1" applyAlignment="1" applyProtection="1">
      <alignment horizontal="right" vertical="center"/>
    </xf>
    <xf numFmtId="0" fontId="192" fillId="0" borderId="0" xfId="0" applyFont="1"/>
    <xf numFmtId="0" fontId="0" fillId="4" borderId="0" xfId="0" applyFill="1" applyAlignment="1">
      <alignment wrapText="1"/>
    </xf>
    <xf numFmtId="0" fontId="28" fillId="4" borderId="0" xfId="0" applyFont="1" applyFill="1" applyAlignment="1">
      <alignment wrapText="1"/>
    </xf>
    <xf numFmtId="166" fontId="8" fillId="0" borderId="0" xfId="0" applyNumberFormat="1" applyFont="1"/>
    <xf numFmtId="0" fontId="193" fillId="85" borderId="32" xfId="0" applyFont="1" applyFill="1" applyBorder="1" applyAlignment="1">
      <alignment horizontal="left" vertical="center"/>
    </xf>
    <xf numFmtId="165" fontId="4" fillId="6" borderId="1" xfId="0" applyNumberFormat="1" applyFont="1" applyFill="1" applyBorder="1" applyAlignment="1" applyProtection="1">
      <alignment horizontal="center"/>
      <protection locked="0"/>
    </xf>
    <xf numFmtId="164" fontId="4" fillId="6" borderId="1" xfId="0" applyNumberFormat="1" applyFont="1" applyFill="1" applyBorder="1" applyAlignment="1" applyProtection="1">
      <alignment horizontal="center"/>
      <protection locked="0"/>
    </xf>
    <xf numFmtId="164" fontId="4" fillId="6" borderId="1" xfId="6" applyNumberFormat="1" applyFont="1" applyFill="1" applyBorder="1" applyAlignment="1" applyProtection="1">
      <alignment horizontal="center"/>
      <protection locked="0"/>
    </xf>
    <xf numFmtId="165" fontId="8" fillId="6" borderId="1" xfId="0" applyNumberFormat="1" applyFont="1" applyFill="1" applyBorder="1" applyAlignment="1" applyProtection="1">
      <alignment horizontal="center" vertical="center"/>
      <protection locked="0"/>
    </xf>
    <xf numFmtId="164" fontId="4" fillId="0" borderId="1" xfId="0" applyNumberFormat="1" applyFont="1" applyBorder="1" applyAlignment="1">
      <alignment horizontal="center"/>
    </xf>
    <xf numFmtId="164" fontId="4" fillId="6" borderId="1" xfId="0" applyNumberFormat="1" applyFont="1" applyFill="1" applyBorder="1" applyAlignment="1" applyProtection="1">
      <alignment horizontal="center" vertical="center"/>
      <protection locked="0"/>
    </xf>
    <xf numFmtId="164" fontId="0" fillId="0" borderId="1" xfId="0" applyNumberFormat="1" applyBorder="1" applyAlignment="1">
      <alignment horizontal="center"/>
    </xf>
    <xf numFmtId="164" fontId="0" fillId="4" borderId="1" xfId="0" applyNumberFormat="1" applyFill="1" applyBorder="1" applyAlignment="1">
      <alignment horizontal="center"/>
    </xf>
    <xf numFmtId="164" fontId="22" fillId="0" borderId="1" xfId="0" applyNumberFormat="1" applyFont="1" applyBorder="1" applyAlignment="1">
      <alignment horizontal="center"/>
    </xf>
    <xf numFmtId="164" fontId="0" fillId="6" borderId="1" xfId="0" applyNumberFormat="1" applyFill="1" applyBorder="1" applyAlignment="1" applyProtection="1">
      <alignment horizontal="center"/>
      <protection locked="0"/>
    </xf>
    <xf numFmtId="165" fontId="0" fillId="6" borderId="1" xfId="0" applyNumberFormat="1" applyFill="1" applyBorder="1" applyAlignment="1" applyProtection="1">
      <alignment horizontal="center"/>
      <protection locked="0"/>
    </xf>
    <xf numFmtId="165" fontId="0" fillId="6" borderId="1" xfId="0" applyNumberFormat="1" applyFill="1" applyBorder="1" applyAlignment="1" applyProtection="1">
      <alignment horizontal="center" vertical="top"/>
      <protection locked="0"/>
    </xf>
    <xf numFmtId="1" fontId="4" fillId="6" borderId="1" xfId="0" applyNumberFormat="1" applyFont="1" applyFill="1" applyBorder="1" applyAlignment="1" applyProtection="1">
      <alignment horizontal="center"/>
      <protection locked="0"/>
    </xf>
    <xf numFmtId="0" fontId="196" fillId="0" borderId="0" xfId="0" applyFont="1"/>
    <xf numFmtId="0" fontId="201" fillId="0" borderId="0" xfId="0" applyFont="1" applyAlignment="1">
      <alignment horizontal="left"/>
    </xf>
    <xf numFmtId="0" fontId="22" fillId="6" borderId="1" xfId="0" applyFont="1" applyFill="1" applyBorder="1" applyAlignment="1" applyProtection="1">
      <alignment horizontal="center" wrapText="1"/>
      <protection locked="0"/>
    </xf>
    <xf numFmtId="9" fontId="12" fillId="0" borderId="0" xfId="6" applyFont="1" applyProtection="1"/>
    <xf numFmtId="9" fontId="0" fillId="0" borderId="0" xfId="6" applyFont="1" applyProtection="1"/>
    <xf numFmtId="0" fontId="196" fillId="0" borderId="0" xfId="0" applyFont="1" applyAlignment="1">
      <alignment horizontal="center" vertical="top"/>
    </xf>
    <xf numFmtId="0" fontId="196" fillId="0" borderId="0" xfId="0" applyFont="1" applyAlignment="1">
      <alignment horizontal="left"/>
    </xf>
    <xf numFmtId="0" fontId="201" fillId="0" borderId="1" xfId="0" applyFont="1" applyBorder="1" applyAlignment="1">
      <alignment horizontal="center" vertical="top"/>
    </xf>
    <xf numFmtId="0" fontId="201" fillId="0" borderId="1" xfId="0" applyFont="1" applyBorder="1"/>
    <xf numFmtId="0" fontId="201" fillId="0" borderId="1" xfId="0" applyFont="1" applyBorder="1" applyAlignment="1">
      <alignment horizontal="center"/>
    </xf>
    <xf numFmtId="0" fontId="196" fillId="0" borderId="1" xfId="0" applyFont="1" applyBorder="1" applyAlignment="1">
      <alignment horizontal="center" vertical="top"/>
    </xf>
    <xf numFmtId="0" fontId="196" fillId="0" borderId="1" xfId="0" applyFont="1" applyBorder="1" applyAlignment="1">
      <alignment horizontal="left" vertical="top"/>
    </xf>
    <xf numFmtId="0" fontId="196" fillId="0" borderId="1" xfId="0" applyFont="1" applyBorder="1" applyAlignment="1">
      <alignment horizontal="left" vertical="top" wrapText="1"/>
    </xf>
    <xf numFmtId="166" fontId="196" fillId="0" borderId="1" xfId="0" applyNumberFormat="1" applyFont="1" applyBorder="1" applyAlignment="1">
      <alignment horizontal="center" vertical="top"/>
    </xf>
    <xf numFmtId="0" fontId="196" fillId="0" borderId="1" xfId="0" applyFont="1" applyBorder="1" applyAlignment="1">
      <alignment vertical="top" wrapText="1"/>
    </xf>
    <xf numFmtId="1" fontId="196" fillId="0" borderId="1" xfId="0" applyNumberFormat="1" applyFont="1" applyBorder="1" applyAlignment="1">
      <alignment horizontal="center" vertical="top"/>
    </xf>
    <xf numFmtId="2" fontId="196" fillId="0" borderId="1" xfId="0" applyNumberFormat="1" applyFont="1" applyBorder="1" applyAlignment="1">
      <alignment horizontal="center" vertical="top"/>
    </xf>
    <xf numFmtId="0" fontId="196" fillId="0" borderId="0" xfId="0" applyFont="1" applyAlignment="1">
      <alignment horizontal="center" vertical="center"/>
    </xf>
    <xf numFmtId="0" fontId="196" fillId="0" borderId="0" xfId="0" applyFont="1" applyAlignment="1">
      <alignment wrapText="1"/>
    </xf>
    <xf numFmtId="9" fontId="201" fillId="0" borderId="0" xfId="6" applyFont="1"/>
    <xf numFmtId="0" fontId="201" fillId="0" borderId="1" xfId="0" applyFont="1" applyBorder="1" applyAlignment="1">
      <alignment horizontal="center" vertical="center" wrapText="1"/>
    </xf>
    <xf numFmtId="49" fontId="196" fillId="0" borderId="1" xfId="0" applyNumberFormat="1" applyFont="1" applyBorder="1"/>
    <xf numFmtId="0" fontId="196" fillId="0" borderId="1" xfId="0" applyFont="1" applyBorder="1"/>
    <xf numFmtId="0" fontId="196" fillId="0" borderId="1" xfId="0" applyFont="1" applyBorder="1" applyAlignment="1">
      <alignment wrapText="1"/>
    </xf>
    <xf numFmtId="0" fontId="196" fillId="86" borderId="1" xfId="0" applyFont="1" applyFill="1" applyBorder="1" applyAlignment="1">
      <alignment wrapText="1"/>
    </xf>
    <xf numFmtId="0" fontId="196" fillId="0" borderId="1" xfId="0" applyFont="1" applyBorder="1" applyAlignment="1">
      <alignment horizontal="center" vertical="center"/>
    </xf>
    <xf numFmtId="0" fontId="201" fillId="0" borderId="1" xfId="0" applyFont="1" applyBorder="1" applyAlignment="1">
      <alignment horizontal="center" vertical="center"/>
    </xf>
    <xf numFmtId="0" fontId="196" fillId="0" borderId="1" xfId="0" applyFont="1" applyBorder="1" applyAlignment="1">
      <alignment vertical="top"/>
    </xf>
    <xf numFmtId="0" fontId="196" fillId="0" borderId="41" xfId="0" applyFont="1" applyBorder="1" applyAlignment="1">
      <alignment wrapText="1"/>
    </xf>
    <xf numFmtId="0" fontId="196" fillId="0" borderId="1" xfId="0" applyFont="1" applyBorder="1" applyAlignment="1">
      <alignment horizontal="center" vertical="top" wrapText="1"/>
    </xf>
    <xf numFmtId="0" fontId="196" fillId="0" borderId="0" xfId="0" applyFont="1" applyAlignment="1">
      <alignment horizontal="center" vertical="top" wrapText="1"/>
    </xf>
    <xf numFmtId="0" fontId="196" fillId="0" borderId="1" xfId="0" applyFont="1" applyBorder="1" applyAlignment="1">
      <alignment horizontal="left"/>
    </xf>
    <xf numFmtId="0" fontId="206" fillId="0" borderId="0" xfId="3" applyFont="1" applyAlignment="1" applyProtection="1">
      <alignment vertical="center"/>
    </xf>
    <xf numFmtId="164" fontId="207" fillId="0" borderId="1" xfId="0" applyNumberFormat="1" applyFont="1" applyBorder="1" applyAlignment="1">
      <alignment horizontal="center"/>
    </xf>
    <xf numFmtId="0" fontId="8" fillId="7" borderId="1" xfId="0" applyFont="1" applyFill="1" applyBorder="1" applyAlignment="1">
      <alignment horizontal="left"/>
    </xf>
    <xf numFmtId="0" fontId="0" fillId="7" borderId="1" xfId="0" applyFill="1" applyBorder="1" applyAlignment="1">
      <alignment horizontal="left" wrapText="1"/>
    </xf>
    <xf numFmtId="0" fontId="195" fillId="0" borderId="0" xfId="0" applyFont="1" applyAlignment="1">
      <alignment horizontal="left"/>
    </xf>
    <xf numFmtId="0" fontId="196" fillId="0" borderId="0" xfId="0" applyFont="1" applyAlignment="1">
      <alignment horizontal="center"/>
    </xf>
    <xf numFmtId="0" fontId="197" fillId="0" borderId="0" xfId="0" applyFont="1" applyAlignment="1">
      <alignment horizontal="center"/>
    </xf>
    <xf numFmtId="0" fontId="197" fillId="0" borderId="0" xfId="0" applyFont="1" applyAlignment="1">
      <alignment wrapText="1"/>
    </xf>
    <xf numFmtId="0" fontId="197" fillId="0" borderId="0" xfId="0" applyFont="1" applyAlignment="1">
      <alignment horizontal="left"/>
    </xf>
    <xf numFmtId="0" fontId="198" fillId="0" borderId="0" xfId="0" applyFont="1" applyAlignment="1">
      <alignment vertical="center"/>
    </xf>
    <xf numFmtId="0" fontId="197" fillId="0" borderId="0" xfId="0" applyFont="1" applyAlignment="1">
      <alignment horizontal="center" vertical="center"/>
    </xf>
    <xf numFmtId="0" fontId="209" fillId="0" borderId="0" xfId="0" applyFont="1" applyAlignment="1">
      <alignment horizontal="left"/>
    </xf>
    <xf numFmtId="0" fontId="207" fillId="0" borderId="0" xfId="0" applyFont="1" applyAlignment="1">
      <alignment horizontal="left" vertical="center" indent="5"/>
    </xf>
    <xf numFmtId="0" fontId="196" fillId="0" borderId="0" xfId="0" applyFont="1" applyAlignment="1">
      <alignment horizontal="left" vertical="center" indent="5"/>
    </xf>
    <xf numFmtId="0" fontId="208" fillId="0" borderId="0" xfId="0" applyFont="1" applyAlignment="1">
      <alignment vertical="center"/>
    </xf>
    <xf numFmtId="0" fontId="8" fillId="0" borderId="0" xfId="0" applyFont="1" applyAlignment="1">
      <alignment vertical="center" wrapText="1"/>
    </xf>
    <xf numFmtId="0" fontId="210" fillId="0" borderId="0" xfId="0" applyFont="1" applyAlignment="1">
      <alignment horizontal="left"/>
    </xf>
    <xf numFmtId="0" fontId="201" fillId="0" borderId="0" xfId="0" applyFont="1"/>
    <xf numFmtId="0" fontId="196" fillId="0" borderId="0" xfId="0" applyFont="1" applyAlignment="1">
      <alignment vertical="center" wrapText="1"/>
    </xf>
    <xf numFmtId="0" fontId="211" fillId="0" borderId="0" xfId="0" applyFont="1" applyAlignment="1">
      <alignment horizontal="justify" vertical="center"/>
    </xf>
    <xf numFmtId="0" fontId="208" fillId="0" borderId="0" xfId="0" applyFont="1" applyAlignment="1">
      <alignment vertical="center" wrapText="1"/>
    </xf>
    <xf numFmtId="0" fontId="195" fillId="0" borderId="1" xfId="0" applyFont="1" applyBorder="1" applyAlignment="1">
      <alignment horizontal="left"/>
    </xf>
    <xf numFmtId="0" fontId="197" fillId="0" borderId="1" xfId="0" applyFont="1" applyBorder="1" applyAlignment="1">
      <alignment horizontal="left"/>
    </xf>
    <xf numFmtId="0" fontId="196" fillId="0" borderId="0" xfId="0" applyFont="1" applyAlignment="1">
      <alignment horizontal="left" vertical="center" wrapText="1"/>
    </xf>
    <xf numFmtId="0" fontId="196" fillId="0" borderId="0" xfId="0" applyFont="1" applyAlignment="1">
      <alignment horizontal="left" vertical="top" wrapText="1"/>
    </xf>
    <xf numFmtId="0" fontId="6" fillId="6" borderId="0" xfId="0" applyFont="1" applyFill="1" applyAlignment="1">
      <alignment horizontal="center"/>
    </xf>
    <xf numFmtId="0" fontId="6" fillId="7" borderId="2" xfId="0" applyFont="1" applyFill="1" applyBorder="1" applyAlignment="1">
      <alignment horizontal="center" vertical="center"/>
    </xf>
    <xf numFmtId="0" fontId="6" fillId="7" borderId="22" xfId="0" applyFont="1" applyFill="1" applyBorder="1" applyAlignment="1">
      <alignment horizontal="center" vertical="center"/>
    </xf>
    <xf numFmtId="0" fontId="6" fillId="7" borderId="21" xfId="0" applyFont="1" applyFill="1" applyBorder="1" applyAlignment="1">
      <alignment horizontal="center" vertical="center"/>
    </xf>
    <xf numFmtId="3" fontId="4" fillId="6" borderId="2" xfId="0" applyNumberFormat="1" applyFont="1" applyFill="1" applyBorder="1" applyAlignment="1" applyProtection="1">
      <alignment horizontal="center"/>
      <protection locked="0"/>
    </xf>
    <xf numFmtId="3" fontId="4" fillId="6" borderId="21" xfId="0" applyNumberFormat="1" applyFont="1" applyFill="1" applyBorder="1" applyAlignment="1" applyProtection="1">
      <alignment horizontal="center"/>
      <protection locked="0"/>
    </xf>
    <xf numFmtId="0" fontId="44" fillId="0" borderId="12" xfId="0" applyFont="1" applyBorder="1" applyAlignment="1">
      <alignment horizontal="left" vertical="top" wrapText="1"/>
    </xf>
    <xf numFmtId="0" fontId="17" fillId="17" borderId="0" xfId="0" applyFont="1" applyFill="1" applyAlignment="1">
      <alignment horizontal="left" vertical="center" wrapText="1"/>
    </xf>
    <xf numFmtId="0" fontId="6" fillId="9" borderId="2" xfId="0" applyFont="1" applyFill="1" applyBorder="1" applyAlignment="1">
      <alignment horizontal="center" vertical="center"/>
    </xf>
    <xf numFmtId="0" fontId="6" fillId="9" borderId="22" xfId="0" applyFont="1" applyFill="1" applyBorder="1" applyAlignment="1">
      <alignment horizontal="center" vertical="center"/>
    </xf>
    <xf numFmtId="0" fontId="6" fillId="9" borderId="21" xfId="0" applyFont="1" applyFill="1" applyBorder="1" applyAlignment="1">
      <alignment horizontal="center" vertical="center"/>
    </xf>
    <xf numFmtId="0" fontId="12" fillId="0" borderId="12" xfId="0" applyFont="1" applyBorder="1" applyAlignment="1">
      <alignment horizontal="left" vertical="top" wrapText="1"/>
    </xf>
    <xf numFmtId="0" fontId="6" fillId="7" borderId="2"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6" fillId="7" borderId="21" xfId="0" applyFont="1" applyFill="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left" vertical="top" wrapText="1"/>
    </xf>
    <xf numFmtId="0" fontId="50" fillId="17" borderId="1" xfId="0" applyFont="1" applyFill="1" applyBorder="1" applyAlignment="1">
      <alignment horizontal="center"/>
    </xf>
    <xf numFmtId="0" fontId="124" fillId="0" borderId="72" xfId="0" applyFont="1" applyBorder="1" applyAlignment="1">
      <alignment horizontal="left" vertical="center" wrapText="1" indent="1"/>
    </xf>
    <xf numFmtId="0" fontId="124" fillId="0" borderId="71" xfId="0" applyFont="1" applyBorder="1" applyAlignment="1">
      <alignment horizontal="left" vertical="center" wrapText="1" indent="1"/>
    </xf>
    <xf numFmtId="0" fontId="124" fillId="0" borderId="72" xfId="0" applyFont="1" applyBorder="1" applyAlignment="1">
      <alignment horizontal="center" vertical="center" wrapText="1"/>
    </xf>
    <xf numFmtId="0" fontId="124" fillId="0" borderId="71" xfId="0" applyFont="1" applyBorder="1" applyAlignment="1">
      <alignment horizontal="center" vertical="center" wrapText="1"/>
    </xf>
    <xf numFmtId="0" fontId="124" fillId="0" borderId="72" xfId="0" applyFont="1" applyBorder="1" applyAlignment="1">
      <alignment horizontal="left" vertical="center" wrapText="1" indent="3"/>
    </xf>
    <xf numFmtId="0" fontId="124" fillId="0" borderId="71" xfId="0" applyFont="1" applyBorder="1" applyAlignment="1">
      <alignment horizontal="left" vertical="center" wrapText="1" indent="3"/>
    </xf>
    <xf numFmtId="0" fontId="124" fillId="0" borderId="72" xfId="0" applyFont="1" applyBorder="1" applyAlignment="1">
      <alignment horizontal="left" vertical="center" wrapText="1"/>
    </xf>
    <xf numFmtId="0" fontId="124" fillId="0" borderId="71" xfId="0" applyFont="1" applyBorder="1" applyAlignment="1">
      <alignment horizontal="left" vertical="center" wrapText="1"/>
    </xf>
    <xf numFmtId="0" fontId="125" fillId="79" borderId="72" xfId="0" applyFont="1" applyFill="1" applyBorder="1" applyAlignment="1">
      <alignment horizontal="center" vertical="center" wrapText="1"/>
    </xf>
    <xf numFmtId="0" fontId="125" fillId="79" borderId="73" xfId="0" applyFont="1" applyFill="1" applyBorder="1" applyAlignment="1">
      <alignment horizontal="center" vertical="center" wrapText="1"/>
    </xf>
    <xf numFmtId="0" fontId="125" fillId="79" borderId="71" xfId="0" applyFont="1" applyFill="1" applyBorder="1" applyAlignment="1">
      <alignment horizontal="center" vertical="center" wrapText="1"/>
    </xf>
    <xf numFmtId="0" fontId="129" fillId="0" borderId="72" xfId="0" applyFont="1" applyBorder="1" applyAlignment="1">
      <alignment horizontal="center" vertical="center" wrapText="1"/>
    </xf>
    <xf numFmtId="0" fontId="129" fillId="0" borderId="71" xfId="0" applyFont="1" applyBorder="1" applyAlignment="1">
      <alignment horizontal="center" vertical="center" wrapText="1"/>
    </xf>
    <xf numFmtId="2" fontId="129" fillId="0" borderId="72" xfId="0" applyNumberFormat="1" applyFont="1" applyBorder="1" applyAlignment="1">
      <alignment horizontal="center" vertical="center" wrapText="1"/>
    </xf>
    <xf numFmtId="2" fontId="129" fillId="0" borderId="71" xfId="0" applyNumberFormat="1" applyFont="1" applyBorder="1" applyAlignment="1">
      <alignment horizontal="center" vertical="center" wrapText="1"/>
    </xf>
    <xf numFmtId="0" fontId="131" fillId="79" borderId="72" xfId="0" applyFont="1" applyFill="1" applyBorder="1" applyAlignment="1">
      <alignment horizontal="center" vertical="center" wrapText="1"/>
    </xf>
    <xf numFmtId="0" fontId="131" fillId="79" borderId="71" xfId="0" applyFont="1" applyFill="1" applyBorder="1" applyAlignment="1">
      <alignment horizontal="center" vertical="center" wrapText="1"/>
    </xf>
    <xf numFmtId="0" fontId="138" fillId="0" borderId="72" xfId="0" applyFont="1" applyBorder="1" applyAlignment="1">
      <alignment horizontal="left" vertical="center" wrapText="1"/>
    </xf>
    <xf numFmtId="0" fontId="138" fillId="0" borderId="71" xfId="0" applyFont="1" applyBorder="1" applyAlignment="1">
      <alignment horizontal="left" vertical="center" wrapText="1"/>
    </xf>
    <xf numFmtId="0" fontId="138" fillId="0" borderId="72" xfId="0" applyFont="1" applyBorder="1" applyAlignment="1">
      <alignment horizontal="center" vertical="center" wrapText="1"/>
    </xf>
    <xf numFmtId="0" fontId="138" fillId="0" borderId="71" xfId="0" applyFont="1" applyBorder="1" applyAlignment="1">
      <alignment horizontal="center" vertical="center" wrapText="1"/>
    </xf>
    <xf numFmtId="0" fontId="130" fillId="79" borderId="72" xfId="0" applyFont="1" applyFill="1" applyBorder="1" applyAlignment="1">
      <alignment horizontal="center" vertical="center" wrapText="1"/>
    </xf>
    <xf numFmtId="0" fontId="130" fillId="79" borderId="73" xfId="0" applyFont="1" applyFill="1" applyBorder="1" applyAlignment="1">
      <alignment horizontal="center" vertical="center" wrapText="1"/>
    </xf>
    <xf numFmtId="0" fontId="130" fillId="79" borderId="71" xfId="0" applyFont="1" applyFill="1" applyBorder="1" applyAlignment="1">
      <alignment horizontal="center" vertical="center" wrapText="1"/>
    </xf>
    <xf numFmtId="0" fontId="125" fillId="79" borderId="72" xfId="0" applyFont="1" applyFill="1" applyBorder="1" applyAlignment="1">
      <alignment horizontal="justify" vertical="center" wrapText="1"/>
    </xf>
    <xf numFmtId="0" fontId="125" fillId="79" borderId="71" xfId="0" applyFont="1" applyFill="1" applyBorder="1" applyAlignment="1">
      <alignment horizontal="justify" vertical="center" wrapText="1"/>
    </xf>
    <xf numFmtId="0" fontId="125" fillId="79" borderId="76" xfId="0" applyFont="1" applyFill="1" applyBorder="1" applyAlignment="1">
      <alignment horizontal="center" vertical="center" wrapText="1"/>
    </xf>
    <xf numFmtId="0" fontId="125" fillId="79" borderId="74" xfId="0" applyFont="1" applyFill="1" applyBorder="1" applyAlignment="1">
      <alignment horizontal="center" vertical="center" wrapText="1"/>
    </xf>
    <xf numFmtId="0" fontId="125" fillId="79" borderId="77" xfId="0" applyFont="1" applyFill="1" applyBorder="1" applyAlignment="1">
      <alignment horizontal="center" vertical="center" wrapText="1"/>
    </xf>
    <xf numFmtId="0" fontId="125" fillId="79" borderId="70" xfId="0" applyFont="1" applyFill="1" applyBorder="1" applyAlignment="1">
      <alignment horizontal="center" vertical="center" wrapText="1"/>
    </xf>
    <xf numFmtId="0" fontId="124" fillId="79" borderId="78" xfId="0" applyFont="1" applyFill="1" applyBorder="1" applyAlignment="1">
      <alignment horizontal="center" vertical="center" wrapText="1"/>
    </xf>
    <xf numFmtId="0" fontId="124" fillId="79" borderId="69" xfId="0" applyFont="1" applyFill="1" applyBorder="1" applyAlignment="1">
      <alignment horizontal="center" vertical="center" wrapText="1"/>
    </xf>
    <xf numFmtId="0" fontId="138" fillId="0" borderId="73" xfId="0" applyFont="1" applyBorder="1" applyAlignment="1">
      <alignment horizontal="center" vertical="center" wrapText="1"/>
    </xf>
    <xf numFmtId="0" fontId="138" fillId="0" borderId="76" xfId="0" applyFont="1" applyBorder="1" applyAlignment="1">
      <alignment horizontal="center" vertical="center" wrapText="1"/>
    </xf>
    <xf numFmtId="0" fontId="138" fillId="0" borderId="74" xfId="0" applyFont="1" applyBorder="1" applyAlignment="1">
      <alignment horizontal="center" vertical="center" wrapText="1"/>
    </xf>
    <xf numFmtId="0" fontId="138" fillId="0" borderId="81" xfId="0" applyFont="1" applyBorder="1" applyAlignment="1">
      <alignment horizontal="center" vertical="center" wrapText="1"/>
    </xf>
    <xf numFmtId="0" fontId="138" fillId="0" borderId="79" xfId="0" applyFont="1" applyBorder="1" applyAlignment="1">
      <alignment horizontal="center" vertical="center" wrapText="1"/>
    </xf>
    <xf numFmtId="0" fontId="129" fillId="0" borderId="72" xfId="0" applyFont="1" applyBorder="1" applyAlignment="1">
      <alignment horizontal="left" vertical="center" wrapText="1"/>
    </xf>
    <xf numFmtId="0" fontId="129" fillId="0" borderId="71" xfId="0" applyFont="1" applyBorder="1" applyAlignment="1">
      <alignment horizontal="left" vertical="center" wrapText="1"/>
    </xf>
    <xf numFmtId="0" fontId="5" fillId="0" borderId="32" xfId="0" applyFont="1" applyBorder="1" applyAlignment="1">
      <alignment horizontal="center" vertical="center"/>
    </xf>
    <xf numFmtId="0" fontId="5" fillId="0" borderId="0" xfId="0" applyFont="1" applyAlignment="1">
      <alignment horizontal="center" vertical="center"/>
    </xf>
    <xf numFmtId="0" fontId="5" fillId="0" borderId="34" xfId="0" applyFont="1" applyBorder="1" applyAlignment="1">
      <alignment horizontal="center" vertical="center"/>
    </xf>
    <xf numFmtId="0" fontId="5" fillId="0" borderId="93" xfId="0" applyFont="1" applyBorder="1" applyAlignment="1">
      <alignment horizontal="center" vertical="center"/>
    </xf>
    <xf numFmtId="0" fontId="5" fillId="0" borderId="36" xfId="0" applyFont="1" applyBorder="1" applyAlignment="1">
      <alignment horizontal="center" vertical="center"/>
    </xf>
    <xf numFmtId="0" fontId="160" fillId="0" borderId="1" xfId="0" applyFont="1" applyBorder="1" applyAlignment="1">
      <alignment horizontal="center" vertical="top"/>
    </xf>
    <xf numFmtId="0" fontId="0" fillId="4" borderId="1" xfId="0" applyFill="1" applyBorder="1" applyAlignment="1">
      <alignment horizontal="center"/>
    </xf>
    <xf numFmtId="0" fontId="160" fillId="0" borderId="91" xfId="0" applyFont="1" applyBorder="1" applyAlignment="1">
      <alignment horizontal="center" vertical="top"/>
    </xf>
    <xf numFmtId="0" fontId="160" fillId="0" borderId="90" xfId="0" applyFont="1" applyBorder="1" applyAlignment="1">
      <alignment horizontal="center" vertical="top"/>
    </xf>
    <xf numFmtId="0" fontId="160" fillId="0" borderId="67" xfId="0" applyFont="1" applyBorder="1" applyAlignment="1">
      <alignment horizontal="center" vertical="top"/>
    </xf>
    <xf numFmtId="0" fontId="34" fillId="14" borderId="19" xfId="0" applyFont="1" applyFill="1" applyBorder="1" applyAlignment="1">
      <alignment horizontal="center" vertical="center"/>
    </xf>
    <xf numFmtId="0" fontId="34" fillId="14" borderId="20" xfId="0" applyFont="1" applyFill="1" applyBorder="1" applyAlignment="1">
      <alignment horizontal="center" vertical="center"/>
    </xf>
    <xf numFmtId="0" fontId="0" fillId="6" borderId="19" xfId="0" applyFill="1" applyBorder="1" applyAlignment="1">
      <alignment horizontal="center"/>
    </xf>
    <xf numFmtId="0" fontId="0" fillId="6" borderId="20" xfId="0" applyFill="1" applyBorder="1" applyAlignment="1">
      <alignment horizontal="center"/>
    </xf>
    <xf numFmtId="0" fontId="60" fillId="13" borderId="0" xfId="18" applyFont="1" applyFill="1" applyAlignment="1">
      <alignment vertical="center"/>
    </xf>
    <xf numFmtId="0" fontId="55" fillId="40" borderId="26" xfId="18" applyFont="1" applyFill="1" applyBorder="1" applyAlignment="1">
      <alignment horizontal="center" vertical="center"/>
    </xf>
    <xf numFmtId="0" fontId="55" fillId="40" borderId="38" xfId="18" applyFont="1" applyFill="1" applyBorder="1" applyAlignment="1">
      <alignment horizontal="center" vertical="center"/>
    </xf>
    <xf numFmtId="0" fontId="57" fillId="13" borderId="27" xfId="11" applyFont="1" applyFill="1" applyBorder="1" applyAlignment="1">
      <alignment horizontal="center" vertical="center"/>
    </xf>
    <xf numFmtId="0" fontId="57" fillId="13" borderId="38" xfId="11" applyFont="1" applyFill="1" applyBorder="1" applyAlignment="1">
      <alignment horizontal="center" vertical="center"/>
    </xf>
    <xf numFmtId="0" fontId="55" fillId="13" borderId="0" xfId="18" applyFont="1" applyFill="1" applyAlignment="1">
      <alignment horizontal="left"/>
    </xf>
    <xf numFmtId="0" fontId="53" fillId="13" borderId="32" xfId="9" applyFill="1" applyBorder="1" applyAlignment="1">
      <alignment horizontal="left"/>
    </xf>
    <xf numFmtId="0" fontId="55" fillId="40" borderId="2" xfId="18" applyFont="1" applyFill="1" applyBorder="1" applyAlignment="1">
      <alignment horizontal="center" vertical="center"/>
    </xf>
    <xf numFmtId="0" fontId="57" fillId="13" borderId="21" xfId="11" applyFont="1" applyFill="1" applyBorder="1" applyAlignment="1">
      <alignment horizontal="center" vertical="center"/>
    </xf>
    <xf numFmtId="0" fontId="55" fillId="40" borderId="22" xfId="18" applyFont="1" applyFill="1" applyBorder="1" applyAlignment="1">
      <alignment horizontal="center" vertical="center"/>
    </xf>
    <xf numFmtId="0" fontId="55" fillId="40" borderId="21" xfId="18" applyFont="1" applyFill="1" applyBorder="1" applyAlignment="1">
      <alignment horizontal="center" vertical="center"/>
    </xf>
    <xf numFmtId="0" fontId="57" fillId="13" borderId="22" xfId="11" applyFont="1" applyFill="1" applyBorder="1" applyAlignment="1">
      <alignment horizontal="center" vertical="center"/>
    </xf>
    <xf numFmtId="0" fontId="55" fillId="40" borderId="95" xfId="18" applyFont="1" applyFill="1" applyBorder="1" applyAlignment="1">
      <alignment horizontal="center" vertical="center"/>
    </xf>
    <xf numFmtId="0" fontId="55" fillId="40" borderId="96" xfId="18" applyFont="1" applyFill="1" applyBorder="1" applyAlignment="1">
      <alignment horizontal="center" vertical="center"/>
    </xf>
    <xf numFmtId="0" fontId="55" fillId="40" borderId="37" xfId="18" applyFont="1" applyFill="1" applyBorder="1" applyAlignment="1">
      <alignment horizontal="center" vertical="center"/>
    </xf>
    <xf numFmtId="0" fontId="55" fillId="40" borderId="33" xfId="18" applyFont="1" applyFill="1" applyBorder="1" applyAlignment="1">
      <alignment horizontal="center" vertical="center"/>
    </xf>
    <xf numFmtId="0" fontId="55" fillId="40" borderId="19" xfId="18" applyFont="1" applyFill="1" applyBorder="1" applyAlignment="1">
      <alignment horizontal="center" vertical="center"/>
    </xf>
    <xf numFmtId="0" fontId="55" fillId="40" borderId="20" xfId="18" applyFont="1" applyFill="1" applyBorder="1" applyAlignment="1">
      <alignment horizontal="center" vertical="center"/>
    </xf>
    <xf numFmtId="0" fontId="57" fillId="13" borderId="20" xfId="11" applyFont="1" applyFill="1" applyBorder="1" applyAlignment="1">
      <alignment horizontal="center" vertical="center"/>
    </xf>
  </cellXfs>
  <cellStyles count="950">
    <cellStyle name="???????????" xfId="46" xr:uid="{36C8226E-D122-4C3D-BE4E-FE74AEAECEA9}"/>
    <cellStyle name="???????_2++" xfId="47" xr:uid="{B586270D-FF63-48DF-A841-786C2BB371E0}"/>
    <cellStyle name="20 % - Akzent1" xfId="59" hidden="1" xr:uid="{389703DE-46A4-477D-831D-C7621D529620}"/>
    <cellStyle name="20 % - Akzent1" xfId="907" hidden="1" xr:uid="{CE31DAF5-917D-4854-9073-88411888E2F7}"/>
    <cellStyle name="20 % - Akzent1" xfId="945" hidden="1" xr:uid="{354744A0-46E2-42CB-9336-54C9C1138E2C}"/>
    <cellStyle name="20 % - Akzent1 2" xfId="382" xr:uid="{0EA9C393-EF6F-48E8-B71F-9FEEF84BDB6E}"/>
    <cellStyle name="20 % - Akzent1 3" xfId="251" xr:uid="{2DBD5B81-B739-47E5-8DF6-0AB1D3517E61}"/>
    <cellStyle name="20 % - Akzent2" xfId="62" hidden="1" xr:uid="{80F5720D-3A8A-4EFD-A053-7BA0A44AE7B0}"/>
    <cellStyle name="20 % - Akzent2" xfId="910" hidden="1" xr:uid="{4E650EF4-33D0-4838-B006-41C91160A6E9}"/>
    <cellStyle name="20 % - Akzent2" xfId="943" hidden="1" xr:uid="{A83ECAA8-72F2-437D-B7E6-8E04EA08A55C}"/>
    <cellStyle name="20 % - Akzent2 2" xfId="383" xr:uid="{4FBCFE21-7DE1-4DEB-B427-62AB7F9C2500}"/>
    <cellStyle name="20 % - Akzent2 3" xfId="252" xr:uid="{71288E40-CE78-4276-A070-EF8BF985527B}"/>
    <cellStyle name="20 % - Akzent3" xfId="65" hidden="1" xr:uid="{43486099-BDCE-4768-A05C-0A7C1BB181EE}"/>
    <cellStyle name="20 % - Akzent3" xfId="913" hidden="1" xr:uid="{EA57BD7A-8A67-4018-9E75-C48F675474E3}"/>
    <cellStyle name="20 % - Akzent3" xfId="940" hidden="1" xr:uid="{D9FD497F-924A-4317-9081-9ECB6AF30488}"/>
    <cellStyle name="20 % - Akzent3 2" xfId="384" xr:uid="{97982E68-8977-4DE1-B058-DF6A7F3D1030}"/>
    <cellStyle name="20 % - Akzent3 3" xfId="253" xr:uid="{C27AC9CE-5E39-40A6-B263-6D7E456B859B}"/>
    <cellStyle name="20 % - Akzent4" xfId="68" hidden="1" xr:uid="{5D2F151D-19BC-4AFE-B600-BC1A04718B5C}"/>
    <cellStyle name="20 % - Akzent4" xfId="916" hidden="1" xr:uid="{25104E07-AF18-45DA-BEE4-A6F58206B039}"/>
    <cellStyle name="20 % - Akzent4" xfId="932" hidden="1" xr:uid="{9CD7EDBD-4E53-4654-83B5-B8E7EE606999}"/>
    <cellStyle name="20 % - Akzent4 2" xfId="385" xr:uid="{8653D190-362D-4267-9FB0-A09B20D2419E}"/>
    <cellStyle name="20 % - Akzent4 3" xfId="254" xr:uid="{27F0CBE5-2A55-40E5-A151-E578E3F6B881}"/>
    <cellStyle name="20 % - Akzent5" xfId="71" hidden="1" xr:uid="{9EE182BC-922E-40FF-87DD-5C0754F64643}"/>
    <cellStyle name="20 % - Akzent5" xfId="919" hidden="1" xr:uid="{B450CC52-E70D-49EA-9295-F48D9CF20E23}"/>
    <cellStyle name="20 % - Akzent5" xfId="937" hidden="1" xr:uid="{A05D688F-1D42-4D17-9FB5-85DB52ABD7D9}"/>
    <cellStyle name="20 % - Akzent5 2" xfId="386" xr:uid="{728D4C95-5DA8-4021-AAB7-7832EA51B5D8}"/>
    <cellStyle name="20 % - Akzent5 3" xfId="255" xr:uid="{534EE01A-F1AA-48A0-8389-FBB62C587676}"/>
    <cellStyle name="20 % - Akzent6" xfId="74" hidden="1" xr:uid="{84311361-FA57-4FA1-A72A-2B9231F2299F}"/>
    <cellStyle name="20 % - Akzent6" xfId="922" hidden="1" xr:uid="{45C090DA-C832-488A-8E68-90FC8484A5D6}"/>
    <cellStyle name="20 % - Akzent6" xfId="938" hidden="1" xr:uid="{C10B95F2-46D6-464E-A59B-1E39C9B0F76F}"/>
    <cellStyle name="20 % - Akzent6 2" xfId="387" xr:uid="{3C1F3465-8F33-4BEB-8191-933E1A840E5C}"/>
    <cellStyle name="20 % - Akzent6 3" xfId="256" xr:uid="{31132A69-A16E-4CE9-AB48-FB60CB8823B2}"/>
    <cellStyle name="20% - Accent1 2" xfId="88" xr:uid="{CD21EF71-2CF5-4DA5-AAD3-098AAFE6872A}"/>
    <cellStyle name="20% - Accent1 3" xfId="208" xr:uid="{75CF1028-F3A6-45A6-8786-FE405784C34B}"/>
    <cellStyle name="20% - Accent2 2" xfId="89" xr:uid="{E1DE29A2-64CD-4576-8F5E-E22169E60514}"/>
    <cellStyle name="20% - Accent2 3" xfId="209" xr:uid="{A8450060-6C97-4437-A059-AA612BE438C5}"/>
    <cellStyle name="20% - Accent3 2" xfId="90" xr:uid="{F4EB176E-1A2F-4F7F-87D9-044FBDC29F46}"/>
    <cellStyle name="20% - Accent3 3" xfId="210" xr:uid="{F268C5D2-68C9-4BDE-9243-4DEB7EBCAA66}"/>
    <cellStyle name="20% - Accent4 2" xfId="91" xr:uid="{D304045A-D5B8-4188-99DC-5A06E2C52FA1}"/>
    <cellStyle name="20% - Accent4 3" xfId="211" xr:uid="{5FA46EE3-B411-4FEF-B40C-266F7E680522}"/>
    <cellStyle name="20% - Accent5 2" xfId="92" xr:uid="{194F7C5C-5E57-4869-97F6-F171B688B19C}"/>
    <cellStyle name="20% - Accent5 3" xfId="212" xr:uid="{E19A80D4-8C08-4724-8ABF-AD8760EC4CB7}"/>
    <cellStyle name="20% - Accent6 2" xfId="93" xr:uid="{F3DB389C-BB2A-453E-ACC2-FD4E42E53C2C}"/>
    <cellStyle name="20% - Accent6 3" xfId="213" xr:uid="{A9AFA8DD-23AD-46D0-995D-87FEEEC7BCC4}"/>
    <cellStyle name="2x indented GHG Textfiels" xfId="15" xr:uid="{4894798C-F1DF-4E3F-A966-3D00282D6081}"/>
    <cellStyle name="2x indented GHG Textfiels 2" xfId="94" xr:uid="{B56182A5-2819-4D96-BC94-9FBE5987B9E5}"/>
    <cellStyle name="2x indented GHG Textfiels 2 2" xfId="95" xr:uid="{35323E1F-8968-459F-B69B-F00A1C6D7E48}"/>
    <cellStyle name="2x indented GHG Textfiels 3" xfId="96" xr:uid="{FD3C8EDF-35DA-4505-8550-75C2FC6D1E31}"/>
    <cellStyle name="2x indented GHG Textfiels 3 2" xfId="409" xr:uid="{C4115CCF-780B-434C-8AF5-BABF9B7BBFEB}"/>
    <cellStyle name="2x indented GHG Textfiels 3 2 2" xfId="539" xr:uid="{18E290EB-424E-4019-91CF-AE61F483AF13}"/>
    <cellStyle name="2x indented GHG Textfiels 3 2 2 2" xfId="754" xr:uid="{93C51716-072C-4086-BC74-788BEAB98BEE}"/>
    <cellStyle name="2x indented GHG Textfiels 3 2 3" xfId="717" xr:uid="{1D130736-2308-4D46-AFF0-4F0AEE098418}"/>
    <cellStyle name="2x indented GHG Textfiels 3 3" xfId="357" xr:uid="{A1B63D75-A8D6-4814-B583-17E899A91E5D}"/>
    <cellStyle name="2x indented GHG Textfiels 3 3 2" xfId="644" xr:uid="{FE0AADD8-36DF-4CE0-BB5D-04A75B94DCE0}"/>
    <cellStyle name="2x indented GHG Textfiels 3 3 2 2" xfId="859" xr:uid="{D40F1E99-FE30-4B63-8819-87211772F2E6}"/>
    <cellStyle name="2x indented GHG Textfiels 3 3 3" xfId="646" xr:uid="{E14CE401-DC12-448A-AC78-90336F7DBC54}"/>
    <cellStyle name="2x indented GHG Textfiels 3 3 3 2" xfId="861" xr:uid="{0914D3F7-0367-4E98-B357-341BFB58E3AC}"/>
    <cellStyle name="2x indented GHG Textfiels 3 3 4" xfId="542" xr:uid="{F8B6FB57-E8B6-4407-B71D-CC00AEFEF014}"/>
    <cellStyle name="2x indented GHG Textfiels 3 3 4 2" xfId="757" xr:uid="{83D442E7-C80D-4946-9CA6-249FC6865FEA}"/>
    <cellStyle name="40 % - Akzent1" xfId="60" hidden="1" xr:uid="{07551CDE-C2F2-4D76-942D-34FD11C22B42}"/>
    <cellStyle name="40 % - Akzent1" xfId="908" hidden="1" xr:uid="{935EBCE9-C902-4A56-930B-53BB25207381}"/>
    <cellStyle name="40 % - Akzent1" xfId="934" hidden="1" xr:uid="{31B5A42F-8E32-466C-9A40-F3012742FD01}"/>
    <cellStyle name="40 % - Akzent1 2" xfId="388" xr:uid="{CF5888E4-1AD1-4A71-86B3-AB3D6B945CAF}"/>
    <cellStyle name="40 % - Akzent1 3" xfId="257" xr:uid="{98DD661D-022F-4FC3-BFF6-842BF880BB01}"/>
    <cellStyle name="40 % - Akzent2" xfId="63" hidden="1" xr:uid="{5FA2BA34-4F3F-4DDD-8C38-DBC4348B85D2}"/>
    <cellStyle name="40 % - Akzent2" xfId="911" hidden="1" xr:uid="{81E2AF8E-2116-42C8-A273-26884E50D799}"/>
    <cellStyle name="40 % - Akzent2" xfId="931" hidden="1" xr:uid="{1311E22A-B9B2-4806-B57E-8FCC7AAA2C0F}"/>
    <cellStyle name="40 % - Akzent2 2" xfId="389" xr:uid="{CB7033AB-BFCE-44F4-A5D4-B5DDF44F5BD5}"/>
    <cellStyle name="40 % - Akzent2 3" xfId="258" xr:uid="{B71F1283-7FB0-4209-82BC-C360695985B0}"/>
    <cellStyle name="40 % - Akzent3" xfId="66" hidden="1" xr:uid="{2BB1C185-EDD0-4CEC-878F-2C5D589C2A8C}"/>
    <cellStyle name="40 % - Akzent3" xfId="914" hidden="1" xr:uid="{7FCD7B42-685E-41EC-ADDF-8D078FE70AEF}"/>
    <cellStyle name="40 % - Akzent3" xfId="946" hidden="1" xr:uid="{84CAB1AC-84D6-463F-9724-FC26A37BE6BE}"/>
    <cellStyle name="40 % - Akzent3 2" xfId="390" xr:uid="{0ECBDFA6-428A-4168-B912-51A71AF33B27}"/>
    <cellStyle name="40 % - Akzent3 3" xfId="259" xr:uid="{24BF41CA-BEA9-4062-8A23-585A8A0B0B45}"/>
    <cellStyle name="40 % - Akzent4" xfId="69" hidden="1" xr:uid="{979E4B45-8F67-4332-8ED9-E6118D85AE5E}"/>
    <cellStyle name="40 % - Akzent4" xfId="917" hidden="1" xr:uid="{75E0E148-E1C8-4CE3-870A-42EE028DEF93}"/>
    <cellStyle name="40 % - Akzent4" xfId="927" hidden="1" xr:uid="{80727764-3C36-4811-B04A-F460B172C5FE}"/>
    <cellStyle name="40 % - Akzent4 2" xfId="391" xr:uid="{D41834DB-2F1F-42E4-A3B6-2186353599BD}"/>
    <cellStyle name="40 % - Akzent4 3" xfId="260" xr:uid="{2BC93968-1B62-4330-864D-84F49AF66FCD}"/>
    <cellStyle name="40 % - Akzent5" xfId="72" hidden="1" xr:uid="{97AA81FE-68C6-4ACC-A243-00365B91429C}"/>
    <cellStyle name="40 % - Akzent5" xfId="920" hidden="1" xr:uid="{23C04C4C-0B75-4168-B254-52DA2DD18115}"/>
    <cellStyle name="40 % - Akzent5" xfId="942" hidden="1" xr:uid="{4EABAAB0-7C93-4402-BDC7-FCF8EDCEEB5D}"/>
    <cellStyle name="40 % - Akzent5 2" xfId="392" xr:uid="{C71D10D9-8843-4065-B81B-FEED61394C26}"/>
    <cellStyle name="40 % - Akzent5 3" xfId="261" xr:uid="{D8C35B8C-AC91-4ACA-8297-B2307A29B881}"/>
    <cellStyle name="40 % - Akzent6" xfId="75" hidden="1" xr:uid="{BE91E0DA-D9CA-4D94-B460-B4535C696495}"/>
    <cellStyle name="40 % - Akzent6" xfId="923" hidden="1" xr:uid="{27BC26CB-4844-4AA3-AFAA-B9A2992BEC61}"/>
    <cellStyle name="40 % - Akzent6" xfId="944" hidden="1" xr:uid="{1A4B5320-B876-47FF-BCC3-DA018CD11ED4}"/>
    <cellStyle name="40 % - Akzent6 2" xfId="393" xr:uid="{BB191E05-722D-4663-B176-79175154A373}"/>
    <cellStyle name="40 % - Akzent6 3" xfId="262" xr:uid="{2F217ADA-4CD8-417B-9EE2-34FF72CE83A1}"/>
    <cellStyle name="40% - Accent1 2" xfId="97" xr:uid="{31E23D56-1AEC-4C30-8542-7493335A8055}"/>
    <cellStyle name="40% - Accent1 3" xfId="214" xr:uid="{37854CAC-B846-498F-81C9-7ED94F284589}"/>
    <cellStyle name="40% - Accent2 2" xfId="98" xr:uid="{7723ADC9-579C-4C1C-B2AE-22838A1E021B}"/>
    <cellStyle name="40% - Accent2 3" xfId="215" xr:uid="{FD1470C8-2C2C-4904-A922-57463441CD88}"/>
    <cellStyle name="40% - Accent3 2" xfId="99" xr:uid="{BCA9CE7D-3DA9-4438-810F-EB9D97A4377E}"/>
    <cellStyle name="40% - Accent3 3" xfId="216" xr:uid="{62506BC9-FBB7-4CD5-9F08-149A17BFBEB5}"/>
    <cellStyle name="40% - Accent4 2" xfId="100" xr:uid="{0A91CAF4-3B94-40C4-959F-F17C107ED0C2}"/>
    <cellStyle name="40% - Accent4 3" xfId="217" xr:uid="{E23544AD-22CA-4916-9450-0C6AD7FB3E0B}"/>
    <cellStyle name="40% - Accent5 2" xfId="101" xr:uid="{CFD80AD3-22DE-432A-93AD-941945F1806E}"/>
    <cellStyle name="40% - Accent5 3" xfId="218" xr:uid="{375E9EEA-45B1-4657-880D-3F78AD24FD14}"/>
    <cellStyle name="40% - Accent6 2" xfId="102" xr:uid="{BDDC6689-672A-464E-947B-C6893A9C8A6D}"/>
    <cellStyle name="40% - Accent6 3" xfId="219" xr:uid="{7E585CE7-EA86-41BE-A9C9-D5C8B8D5D09E}"/>
    <cellStyle name="5x indented GHG Textfiels" xfId="20" xr:uid="{2DDBD491-38B4-4E23-A8DD-B3BC2C02F7D9}"/>
    <cellStyle name="5x indented GHG Textfiels 2" xfId="103" xr:uid="{5C1A3FC5-43C7-47AE-BA3B-E794E0CB67C1}"/>
    <cellStyle name="5x indented GHG Textfiels 2 2" xfId="104" xr:uid="{1DE088B4-8D86-4017-B6F9-EFB44E4A7A37}"/>
    <cellStyle name="5x indented GHG Textfiels 3" xfId="105" xr:uid="{6F88A4A0-E4E5-4918-A076-64A5E6027688}"/>
    <cellStyle name="5x indented GHG Textfiels 3 2" xfId="410" xr:uid="{2B3820C0-7635-409A-9043-FA2F8F420AF1}"/>
    <cellStyle name="5x indented GHG Textfiels 3 3" xfId="358" xr:uid="{4A0A4097-2343-4660-B96B-9227098A6332}"/>
    <cellStyle name="5x indented GHG Textfiels 3 3 2" xfId="645" xr:uid="{2081B77C-7400-4CAE-B6F9-1165895F76D9}"/>
    <cellStyle name="5x indented GHG Textfiels 3 3 2 2" xfId="860" xr:uid="{84C01C48-C8C0-4707-8130-1F8B43803298}"/>
    <cellStyle name="5x indented GHG Textfiels 3 3 3" xfId="592" xr:uid="{9EE824D8-0330-494E-B579-677BAB030ED7}"/>
    <cellStyle name="5x indented GHG Textfiels 3 3 3 2" xfId="807" xr:uid="{6549C3AB-262A-4901-BD98-9AE70E2C6180}"/>
    <cellStyle name="5x indented GHG Textfiels 3 3 4" xfId="676" xr:uid="{9C7251F4-5AB4-4447-A7A8-931D31D29F97}"/>
    <cellStyle name="5x indented GHG Textfiels 3 3 4 2" xfId="891" xr:uid="{62E33425-9B37-4BC0-B440-F4131D13A1C8}"/>
    <cellStyle name="5x indented GHG Textfiels 3 3 5" xfId="713" xr:uid="{A89A9724-CE01-4D05-815D-D8E8AB5326EA}"/>
    <cellStyle name="5x indented GHG Textfiels_Table 4(II)" xfId="200" xr:uid="{F3F16DE1-32EE-4E41-ADB2-1C2AC7F21811}"/>
    <cellStyle name="60 % - Akzent1" xfId="61" hidden="1" xr:uid="{919E32AE-C4C7-4538-9622-73852993782B}"/>
    <cellStyle name="60 % - Akzent1" xfId="909" hidden="1" xr:uid="{146A44D8-221F-46E4-9A78-854860577884}"/>
    <cellStyle name="60 % - Akzent1" xfId="928" hidden="1" xr:uid="{D540A03F-4F5C-4A93-B956-FA65345AB9FB}"/>
    <cellStyle name="60 % - Akzent1 2" xfId="394" xr:uid="{354EB2F3-78AF-4629-81FC-75C563EF1C5E}"/>
    <cellStyle name="60 % - Akzent1 3" xfId="263" xr:uid="{541F9DB7-8D7C-4CEB-A58B-38CBACF9CDA7}"/>
    <cellStyle name="60 % - Akzent2" xfId="64" hidden="1" xr:uid="{71FCA1A5-1ADD-430D-B553-1CC432DF35B0}"/>
    <cellStyle name="60 % - Akzent2" xfId="912" hidden="1" xr:uid="{58674EAC-9633-4873-9DF3-3957337280BD}"/>
    <cellStyle name="60 % - Akzent2" xfId="929" hidden="1" xr:uid="{EC005FCA-5EF7-4371-8CF8-79B06CCE7102}"/>
    <cellStyle name="60 % - Akzent2 2" xfId="395" xr:uid="{A5E3CAB1-F0CE-478B-9BB5-57ACBFC15B1E}"/>
    <cellStyle name="60 % - Akzent2 3" xfId="264" xr:uid="{6DA95D52-D282-49C8-8F67-FC04BA39ACED}"/>
    <cellStyle name="60 % - Akzent3" xfId="67" hidden="1" xr:uid="{2E974E08-14F2-4BCE-BBDB-3560603B6FD6}"/>
    <cellStyle name="60 % - Akzent3" xfId="915" hidden="1" xr:uid="{FE071CDC-B64F-4307-8291-DA7F6DB4297E}"/>
    <cellStyle name="60 % - Akzent3" xfId="936" hidden="1" xr:uid="{80D32012-7E20-4D0D-A6CB-B15D41EFC43C}"/>
    <cellStyle name="60 % - Akzent3 2" xfId="396" xr:uid="{C645932D-7682-49A7-B96F-68D0400083AB}"/>
    <cellStyle name="60 % - Akzent3 3" xfId="265" xr:uid="{79383F60-FE4E-4FC2-B15D-FA9913DBB9E2}"/>
    <cellStyle name="60 % - Akzent4" xfId="70" hidden="1" xr:uid="{44839C6B-A2F7-4A4E-A8C1-89233715286F}"/>
    <cellStyle name="60 % - Akzent4" xfId="918" hidden="1" xr:uid="{04F18902-8CE7-4140-86F0-A28AFEB13A76}"/>
    <cellStyle name="60 % - Akzent4" xfId="939" hidden="1" xr:uid="{5C15BE90-D2EF-49E2-9497-A605D2FBCBDA}"/>
    <cellStyle name="60 % - Akzent4 2" xfId="397" xr:uid="{C296F069-AEB0-4091-AD58-4943B1FBB9B0}"/>
    <cellStyle name="60 % - Akzent4 3" xfId="266" xr:uid="{FEFB9FD9-7BC9-4647-A838-69F1185C3A07}"/>
    <cellStyle name="60 % - Akzent5" xfId="73" hidden="1" xr:uid="{D84C65FB-0B4D-45D3-9AA9-D45B7783DD5A}"/>
    <cellStyle name="60 % - Akzent5" xfId="921" hidden="1" xr:uid="{C1A49D34-919E-47E6-8B30-F189040FE26D}"/>
    <cellStyle name="60 % - Akzent5" xfId="930" hidden="1" xr:uid="{4C607E91-6EC1-4542-B7F2-37B362CE18A0}"/>
    <cellStyle name="60 % - Akzent5 2" xfId="398" xr:uid="{382125FF-A98C-46BA-ABFC-97250DD52C10}"/>
    <cellStyle name="60 % - Akzent5 3" xfId="267" xr:uid="{B560FB1F-17BF-49A7-B1B4-1B5401DF39C1}"/>
    <cellStyle name="60 % - Akzent6" xfId="76" hidden="1" xr:uid="{6FAF754E-36A5-40B8-AAA0-A02FB87941AA}"/>
    <cellStyle name="60 % - Akzent6" xfId="924" hidden="1" xr:uid="{9C5BC58B-2831-4E55-AE5E-2F362638CECE}"/>
    <cellStyle name="60 % - Akzent6" xfId="933" hidden="1" xr:uid="{3955867B-6758-47DB-950A-FEC22986241B}"/>
    <cellStyle name="60 % - Akzent6 2" xfId="399" xr:uid="{97763AFA-16C9-4691-9E3B-90529129D3BE}"/>
    <cellStyle name="60 % - Akzent6 3" xfId="268" xr:uid="{F7E61593-7ECB-4AE5-B587-FB9002FB4839}"/>
    <cellStyle name="60% - Accent1 2" xfId="106" xr:uid="{A86FE2DA-D7B6-4936-85AE-4DFEE9AD91EA}"/>
    <cellStyle name="60% - Accent1 3" xfId="220" xr:uid="{127CAA8A-4C47-49BC-B0E9-87D741EBB4B9}"/>
    <cellStyle name="60% - Accent2 2" xfId="107" xr:uid="{9499C453-A50D-4C0B-B0DD-525CC5FC8C47}"/>
    <cellStyle name="60% - Accent2 3" xfId="221" xr:uid="{CAB34776-95AB-4F07-9AC7-9607F2D28B3C}"/>
    <cellStyle name="60% - Accent3 2" xfId="108" xr:uid="{F7D8A121-9DC1-4C95-B40C-0FB1FABD5035}"/>
    <cellStyle name="60% - Accent3 3" xfId="222" xr:uid="{4E602DD2-4F3D-4898-98F3-BA896F3CB8E0}"/>
    <cellStyle name="60% - Accent4 2" xfId="109" xr:uid="{0670BCFD-2059-4580-99D6-3788D728675C}"/>
    <cellStyle name="60% - Accent4 3" xfId="223" xr:uid="{C64DCD23-B469-46F8-8A8E-F46E836ACB12}"/>
    <cellStyle name="60% - Accent5 2" xfId="110" xr:uid="{4DBC048E-FC0A-4FF1-B376-962AA8BAC361}"/>
    <cellStyle name="60% - Accent5 3" xfId="224" xr:uid="{82B33D1B-9577-49F8-A8FF-011FA37E2626}"/>
    <cellStyle name="60% - Accent6 2" xfId="111" xr:uid="{F0B2BF62-7B65-41C8-B468-1CAAFB66CA11}"/>
    <cellStyle name="60% - Accent6 3" xfId="225" xr:uid="{E0A43C85-DCF3-4234-9D1A-3646F62DE383}"/>
    <cellStyle name="Accent1 2" xfId="112" xr:uid="{B2A4AE4C-8240-4BE8-B908-27BC1D0DBE3E}"/>
    <cellStyle name="Accent1 3" xfId="226" xr:uid="{0B498BA4-F9F5-4E79-889D-0EB291BF3CCF}"/>
    <cellStyle name="Accent1 4" xfId="359" xr:uid="{8859E259-4C90-4F28-B8E6-79B80ED0A4E3}"/>
    <cellStyle name="Accent2 2" xfId="113" xr:uid="{963734D0-F677-47F6-A5FC-1EAC8E34F089}"/>
    <cellStyle name="Accent2 3" xfId="227" xr:uid="{39C464C1-7DD7-44AC-888F-05C704C6E3A7}"/>
    <cellStyle name="Accent2 4" xfId="360" xr:uid="{82C00C95-8CA9-40CC-B76C-16EBC7B7682F}"/>
    <cellStyle name="Accent3 2" xfId="114" xr:uid="{3E9533E0-DF60-4416-8E68-1AB4384C910E}"/>
    <cellStyle name="Accent3 3" xfId="228" xr:uid="{C31D45F8-4AAA-45F8-BCE8-AE9C64D38401}"/>
    <cellStyle name="Accent3 4" xfId="361" xr:uid="{26E5ECEE-52D1-4A20-8B58-619B0B28C9CA}"/>
    <cellStyle name="Accent4 2" xfId="115" xr:uid="{E3F1F217-B2E2-4074-BBF5-B1FDEE979BDE}"/>
    <cellStyle name="Accent4 3" xfId="229" xr:uid="{A5DD3EF5-6DB5-447F-A12E-F4DCCA2B9624}"/>
    <cellStyle name="Accent4 4" xfId="362" xr:uid="{4D8B22A3-28F1-49C7-B98E-41FCFE7D106B}"/>
    <cellStyle name="Accent5 2" xfId="116" xr:uid="{84E5124C-44BA-409A-9DB6-0AA1AA80DEFF}"/>
    <cellStyle name="Accent5 3" xfId="230" xr:uid="{21C41135-D269-4F97-A0AC-D86E9EB00C11}"/>
    <cellStyle name="Accent5 4" xfId="363" xr:uid="{A14F5414-5415-4226-89DD-8B6C86DAE153}"/>
    <cellStyle name="Accent6 2" xfId="117" xr:uid="{2225A179-6B5A-47B5-BD10-FB1D3DC4B2E5}"/>
    <cellStyle name="Accent6 3" xfId="231" xr:uid="{2CE05897-B396-4EA8-B5ED-6EADD554D931}"/>
    <cellStyle name="Accent6 4" xfId="364" xr:uid="{3FAC6B1F-EF53-40B3-A894-68F080026A30}"/>
    <cellStyle name="AggblueBoldCels" xfId="118" xr:uid="{9239C67E-4C33-4C2F-B58C-6E151F35CFDA}"/>
    <cellStyle name="AggblueBoldCels 2" xfId="119" xr:uid="{6604C2AA-7BE3-4B9D-879E-8B2A71E39B75}"/>
    <cellStyle name="AggblueCels" xfId="41" xr:uid="{1D2BCB25-958C-47F6-826B-78E1D42B2F84}"/>
    <cellStyle name="AggblueCels 2" xfId="120" xr:uid="{050A5253-951D-4496-8F9E-E2B2FE914A4B}"/>
    <cellStyle name="AggblueCels_1x" xfId="40" xr:uid="{F7B4ED23-42D7-462E-B1E6-694FBCACD6F0}"/>
    <cellStyle name="AggBoldCells" xfId="13" xr:uid="{8D1DDAAE-8FDB-4042-B38B-FF24DAABC1DE}"/>
    <cellStyle name="AggBoldCells 2" xfId="121" xr:uid="{7A7B3E2E-C717-4B35-91DE-7A15E8B0AFEE}"/>
    <cellStyle name="AggBoldCells 3" xfId="201" xr:uid="{E4841578-1641-44A8-8D9C-FE44FDD1D13D}"/>
    <cellStyle name="AggBoldCells 4" xfId="353" xr:uid="{49C23AAB-77E3-466A-A76C-A0ECEF6774C9}"/>
    <cellStyle name="AggCels" xfId="16" xr:uid="{294EBA75-49B9-4CB1-B4E4-69023C6902E3}"/>
    <cellStyle name="AggCels 2" xfId="122" xr:uid="{F60E38F1-7C60-49A2-84B6-BFA965F19EFC}"/>
    <cellStyle name="AggCels 3" xfId="202" xr:uid="{19A0766D-403D-4E33-B252-AC98CAD0BFF1}"/>
    <cellStyle name="AggCels 4" xfId="354" xr:uid="{02B8666B-6EEB-4C1C-986D-1B580E896162}"/>
    <cellStyle name="AggCels_T(2)" xfId="14" xr:uid="{F01587DF-BD97-449C-A2E9-BCE503834CA2}"/>
    <cellStyle name="AggGreen" xfId="31" xr:uid="{47584889-8A7F-4C3D-A484-0D13B818DD40}"/>
    <cellStyle name="AggGreen 2" xfId="123" xr:uid="{D801DFB3-035C-4099-8095-5F8272E750C3}"/>
    <cellStyle name="AggGreen 2 2" xfId="412" xr:uid="{AD940B70-FA7A-452A-B876-39D3B42AACB1}"/>
    <cellStyle name="AggGreen 2 2 2" xfId="589" xr:uid="{7C56FDF7-97C2-4CAA-97E2-A9D1A6542926}"/>
    <cellStyle name="AggGreen 2 2 2 2" xfId="804" xr:uid="{5EC49243-FF37-4DB9-B51A-D14175D545D8}"/>
    <cellStyle name="AggGreen 2 2 3" xfId="719" xr:uid="{268552B6-C964-494C-B633-40635B19B3CD}"/>
    <cellStyle name="AggGreen 2 3" xfId="270" xr:uid="{57265FD6-800B-4F9C-82B1-3E78B65A41FB}"/>
    <cellStyle name="AggGreen 2 3 2" xfId="609" xr:uid="{B7A81F8D-3E76-4816-A4A1-61BAC9357B90}"/>
    <cellStyle name="AggGreen 2 3 2 2" xfId="824" xr:uid="{D1AC332E-AD8F-4B62-A3C5-0226875EBC66}"/>
    <cellStyle name="AggGreen 2 3 3" xfId="678" xr:uid="{7B736C2A-B2F4-4CA9-90DA-699C876F206C}"/>
    <cellStyle name="AggGreen 2 3 3 2" xfId="893" xr:uid="{9A9DB6B9-FF2F-4E0A-9E85-2C82D2F3A961}"/>
    <cellStyle name="AggGreen 2 3 4" xfId="674" xr:uid="{BE2A185A-BFB8-4010-914C-7C87B312F065}"/>
    <cellStyle name="AggGreen 2 3 4 2" xfId="889" xr:uid="{A87D4DB9-15E8-4100-BCB3-4E72B61A0792}"/>
    <cellStyle name="AggGreen 3" xfId="411" xr:uid="{DF844561-36E2-4CFA-A28C-53A318D968E6}"/>
    <cellStyle name="AggGreen 3 2" xfId="538" xr:uid="{B0EF371F-D649-4014-9203-B78E62F6A9E0}"/>
    <cellStyle name="AggGreen 3 2 2" xfId="753" xr:uid="{819C53D2-6435-4A10-937D-2BE1DECF7CCB}"/>
    <cellStyle name="AggGreen 3 3" xfId="718" xr:uid="{C37B2EB8-F926-416C-943F-5B3D94576F19}"/>
    <cellStyle name="AggGreen 4" xfId="269" xr:uid="{9BE36B71-D340-4DBC-BECE-68F753EA16AF}"/>
    <cellStyle name="AggGreen 4 2" xfId="608" xr:uid="{B2AA6FC6-B555-4992-A290-14D34EB6D145}"/>
    <cellStyle name="AggGreen 4 2 2" xfId="823" xr:uid="{D7FDAF09-D650-4B5C-8159-67F96526D324}"/>
    <cellStyle name="AggGreen 4 3" xfId="523" xr:uid="{41C2E07C-0634-44F4-B1C2-BA8B288F0D62}"/>
    <cellStyle name="AggGreen 4 3 2" xfId="738" xr:uid="{3B5CEB51-AAFF-4346-AAD8-03473AA736E2}"/>
    <cellStyle name="AggGreen 4 4" xfId="641" xr:uid="{1E0F4443-3CB7-403D-896E-F6A962C8AE90}"/>
    <cellStyle name="AggGreen 4 4 2" xfId="856" xr:uid="{22AC51EF-4C29-4FA3-8F36-B3D3BE342007}"/>
    <cellStyle name="AggGreen 5" xfId="85" xr:uid="{5B581140-6F20-459C-A2E2-704CA409F738}"/>
    <cellStyle name="AggGreen_Bbdr" xfId="32" xr:uid="{8D8C4CDC-7064-4258-A976-93939F03946F}"/>
    <cellStyle name="AggGreen12" xfId="29" xr:uid="{96057A73-3879-45CA-94CA-068AE2581749}"/>
    <cellStyle name="AggGreen12 2" xfId="124" xr:uid="{2E9B358C-3CE4-4A60-BD7F-655268B27306}"/>
    <cellStyle name="AggGreen12 2 2" xfId="414" xr:uid="{3CFAC8F6-CBB0-4A2B-AEE0-D6855AD1E74F}"/>
    <cellStyle name="AggGreen12 2 2 2" xfId="607" xr:uid="{B74E1382-AACB-410F-BD1E-92EFA33177B5}"/>
    <cellStyle name="AggGreen12 2 2 2 2" xfId="822" xr:uid="{59E5BEDE-C2FA-404E-9FBF-3708CF649400}"/>
    <cellStyle name="AggGreen12 2 2 3" xfId="721" xr:uid="{BBAA1E1E-9D7F-4213-9816-BD9684E17901}"/>
    <cellStyle name="AggGreen12 2 3" xfId="272" xr:uid="{879DF67E-E0A1-4A58-B1C1-9BDA487876C8}"/>
    <cellStyle name="AggGreen12 2 3 2" xfId="611" xr:uid="{5BD07262-1CA6-46A6-A3F8-4AE96CB6049E}"/>
    <cellStyle name="AggGreen12 2 3 2 2" xfId="826" xr:uid="{634DE2CA-11AD-4BDC-8621-170A680F227E}"/>
    <cellStyle name="AggGreen12 2 3 3" xfId="560" xr:uid="{8B85421C-050A-453A-A862-F6FE4AD8DBE7}"/>
    <cellStyle name="AggGreen12 2 3 3 2" xfId="775" xr:uid="{779E9FDB-C975-4586-965F-7B2268166149}"/>
    <cellStyle name="AggGreen12 2 3 4" xfId="640" xr:uid="{16A652AE-B42B-486B-812A-1C93E4C43DB1}"/>
    <cellStyle name="AggGreen12 2 3 4 2" xfId="855" xr:uid="{05BC5FDE-37DA-4A51-B4DB-D45B68275C17}"/>
    <cellStyle name="AggGreen12 3" xfId="413" xr:uid="{0DD5DDDE-5FC1-4FBF-B0B3-9D6D76FBDF4B}"/>
    <cellStyle name="AggGreen12 3 2" xfId="537" xr:uid="{9CF8D9A9-16D5-4F09-87F0-F822883873EF}"/>
    <cellStyle name="AggGreen12 3 2 2" xfId="752" xr:uid="{F52FDE4F-E503-4C11-957A-513B6499E1B8}"/>
    <cellStyle name="AggGreen12 3 3" xfId="720" xr:uid="{8EF77169-991B-41A7-9285-870183BA4CF0}"/>
    <cellStyle name="AggGreen12 4" xfId="271" xr:uid="{2B2C5DF7-818F-40DE-92F5-27E846CF29A6}"/>
    <cellStyle name="AggGreen12 4 2" xfId="610" xr:uid="{E5292772-6A50-4BB7-8C69-7A0495367226}"/>
    <cellStyle name="AggGreen12 4 2 2" xfId="825" xr:uid="{A841CCE4-AD3A-4F29-B58B-55D84414D879}"/>
    <cellStyle name="AggGreen12 4 3" xfId="662" xr:uid="{FF2CB0F8-709E-4089-92EA-A09CE60219DC}"/>
    <cellStyle name="AggGreen12 4 3 2" xfId="877" xr:uid="{E41E828C-4B15-43B4-A1F4-A65FA72E37DB}"/>
    <cellStyle name="AggGreen12 4 4" xfId="673" xr:uid="{0329B290-65DB-4DF4-A442-42CEC582AAD3}"/>
    <cellStyle name="AggGreen12 4 4 2" xfId="888" xr:uid="{E6440332-0386-4308-8F70-2F5A74F4764E}"/>
    <cellStyle name="AggGreen12 5" xfId="83" xr:uid="{4E438C62-0EA5-4D0C-A545-41ABD36DAB8D}"/>
    <cellStyle name="AggOrange" xfId="24" xr:uid="{B8E37ABA-4CEF-492E-88AE-6F0C77C7AB03}"/>
    <cellStyle name="AggOrange 2" xfId="125" xr:uid="{17DB2A8D-2E47-4F8F-ADC5-9425A7976BCB}"/>
    <cellStyle name="AggOrange 2 2" xfId="416" xr:uid="{B522EFED-78A7-4354-A9C2-C317F46B2B79}"/>
    <cellStyle name="AggOrange 2 2 2" xfId="536" xr:uid="{14F441F9-CA97-44CA-B9BF-87E21CC05837}"/>
    <cellStyle name="AggOrange 2 2 2 2" xfId="751" xr:uid="{80B40F07-FAE5-46BE-949A-412D894816E6}"/>
    <cellStyle name="AggOrange 2 2 3" xfId="723" xr:uid="{F33642AF-F0B2-43A9-87DF-7879C7011176}"/>
    <cellStyle name="AggOrange 2 3" xfId="274" xr:uid="{C5F50931-DB7C-44A1-903C-CD17824AE573}"/>
    <cellStyle name="AggOrange 2 3 2" xfId="613" xr:uid="{A4B7262F-9E84-4E86-A2D7-028C4C0B6A4B}"/>
    <cellStyle name="AggOrange 2 3 2 2" xfId="828" xr:uid="{913808BA-DFF9-4606-9837-319364C5CEAF}"/>
    <cellStyle name="AggOrange 2 3 3" xfId="520" xr:uid="{5A033DFF-4492-4D24-A583-B0807A2CBA98}"/>
    <cellStyle name="AggOrange 2 3 3 2" xfId="735" xr:uid="{7A19C052-AA49-4F60-878D-AC2325048E2E}"/>
    <cellStyle name="AggOrange 2 3 4" xfId="535" xr:uid="{486EC9B2-578C-4C09-9C08-6750E2E285C0}"/>
    <cellStyle name="AggOrange 2 3 4 2" xfId="750" xr:uid="{C3CFD645-B643-4D10-B022-2F13EF2AE76A}"/>
    <cellStyle name="AggOrange 3" xfId="415" xr:uid="{FD82C81F-AD60-4964-B76A-A06BEA8B3557}"/>
    <cellStyle name="AggOrange 3 2" xfId="655" xr:uid="{2C5BB810-14DC-4BC5-BC21-9F6EA38BEAF6}"/>
    <cellStyle name="AggOrange 3 2 2" xfId="870" xr:uid="{877EC368-C516-4C7A-927F-A7FEB35F969A}"/>
    <cellStyle name="AggOrange 3 3" xfId="722" xr:uid="{2F1BBB19-FFCD-463A-BB86-B4FFE8FA728A}"/>
    <cellStyle name="AggOrange 4" xfId="273" xr:uid="{06D197A7-5109-4012-A18A-DFA2EBB4070E}"/>
    <cellStyle name="AggOrange 4 2" xfId="612" xr:uid="{B51E135B-F953-4C1C-9AC5-8333BE194CDA}"/>
    <cellStyle name="AggOrange 4 2 2" xfId="827" xr:uid="{86060A13-5A07-495D-A092-D2CAE98BA585}"/>
    <cellStyle name="AggOrange 4 3" xfId="601" xr:uid="{1613635A-E750-4A79-AED3-FB61EFE876E7}"/>
    <cellStyle name="AggOrange 4 3 2" xfId="816" xr:uid="{A7DAA790-FA7D-45BB-A245-3EDCB00BCC24}"/>
    <cellStyle name="AggOrange 4 4" xfId="575" xr:uid="{1B25F277-0AA7-4AD1-A71D-4A56B0A50F9D}"/>
    <cellStyle name="AggOrange 4 4 2" xfId="790" xr:uid="{2659D1B6-788D-4517-AC79-C0D9635EC3BF}"/>
    <cellStyle name="AggOrange 5" xfId="79" xr:uid="{88D1F669-F80D-4C76-82F5-3855E8F6BC8F}"/>
    <cellStyle name="AggOrange_B_border" xfId="36" xr:uid="{22AC597B-1E6A-4CCD-9709-64C25E6E6450}"/>
    <cellStyle name="AggOrange9" xfId="23" xr:uid="{C3410C78-6FAF-4D1E-918B-005417B92849}"/>
    <cellStyle name="AggOrange9 2" xfId="126" xr:uid="{5EF1CDA0-41A2-4F18-96FE-170A851DD64E}"/>
    <cellStyle name="AggOrange9 2 2" xfId="418" xr:uid="{9CA90D51-671E-4D47-9364-E325F55135EA}"/>
    <cellStyle name="AggOrange9 2 2 2" xfId="654" xr:uid="{1D9FCBB7-A557-44AD-8B7D-EC46FD2B3B59}"/>
    <cellStyle name="AggOrange9 2 2 2 2" xfId="869" xr:uid="{DC8F1781-3697-43E0-AB2E-EA80907C1C91}"/>
    <cellStyle name="AggOrange9 2 2 3" xfId="725" xr:uid="{EB7BE7F2-662D-44F8-AEFE-979A307F5966}"/>
    <cellStyle name="AggOrange9 2 3" xfId="276" xr:uid="{0DF31455-502D-4D3E-8C85-E6A4080BB8E7}"/>
    <cellStyle name="AggOrange9 2 3 2" xfId="615" xr:uid="{A86637C6-DB43-40B5-A754-FA24C58585CD}"/>
    <cellStyle name="AggOrange9 2 3 2 2" xfId="830" xr:uid="{F1F53476-D460-4338-B861-2B468F34996C}"/>
    <cellStyle name="AggOrange9 2 3 3" xfId="661" xr:uid="{C0565BA9-5D3C-4FFF-A187-028175EC9920}"/>
    <cellStyle name="AggOrange9 2 3 3 2" xfId="876" xr:uid="{C044C78D-9D15-4E01-AEA0-786216F2779C}"/>
    <cellStyle name="AggOrange9 2 3 4" xfId="675" xr:uid="{203E1493-17E6-4E05-A982-B4B2EB40D6F7}"/>
    <cellStyle name="AggOrange9 2 3 4 2" xfId="890" xr:uid="{CAA12AF5-8981-48D6-B5A7-EAD296367251}"/>
    <cellStyle name="AggOrange9 3" xfId="417" xr:uid="{6A1F19E1-A9C9-424B-AB45-DE41E6475A61}"/>
    <cellStyle name="AggOrange9 3 2" xfId="606" xr:uid="{CAE12AC9-D20C-49DB-A17D-7F107F68F9B1}"/>
    <cellStyle name="AggOrange9 3 2 2" xfId="821" xr:uid="{4FF00E32-EE84-45B6-940E-4FE295379200}"/>
    <cellStyle name="AggOrange9 3 3" xfId="724" xr:uid="{E8E904F3-C99C-45D7-9744-13057A4351C3}"/>
    <cellStyle name="AggOrange9 4" xfId="275" xr:uid="{40243E9C-6598-4829-AB0B-7FD4A7CC410A}"/>
    <cellStyle name="AggOrange9 4 2" xfId="614" xr:uid="{2794E1F9-7463-4FC1-B217-0DB912DD60F3}"/>
    <cellStyle name="AggOrange9 4 2 2" xfId="829" xr:uid="{8AA8C499-5B04-46FA-A3AD-5BE8512B0256}"/>
    <cellStyle name="AggOrange9 4 3" xfId="559" xr:uid="{0E213545-FC6C-4AD9-B460-617241DEB037}"/>
    <cellStyle name="AggOrange9 4 3 2" xfId="774" xr:uid="{0576DF4D-D81C-4DA1-AB2D-2D1484C7E90A}"/>
    <cellStyle name="AggOrange9 4 4" xfId="605" xr:uid="{28775127-29F6-4582-8DF5-5D5FAB2B01CA}"/>
    <cellStyle name="AggOrange9 4 4 2" xfId="820" xr:uid="{0AE044D0-55BF-4315-968E-EC3CAA3482B7}"/>
    <cellStyle name="AggOrange9 5" xfId="78" xr:uid="{830F7453-A01F-49C5-A7E1-5463EC88FFD7}"/>
    <cellStyle name="AggOrangeLB_2x" xfId="35" xr:uid="{2E53DDDB-414D-48B6-848D-7C329DCF589E}"/>
    <cellStyle name="AggOrangeLBorder" xfId="37" xr:uid="{121D9AF7-816A-4C53-B254-8F187524DCA8}"/>
    <cellStyle name="AggOrangeLBorder 2" xfId="127" xr:uid="{2F658DC0-5AD4-49D1-A4D6-40329E05BD5D}"/>
    <cellStyle name="AggOrangeLBorder 2 2" xfId="420" xr:uid="{070235D3-1D84-412C-AC8B-CC23E0524454}"/>
    <cellStyle name="AggOrangeLBorder 2 3" xfId="278" xr:uid="{982D6B95-7D86-4666-BCE2-CA2A8E117456}"/>
    <cellStyle name="AggOrangeLBorder 2 3 2" xfId="617" xr:uid="{AA2C8501-CF82-4448-9F73-1BB49A53F30E}"/>
    <cellStyle name="AggOrangeLBorder 2 3 2 2" xfId="832" xr:uid="{097CEE1F-3B92-499C-ABEB-48B42E8FC2BF}"/>
    <cellStyle name="AggOrangeLBorder 2 3 3" xfId="557" xr:uid="{19DA873E-04C7-4646-A50F-36FED892681F}"/>
    <cellStyle name="AggOrangeLBorder 2 3 3 2" xfId="772" xr:uid="{74D88A7F-1EFD-4E92-A5F3-B9C98C0238D2}"/>
    <cellStyle name="AggOrangeLBorder 2 3 4" xfId="583" xr:uid="{6827F358-103B-4FB4-A58F-E4EE129DE81A}"/>
    <cellStyle name="AggOrangeLBorder 2 3 4 2" xfId="798" xr:uid="{B2CFB08D-E300-4F85-9570-53DC35769885}"/>
    <cellStyle name="AggOrangeLBorder 2 3 5" xfId="703" xr:uid="{E173E50F-93BA-429F-8942-8B9B9DF68CD3}"/>
    <cellStyle name="AggOrangeLBorder 3" xfId="419" xr:uid="{30ECA4AE-9231-4E92-94C9-37658A5D82BC}"/>
    <cellStyle name="AggOrangeLBorder 4" xfId="277" xr:uid="{12D163A8-4133-4F44-99F1-66C2BBF28A52}"/>
    <cellStyle name="AggOrangeLBorder 4 2" xfId="616" xr:uid="{450B4CAD-FBEB-47C1-B6D3-46634815DC03}"/>
    <cellStyle name="AggOrangeLBorder 4 2 2" xfId="831" xr:uid="{C19ADB9B-AA55-4699-8E1E-6BF477F9C379}"/>
    <cellStyle name="AggOrangeLBorder 4 3" xfId="558" xr:uid="{B16DB989-04B7-4B31-AA96-16D067F4BC62}"/>
    <cellStyle name="AggOrangeLBorder 4 3 2" xfId="773" xr:uid="{FCDAC758-05C8-4486-B388-A2CBED432BA0}"/>
    <cellStyle name="AggOrangeLBorder 4 4" xfId="579" xr:uid="{CEDB7FED-52F6-428D-8EB3-FFFA84D2A700}"/>
    <cellStyle name="AggOrangeLBorder 4 4 2" xfId="794" xr:uid="{E86FAE72-06B9-463D-996A-FE08190315F3}"/>
    <cellStyle name="AggOrangeLBorder 4 5" xfId="702" xr:uid="{AC5E28D4-2364-4987-BD9E-AA2AD22A0047}"/>
    <cellStyle name="AggOrangeLBorder 5" xfId="86" xr:uid="{3006FA4D-FE54-44FC-B618-EECFED51FC48}"/>
    <cellStyle name="AggOrangeRBorder" xfId="26" xr:uid="{CB6B6862-B7D7-4DC7-98E9-B8628A8F312C}"/>
    <cellStyle name="AggOrangeRBorder 2" xfId="128" xr:uid="{9778ABDE-A3CA-49ED-AECF-2451182D6CFA}"/>
    <cellStyle name="AggOrangeRBorder 2 2" xfId="422" xr:uid="{8354D925-58D3-4110-8729-74CB1C41159A}"/>
    <cellStyle name="AggOrangeRBorder 2 2 2" xfId="534" xr:uid="{1C008A26-B558-4F8E-85BB-E8E63E68FC37}"/>
    <cellStyle name="AggOrangeRBorder 2 2 2 2" xfId="749" xr:uid="{A09C23DF-118C-4393-8382-914051ADBEF3}"/>
    <cellStyle name="AggOrangeRBorder 2 3" xfId="280" xr:uid="{D998513E-02BE-4869-BE0E-B47BD84F959F}"/>
    <cellStyle name="AggOrangeRBorder 2 3 2" xfId="619" xr:uid="{E78E13FA-A622-4C7D-B31D-41B401FF84D7}"/>
    <cellStyle name="AggOrangeRBorder 2 3 2 2" xfId="834" xr:uid="{C965600F-9180-402A-8AB2-5E8FA8A41C2F}"/>
    <cellStyle name="AggOrangeRBorder 2 3 3" xfId="595" xr:uid="{477388EC-B8FE-4977-ACDA-EF00C7EC536A}"/>
    <cellStyle name="AggOrangeRBorder 2 3 3 2" xfId="810" xr:uid="{4120ED91-09CA-4F76-9492-585FA9A66F05}"/>
    <cellStyle name="AggOrangeRBorder 2 3 4" xfId="577" xr:uid="{54CB6E11-8FF8-418F-AD5C-CAC454E2D28E}"/>
    <cellStyle name="AggOrangeRBorder 2 3 4 2" xfId="792" xr:uid="{94D811D4-97F8-4578-8E8B-A458353DEFA8}"/>
    <cellStyle name="AggOrangeRBorder 2 3 5" xfId="705" xr:uid="{7F79EC96-D9B8-4A17-9260-0F077EE831C3}"/>
    <cellStyle name="AggOrangeRBorder 3" xfId="421" xr:uid="{03C039E1-A68E-48DD-9B00-D072DDEFE53A}"/>
    <cellStyle name="AggOrangeRBorder 3 2" xfId="53" xr:uid="{5123B2D2-4B22-449F-BDCE-77062B6BA2B4}"/>
    <cellStyle name="AggOrangeRBorder 3 2 2" xfId="653" xr:uid="{A6DA7693-FD75-46CC-8058-81771E6A3E20}"/>
    <cellStyle name="AggOrangeRBorder 3 2 3" xfId="868" xr:uid="{1360026B-A152-491F-9606-A1BAA56020E8}"/>
    <cellStyle name="AggOrangeRBorder 4" xfId="279" xr:uid="{44FF6E24-1FAA-4E3C-A207-C6BE17556C87}"/>
    <cellStyle name="AggOrangeRBorder 4 2" xfId="618" xr:uid="{BD5EFE84-6BC7-4E4F-A4B0-C5617B1CB67A}"/>
    <cellStyle name="AggOrangeRBorder 4 2 2" xfId="833" xr:uid="{1EA5A575-CC06-4440-B5B1-5652EB3F7FCE}"/>
    <cellStyle name="AggOrangeRBorder 4 3" xfId="651" xr:uid="{39842E7B-C6FC-46CF-9DFB-6604A041069D}"/>
    <cellStyle name="AggOrangeRBorder 4 3 2" xfId="866" xr:uid="{990EF98A-7C13-4B45-8C02-D514379F38C2}"/>
    <cellStyle name="AggOrangeRBorder 4 4" xfId="672" xr:uid="{9CBC1451-41E5-47BB-9E84-4CA534B4A23E}"/>
    <cellStyle name="AggOrangeRBorder 4 4 2" xfId="887" xr:uid="{1125E092-981B-4938-9DED-7F8CD488E1D6}"/>
    <cellStyle name="AggOrangeRBorder 4 5" xfId="704" xr:uid="{DD847686-7FD0-4CE8-80FD-428E749A7A35}"/>
    <cellStyle name="AggOrangeRBorder 5" xfId="81" xr:uid="{974ADE42-A2D6-4E8B-9566-3A9C28842B28}"/>
    <cellStyle name="AggOrangeRBorder_CRFReport-template" xfId="38" xr:uid="{3F807255-0D5C-4B2A-ACD8-A15904D3BE97}"/>
    <cellStyle name="Akzent1" xfId="129" xr:uid="{CAED8E24-9AC9-40DF-925D-79FCBF345F70}"/>
    <cellStyle name="Akzent2" xfId="130" xr:uid="{FA8149DD-54C3-4C81-B6CA-B425DB7C394A}"/>
    <cellStyle name="Akzent3" xfId="131" xr:uid="{A7636CE7-F7BF-4CD7-BC1D-E5C875E66B4F}"/>
    <cellStyle name="Akzent4" xfId="132" xr:uid="{6AFD7EDD-3BDD-4426-9E19-79CEF6505CA9}"/>
    <cellStyle name="Akzent5" xfId="133" xr:uid="{CB472DD7-F16F-4675-9840-6A645E4E3AE4}"/>
    <cellStyle name="Akzent6" xfId="134" xr:uid="{2319D6B4-84E2-4B7F-9B1F-55EE5C12C4C0}"/>
    <cellStyle name="Ausgabe" xfId="54" hidden="1" xr:uid="{8E35069E-796F-4795-804E-ECF108AFE2E0}"/>
    <cellStyle name="Ausgabe" xfId="902" hidden="1" xr:uid="{2EF37A85-0314-441E-9B1F-EA6FF30F42F1}"/>
    <cellStyle name="Ausgabe" xfId="901" hidden="1" xr:uid="{49EAD5AF-0D20-4C08-854F-73E9E3DE9A0D}"/>
    <cellStyle name="Ausgabe 2" xfId="400" xr:uid="{5A680570-E62F-498A-96B6-EB2C53161331}"/>
    <cellStyle name="Ausgabe 2 2" xfId="656" xr:uid="{E9436428-480E-4999-A2B4-02885B135A8A}"/>
    <cellStyle name="Ausgabe 2 2 2" xfId="871" xr:uid="{3D82B615-8683-4EFE-A7D9-4991D8A5EF8C}"/>
    <cellStyle name="Ausgabe 2 3" xfId="541" xr:uid="{ED443AAC-FD74-447D-825D-989C2D5D206D}"/>
    <cellStyle name="Ausgabe 2 3 2" xfId="756" xr:uid="{B9AE793F-B35B-4663-877F-2A4365A03D2C}"/>
    <cellStyle name="Ausgabe 2 4" xfId="714" xr:uid="{F3329D25-D806-4E12-ACFA-3355CCFF2EF9}"/>
    <cellStyle name="Ausgabe 3" xfId="291" xr:uid="{1422046C-9A7B-47E9-9A14-B27DC9AA5FED}"/>
    <cellStyle name="Ausgabe 3 2" xfId="628" xr:uid="{51ADAF9C-026A-40E7-B6B8-689E4E58B58B}"/>
    <cellStyle name="Ausgabe 3 2 2" xfId="843" xr:uid="{474D0B5A-71B9-4C97-9ECF-CD7B6B912396}"/>
    <cellStyle name="Ausgabe 3 3" xfId="547" xr:uid="{5E3BA8F5-B552-4165-B931-7C1E7CA374FD}"/>
    <cellStyle name="Ausgabe 3 3 2" xfId="762" xr:uid="{A8EB14B3-EB98-4E27-ABAF-A2C5F8073CD8}"/>
    <cellStyle name="Ausgabe 3 4" xfId="711" xr:uid="{F050B906-233D-4153-AAF3-03B846A22802}"/>
    <cellStyle name="Ausgabe 4" xfId="552" xr:uid="{E646A35D-C681-47C6-B87A-63AC4233EF19}"/>
    <cellStyle name="Ausgabe 4 2" xfId="767" xr:uid="{59A2B62C-435C-4CBA-9FA0-1EABB6744E3A}"/>
    <cellStyle name="Ausgabe 5" xfId="671" xr:uid="{4151F9A4-3430-43DE-8511-91A22BB7CC0F}"/>
    <cellStyle name="Ausgabe 5 2" xfId="886" xr:uid="{46AE9D40-A8F9-49AC-A8E2-0C7D649DAD95}"/>
    <cellStyle name="Ausgabe 6" xfId="687" xr:uid="{78ABA7E5-611A-4DC5-8E7C-A79B10E9B248}"/>
    <cellStyle name="Bad 2" xfId="135" xr:uid="{CCEFF238-CF06-473D-8107-A1A6B2818A4F}"/>
    <cellStyle name="Bad 3" xfId="232" xr:uid="{6C02248E-18E9-43A6-A2DB-CAD9A5744E88}"/>
    <cellStyle name="Bad 4" xfId="372" xr:uid="{9DDC5D95-7227-4985-84B1-7F5DC6CBAD63}"/>
    <cellStyle name="Berechnung" xfId="55" hidden="1" xr:uid="{2C74835A-433C-4FE2-8B2F-94A147F7658A}"/>
    <cellStyle name="Berechnung" xfId="903" hidden="1" xr:uid="{77574237-4D89-43D0-B72F-C0BC029E41D3}"/>
    <cellStyle name="Berechnung" xfId="926" hidden="1" xr:uid="{52EAAE0F-32AC-454B-82EA-957E7C6EC8B1}"/>
    <cellStyle name="Berechnung 2" xfId="401" xr:uid="{EEBD34F3-AFA3-4669-B6BA-5FA67A92A90F}"/>
    <cellStyle name="Berechnung 2 2" xfId="657" xr:uid="{1F288408-7A8A-4EFF-B560-7326A3376254}"/>
    <cellStyle name="Berechnung 2 2 2" xfId="872" xr:uid="{C6D593BC-FA67-4042-8E0A-C64B9A9D2749}"/>
    <cellStyle name="Berechnung 2 3" xfId="522" xr:uid="{F3904847-0BB2-4653-BE4E-17C3E6F534AE}"/>
    <cellStyle name="Berechnung 2 3 2" xfId="737" xr:uid="{3909343D-C63E-4ABD-9C5D-69935F41BDA8}"/>
    <cellStyle name="Berechnung 2 4" xfId="578" xr:uid="{630587AC-9BB6-49FE-89C3-5B80690ECB86}"/>
    <cellStyle name="Berechnung 2 4 2" xfId="793" xr:uid="{69998DF2-B2CF-4CDF-88B3-E7DFA6B5D6D5}"/>
    <cellStyle name="Berechnung 2 5" xfId="715" xr:uid="{FCC27085-F868-4DA6-BD29-6AD4AA74B9BD}"/>
    <cellStyle name="Berechnung 3" xfId="281" xr:uid="{6099A6B1-C4BA-47ED-AB07-4C2C346DC7CE}"/>
    <cellStyle name="Berechnung 3 2" xfId="620" xr:uid="{04834015-89BF-4AA4-891A-408810862182}"/>
    <cellStyle name="Berechnung 3 2 2" xfId="835" xr:uid="{CE10F9DF-D115-48C5-B1BC-AAB9DD0947D2}"/>
    <cellStyle name="Berechnung 3 3" xfId="556" xr:uid="{8178E694-4624-4542-B17A-B0EB06CEE049}"/>
    <cellStyle name="Berechnung 3 3 2" xfId="771" xr:uid="{7D09CDCF-00D3-4BA1-8EF4-F9119A361F65}"/>
    <cellStyle name="Berechnung 3 4" xfId="568" xr:uid="{DB1095FF-AEDB-4956-808B-727355F5519C}"/>
    <cellStyle name="Berechnung 3 4 2" xfId="783" xr:uid="{505D842D-E0C1-464B-8437-7FB08DB93433}"/>
    <cellStyle name="Berechnung 3 5" xfId="706" xr:uid="{DBC867E7-AAE3-488A-B708-DAD957828E73}"/>
    <cellStyle name="Berechnung 4" xfId="553" xr:uid="{CD622FBF-688D-4C29-83B8-0C177C9EF3AE}"/>
    <cellStyle name="Berechnung 4 2" xfId="768" xr:uid="{D115421C-26DC-4E60-90C9-F3642D65A67A}"/>
    <cellStyle name="Berechnung 5" xfId="670" xr:uid="{D3E7CD40-A74A-4131-8D70-4AB6FA796E40}"/>
    <cellStyle name="Berechnung 5 2" xfId="885" xr:uid="{DF8D89BE-FE8A-4461-9FB5-B6E3F17EA6FF}"/>
    <cellStyle name="Berechnung 6" xfId="682" xr:uid="{0662CA4F-96DC-493E-9AB2-C5CA963D9B67}"/>
    <cellStyle name="Berechnung 6 2" xfId="896" xr:uid="{E29C6C51-4FC9-471C-8472-87CCC3BA1759}"/>
    <cellStyle name="Berechnung 7" xfId="688" xr:uid="{8042C46D-7DCE-4DB9-9C93-E6D8F4CD2DD8}"/>
    <cellStyle name="Bold GHG Numbers (0.00)" xfId="136" xr:uid="{CD40588E-6506-4B15-BDB0-B42DE9F567C3}"/>
    <cellStyle name="Calculation 2" xfId="137" xr:uid="{A6E63B49-DA2D-44AA-B248-FCB110381873}"/>
    <cellStyle name="Calculation 2 2" xfId="555" xr:uid="{03DFA9C3-3B33-4B9C-B91E-790A1E585345}"/>
    <cellStyle name="Calculation 2 2 2" xfId="770" xr:uid="{EEB11632-CE19-411B-B166-EDD5F5852DA2}"/>
    <cellStyle name="Calculation 2 3" xfId="639" xr:uid="{C719400D-0198-4D1B-9277-06BFE59B9D27}"/>
    <cellStyle name="Calculation 2 3 2" xfId="854" xr:uid="{6D63DD9B-3D22-4471-819E-C850F9A94A64}"/>
    <cellStyle name="Calculation 2 4" xfId="545" xr:uid="{B147B0AB-23BF-4CA2-A761-839B6932AAFE}"/>
    <cellStyle name="Calculation 2 4 2" xfId="760" xr:uid="{4ECFC525-0666-4C9F-82D6-968B6D265BA0}"/>
    <cellStyle name="Calculation 2 5" xfId="689" xr:uid="{A74FD415-B572-4177-B237-EEE8D94FCB7C}"/>
    <cellStyle name="Calculation 3" xfId="233" xr:uid="{2EB7D094-6843-45C9-8BE7-E820E56ACE96}"/>
    <cellStyle name="Calculation 3 2" xfId="594" xr:uid="{43C7E6D5-C2A3-481D-9923-26412191D4E3}"/>
    <cellStyle name="Calculation 3 2 2" xfId="809" xr:uid="{18661AB3-23D7-4CE6-ADAE-968260B6A3A9}"/>
    <cellStyle name="Calculation 3 3" xfId="580" xr:uid="{72DFF40B-BB34-4AAE-9F1A-59425717717E}"/>
    <cellStyle name="Calculation 3 3 2" xfId="795" xr:uid="{0A5A5A50-54A2-480A-8EDB-1B2FF776A688}"/>
    <cellStyle name="Calculation 3 4" xfId="664" xr:uid="{70B9E307-50DF-49B3-896A-688EBE4F5588}"/>
    <cellStyle name="Calculation 3 4 2" xfId="879" xr:uid="{AD2C2803-CED6-46CC-AD6E-2D7173333FB2}"/>
    <cellStyle name="Calculation 3 5" xfId="697" xr:uid="{A66A33C5-5D19-43C6-AFDF-1313771C934C}"/>
    <cellStyle name="Check Cell 2" xfId="138" xr:uid="{174FEEE6-066B-4EDC-8377-8EA917E47966}"/>
    <cellStyle name="Check Cell 3" xfId="234" xr:uid="{038D7DD5-0282-4214-8494-7E97A47955A5}"/>
    <cellStyle name="Check Cell 4" xfId="378" xr:uid="{F1AA720D-C560-467F-A760-1FA58518DB4A}"/>
    <cellStyle name="Comma 2" xfId="139" xr:uid="{4A8EE3D3-A01D-474E-B2D6-DE9062AC35BE}"/>
    <cellStyle name="Comma 2 2" xfId="140" xr:uid="{4018ABE7-389A-4DFD-9A92-C61222C0BFF9}"/>
    <cellStyle name="Comma 2 2 2" xfId="423" xr:uid="{89AB2E11-F3BB-4431-9DBC-7380C5660950}"/>
    <cellStyle name="Comma 3" xfId="141" xr:uid="{3021E1D8-24F1-4D10-80CB-260AE4425D5B}"/>
    <cellStyle name="Constants" xfId="10" xr:uid="{2D3936C6-5999-4D0A-A91F-900082578AF2}"/>
    <cellStyle name="ContentsHyperlink" xfId="250" xr:uid="{A345649C-6316-4AFB-A6C4-061DB1A42FFC}"/>
    <cellStyle name="CustomCellsOrange" xfId="142" xr:uid="{F3F22D46-62CC-470E-953C-67A3680CFA8B}"/>
    <cellStyle name="CustomCellsOrange 2" xfId="424" xr:uid="{3D7139CB-D85C-4B60-9033-9A8DF03F952D}"/>
    <cellStyle name="CustomCellsOrange 2 2" xfId="447" xr:uid="{F831E4F1-3BEB-4DC9-A504-13E3319D4A74}"/>
    <cellStyle name="CustomCellsOrange 2 2 2" xfId="517" xr:uid="{D6C255B9-34F3-4321-A2D0-3E05DFCEC2E9}"/>
    <cellStyle name="CustomCellsOrange 2 2 2 2" xfId="683" xr:uid="{6F3B0A7E-8463-406A-93C7-40E47454A4D6}"/>
    <cellStyle name="CustomCellsOrange 2 2 2 2 2" xfId="897" xr:uid="{ADE0CAF5-368E-42F0-9D58-51078AF37B32}"/>
    <cellStyle name="CustomCellsOrange 2 2 3" xfId="666" xr:uid="{71BB5BC6-0634-4B9A-B919-1853FC0432B0}"/>
    <cellStyle name="CustomCellsOrange 2 2 3 2" xfId="881" xr:uid="{55368368-6BEC-40DF-821A-8B02B9337FF8}"/>
    <cellStyle name="CustomCellsOrange 2 2 4" xfId="584" xr:uid="{E5D7ABE7-5FBF-4F6F-96A2-B0D227CFC45D}"/>
    <cellStyle name="CustomCellsOrange 2 2 4 2" xfId="799" xr:uid="{06376C4C-902C-4CCE-B241-A30C9EA70CD7}"/>
    <cellStyle name="CustomCellsOrange 2 2 5" xfId="685" xr:uid="{B1B34AF9-6377-45F6-93E2-9B326029C74F}"/>
    <cellStyle name="CustomCellsOrange 2 2 5 2" xfId="899" xr:uid="{7C6882D9-B8DA-4458-A7A0-B9D59D02720D}"/>
    <cellStyle name="CustomCellsOrange 3" xfId="282" xr:uid="{93096F74-3C3F-433E-A7DA-943AF136C2E6}"/>
    <cellStyle name="CustomCellsOrange 3 2" xfId="621" xr:uid="{D7FFC85F-95EC-4F0B-945C-1E65965A13CF}"/>
    <cellStyle name="CustomCellsOrange 3 2 2" xfId="836" xr:uid="{13CDA915-8567-4C16-9296-E3247504A06A}"/>
    <cellStyle name="CustomCellsOrange 3 3" xfId="554" xr:uid="{E40152AA-5441-4BFB-83AF-5C326EB943FC}"/>
    <cellStyle name="CustomCellsOrange 3 3 2" xfId="769" xr:uid="{57B0D4AC-245B-4224-9A04-B9AF723197B6}"/>
    <cellStyle name="CustomCellsOrange 3 4" xfId="567" xr:uid="{80DF7D8F-874F-4C9A-A32D-F666DEA51C94}"/>
    <cellStyle name="CustomCellsOrange 3 4 2" xfId="782" xr:uid="{73213610-1993-4AF7-B538-8FD68F550D46}"/>
    <cellStyle name="CustomCellsOrange 3 5" xfId="707" xr:uid="{F5D45364-FF03-49A6-A85F-862B62C0DDE9}"/>
    <cellStyle name="CustomizationCells" xfId="25" xr:uid="{FC74E93B-8314-4CF5-82EA-213833B79A8E}"/>
    <cellStyle name="CustomizationCells 2" xfId="425" xr:uid="{EEC71D2E-8913-4826-AE56-B19123C64C39}"/>
    <cellStyle name="CustomizationCells 2 2" xfId="448" xr:uid="{A59F399A-2C56-4DB6-90FE-86FA0337FA3F}"/>
    <cellStyle name="CustomizationCells 2 2 2" xfId="518" xr:uid="{EB7C14B0-3698-496A-9660-937C0AF6E3AF}"/>
    <cellStyle name="CustomizationCells 2 2 2 2" xfId="684" xr:uid="{2DAC8B9E-58AB-4B4E-A073-7D9AD787E98F}"/>
    <cellStyle name="CustomizationCells 2 2 2 2 2" xfId="898" xr:uid="{54CA34CB-28B1-446B-B7AE-9113332E14EF}"/>
    <cellStyle name="CustomizationCells 2 2 3" xfId="667" xr:uid="{15D6C0BD-D2FF-48C1-89BA-0858778D88D9}"/>
    <cellStyle name="CustomizationCells 2 2 3 2" xfId="882" xr:uid="{D5F81F35-6DF8-4614-B522-FC764B7561B0}"/>
    <cellStyle name="CustomizationCells 2 2 4" xfId="530" xr:uid="{1A542CEA-DF10-4E4D-8787-AC4A618C1C73}"/>
    <cellStyle name="CustomizationCells 2 2 4 2" xfId="745" xr:uid="{F136A25A-A695-4522-A141-326AC6B24817}"/>
    <cellStyle name="CustomizationCells 2 2 5" xfId="686" xr:uid="{3A2F876A-B99E-4877-BED9-CEAE9C9331A6}"/>
    <cellStyle name="CustomizationCells 2 2 5 2" xfId="900" xr:uid="{9F35F000-B5D8-4370-976A-C576DEE7AA50}"/>
    <cellStyle name="CustomizationCells 3" xfId="283" xr:uid="{603612C3-E35F-434F-9F6A-2CAC4D522CF8}"/>
    <cellStyle name="CustomizationCells 3 2" xfId="622" xr:uid="{E89498CA-5F81-4D08-8229-736828D1BE90}"/>
    <cellStyle name="CustomizationCells 3 2 2" xfId="837" xr:uid="{16A5E1BE-C35F-4B0B-B484-9C0AD802987D}"/>
    <cellStyle name="CustomizationCells 3 3" xfId="649" xr:uid="{B89AA1E1-16A0-4E92-A8E0-57CF7DC4A65E}"/>
    <cellStyle name="CustomizationCells 3 3 2" xfId="864" xr:uid="{D6D335FC-9D38-49B2-A659-158123210606}"/>
    <cellStyle name="CustomizationCells 3 4" xfId="569" xr:uid="{3E47CB2D-0441-40A0-9DF2-DC6B4186B033}"/>
    <cellStyle name="CustomizationCells 3 4 2" xfId="784" xr:uid="{449CA50B-35D6-4B34-828A-C70C4FC7AE06}"/>
    <cellStyle name="CustomizationCells 3 5" xfId="708" xr:uid="{EA8DCA5E-182D-4015-8300-96FE110A5A5C}"/>
    <cellStyle name="CustomizationCells 4" xfId="80" xr:uid="{7F9BEA0F-7DA5-4CA4-BAC6-A898F850890C}"/>
    <cellStyle name="CustomizationGreenCells" xfId="143" xr:uid="{3D791AA2-E761-4764-B072-F2C152D6E175}"/>
    <cellStyle name="CustomizationGreenCells 2" xfId="426" xr:uid="{BFE50274-AA9F-4AE8-8B47-E8FB9F0C4CBD}"/>
    <cellStyle name="CustomizationGreenCells 3" xfId="284" xr:uid="{2667B7D2-0A78-44E7-9E21-6BC2D26AAAFF}"/>
    <cellStyle name="CustomizationGreenCells 3 2" xfId="623" xr:uid="{BCAFA473-5389-4228-A7AD-AB1680953653}"/>
    <cellStyle name="CustomizationGreenCells 3 2 2" xfId="838" xr:uid="{33E45506-EA75-4D40-8267-97D7C97DE6BF}"/>
    <cellStyle name="CustomizationGreenCells 3 3" xfId="593" xr:uid="{AB5934FF-0969-480C-9FC7-51AA71FD6630}"/>
    <cellStyle name="CustomizationGreenCells 3 3 2" xfId="808" xr:uid="{B0D00B7F-468E-416B-83B2-6BD539E6E0A3}"/>
    <cellStyle name="CustomizationGreenCells 3 4" xfId="526" xr:uid="{0E0C6E98-8A43-4740-B3B5-1FD22B812E4A}"/>
    <cellStyle name="CustomizationGreenCells 3 4 2" xfId="741" xr:uid="{8E506559-C7B7-47E4-9302-A44DB81C9D50}"/>
    <cellStyle name="CustomizationGreenCells 3 5" xfId="709" xr:uid="{A444A13D-9B4F-42FF-9892-952D9EAC74C5}"/>
    <cellStyle name="DocBox_EmptyRow" xfId="22" xr:uid="{A65EDFF3-1529-46F8-9139-78ECBB4F077D}"/>
    <cellStyle name="Eingabe" xfId="8" xr:uid="{79EDB562-72D4-40E2-A73C-A222D066E881}"/>
    <cellStyle name="Eingabe 2" xfId="381" xr:uid="{E1F1B419-7AB8-457C-88CC-EA7A401AB2B6}"/>
    <cellStyle name="Eingabe 3" xfId="427" xr:uid="{6EB92F37-B08F-4575-AF6F-9C025277F90F}"/>
    <cellStyle name="Eingabe 3 2" xfId="663" xr:uid="{E1CF2CDC-73D3-4832-8D40-F1CA4DE68231}"/>
    <cellStyle name="Eingabe 3 2 2" xfId="878" xr:uid="{EB09F85C-A3BF-48EB-BB49-A77A16231841}"/>
    <cellStyle name="Eingabe 3 3" xfId="652" xr:uid="{8E88C8DF-2198-4ECA-A4CB-B64EDD4FF335}"/>
    <cellStyle name="Eingabe 3 3 2" xfId="867" xr:uid="{558E490E-A7A6-47AF-9006-6BE9E4D41C02}"/>
    <cellStyle name="Eingabe 3 4" xfId="543" xr:uid="{940936D0-29B0-4A75-994B-57E77D289DBE}"/>
    <cellStyle name="Eingabe 3 4 2" xfId="758" xr:uid="{6F4CFB45-0483-400E-8F6E-F194EB83F667}"/>
    <cellStyle name="Eingabe 3 5" xfId="726" xr:uid="{C726DCFE-E2D4-4636-BEDA-C0285185321E}"/>
    <cellStyle name="Eingabe 4" xfId="286" xr:uid="{BBFD0BEB-B731-4F41-82D6-B50B15DFD8F8}"/>
    <cellStyle name="Eingabe 4 2" xfId="624" xr:uid="{B48F018E-71E9-4D97-B1D0-81A03AF91A3B}"/>
    <cellStyle name="Eingabe 4 2 2" xfId="839" xr:uid="{2B08FCDA-7388-4012-8A01-61E455386736}"/>
    <cellStyle name="Eingabe 4 3" xfId="551" xr:uid="{A1AF1F18-1B08-41AB-BB49-35558F9CDF49}"/>
    <cellStyle name="Eingabe 4 3 2" xfId="766" xr:uid="{BD41D134-7CE6-43B7-BD4C-E43311371240}"/>
    <cellStyle name="Eingabe 4 4" xfId="527" xr:uid="{7799DFBC-D566-48F8-8F0E-8EBC3B617F84}"/>
    <cellStyle name="Eingabe 4 4 2" xfId="742" xr:uid="{3B895D35-68FC-48D8-880B-60BA39352333}"/>
    <cellStyle name="Eingabe 4 5" xfId="710" xr:uid="{98F4ABC5-F5E6-46BC-96AA-4CFD52CDBB6E}"/>
    <cellStyle name="Eingabe 5" xfId="561" xr:uid="{AA2B9F77-9F84-49B1-A888-AC159E78A866}"/>
    <cellStyle name="Eingabe 5 2" xfId="776" xr:uid="{A5701C77-49F0-4306-85A3-C4455C5B1186}"/>
    <cellStyle name="Eingabe 6" xfId="638" xr:uid="{674A6B54-5B77-41EA-B8E5-8EC01B3E270C}"/>
    <cellStyle name="Eingabe 6 2" xfId="853" xr:uid="{30390BB9-613E-49C5-8675-F6A84C1C4E70}"/>
    <cellStyle name="Eingabe 7" xfId="681" xr:uid="{04AEAC9D-05C0-4634-9732-8FFFA02C71C2}"/>
    <cellStyle name="Eingabe 7 2" xfId="895" xr:uid="{DDFA9542-70F6-4100-A094-E1D6B2A5B62D}"/>
    <cellStyle name="Eingabe 8" xfId="690" xr:uid="{F5A35617-F403-45BF-97B9-4D52F21318C0}"/>
    <cellStyle name="Empty_B_border" xfId="28" xr:uid="{B79D7E60-1CB0-4AE9-A452-F7F6B1FC8FF9}"/>
    <cellStyle name="Ergebnis" xfId="58" hidden="1" xr:uid="{BF9E6549-DC7A-4A06-A762-E6619B2370F0}"/>
    <cellStyle name="Ergebnis" xfId="906" hidden="1" xr:uid="{C702CFB4-5133-48C4-A795-12372DD07F40}"/>
    <cellStyle name="Ergebnis" xfId="941" hidden="1" xr:uid="{915AE720-7A14-42B0-BF78-BAC6BCD4257B}"/>
    <cellStyle name="Ergebnis 2" xfId="402" xr:uid="{AC2D043A-EBCB-4F53-875A-EC4531CA3B6D}"/>
    <cellStyle name="Ergebnis 2 2" xfId="658" xr:uid="{2BD92448-D2FE-40DD-929F-6D4A14B69234}"/>
    <cellStyle name="Ergebnis 2 2 2" xfId="873" xr:uid="{7BD28E80-5E12-4060-88DB-15FA2A61FE26}"/>
    <cellStyle name="Ergebnis 2 3" xfId="590" xr:uid="{C94901A1-B3BD-4D65-BD4D-973C79346D4E}"/>
    <cellStyle name="Ergebnis 2 3 2" xfId="805" xr:uid="{DF685DD3-A683-4DA6-A17E-A1D2DCA49161}"/>
    <cellStyle name="Ergebnis 2 4" xfId="581" xr:uid="{F1E48E96-932C-4112-9B51-4C37F0FAA0B3}"/>
    <cellStyle name="Ergebnis 2 4 2" xfId="796" xr:uid="{BDC6B7E5-5D74-4F6B-9AB6-78715EF9662B}"/>
    <cellStyle name="Ergebnis 2 5" xfId="716" xr:uid="{5AAAC920-AE89-4D7B-98E1-EBAD536804A1}"/>
    <cellStyle name="Ergebnis 3" xfId="295" xr:uid="{261886EF-BB99-4D20-A7C7-2A64BCA92B49}"/>
    <cellStyle name="Ergebnis 3 2" xfId="632" xr:uid="{CAE1E867-3250-4433-B6EB-52FFC15F4438}"/>
    <cellStyle name="Ergebnis 3 2 2" xfId="847" xr:uid="{07C86A82-1A2F-41AE-AC9B-79E5DED23C20}"/>
    <cellStyle name="Ergebnis 3 3" xfId="546" xr:uid="{888D5782-EABB-46A4-A168-ED1F0404DE77}"/>
    <cellStyle name="Ergebnis 3 3 2" xfId="761" xr:uid="{969204FC-BC43-475D-AA99-6F761CAF3444}"/>
    <cellStyle name="Ergebnis 3 4" xfId="573" xr:uid="{1875908B-B089-4A7B-A23E-1E36469A950C}"/>
    <cellStyle name="Ergebnis 3 4 2" xfId="788" xr:uid="{D3CD1693-3A41-42EB-A2CD-FE1EDF339802}"/>
    <cellStyle name="Ergebnis 3 5" xfId="712" xr:uid="{EDD8E026-9E11-40CC-B73E-54F865B9CD37}"/>
    <cellStyle name="Ergebnis 4" xfId="562" xr:uid="{F508CED1-28BB-4B4F-A153-E39B838737FC}"/>
    <cellStyle name="Ergebnis 4 2" xfId="777" xr:uid="{C2A9575A-7528-439E-97FC-EEFFA84CFF89}"/>
    <cellStyle name="Ergebnis 5" xfId="636" xr:uid="{825C96AA-C5AA-46EF-8B0A-48CB00224E42}"/>
    <cellStyle name="Ergebnis 5 2" xfId="851" xr:uid="{41AE57C5-CE6C-42C9-9714-613239FBA854}"/>
    <cellStyle name="Ergebnis 6" xfId="643" xr:uid="{F8414FF7-BB91-4529-A3B5-D7D4A8DF36EC}"/>
    <cellStyle name="Ergebnis 6 2" xfId="858" xr:uid="{D1D4A038-2C19-4EF5-B460-FD9643AC11F5}"/>
    <cellStyle name="Ergebnis 7" xfId="691" xr:uid="{36563F8C-8C0C-4019-A4DF-BAC73B3F4246}"/>
    <cellStyle name="Erklärender Text" xfId="57" hidden="1" xr:uid="{130BB4D8-99FB-49B8-A53E-29EE858380ED}"/>
    <cellStyle name="Erklärender Text" xfId="905" hidden="1" xr:uid="{5BB36B5C-FD51-4B80-BB76-87C7882EDDC1}"/>
    <cellStyle name="Erklärender Text" xfId="935" hidden="1" xr:uid="{A9F84421-9481-4672-92C7-A29676E5D1C1}"/>
    <cellStyle name="Erklärender Text 2" xfId="403" xr:uid="{D4CFB530-DF2D-4324-8A7E-3379CBA3F7AE}"/>
    <cellStyle name="Erklärender Text 3" xfId="285" xr:uid="{C90DC5D3-77E4-479E-81D9-6A6D5AAB4112}"/>
    <cellStyle name="Even" xfId="948" xr:uid="{600C7287-EA5F-4E47-AA49-DE32C30231DB}"/>
    <cellStyle name="Explanatory Text 2" xfId="144" xr:uid="{61682755-038A-40D1-8B01-FFC5275EC025}"/>
    <cellStyle name="Explanatory Text 3" xfId="235" xr:uid="{7938C872-211E-4E53-BBE6-C679169B0D90}"/>
    <cellStyle name="Good 2" xfId="145" xr:uid="{D264FC20-08C3-40AA-B9D9-87544166AC96}"/>
    <cellStyle name="Good 3" xfId="236" xr:uid="{EF78B4D7-2FBC-43C4-AEDA-216966D6778E}"/>
    <cellStyle name="Good 4" xfId="365" xr:uid="{4046E493-9F30-4E2C-A042-58881001E738}"/>
    <cellStyle name="Gut" xfId="146" xr:uid="{E819C74E-0423-400B-850B-23B2490E4E35}"/>
    <cellStyle name="Halb" xfId="2" builtinId="27"/>
    <cellStyle name="Hea" xfId="1" builtinId="26"/>
    <cellStyle name="Header" xfId="947" xr:uid="{B7A698E2-3E00-49C8-B365-2924A84A43B2}"/>
    <cellStyle name="Heading 1 2" xfId="147" xr:uid="{825945BF-E06D-40AA-94C5-227B6F82A3FB}"/>
    <cellStyle name="Heading 1 3" xfId="237" xr:uid="{38CDD311-595B-4CFF-B7D3-93D84AFAB2DB}"/>
    <cellStyle name="Heading 1 4" xfId="373" xr:uid="{8127360D-82B6-4F98-AE0C-1904DE95D957}"/>
    <cellStyle name="Heading 2 2" xfId="148" xr:uid="{B980FA46-4C14-4B84-B2DB-8D70CCDF60C2}"/>
    <cellStyle name="Heading 2 3" xfId="238" xr:uid="{52711027-012E-4747-AB8F-494FE38E3FF0}"/>
    <cellStyle name="Heading 2 4" xfId="374" xr:uid="{5ECB3EA6-158B-4C12-8E89-D2BBEF77A7FA}"/>
    <cellStyle name="Heading 3 2" xfId="149" xr:uid="{E4B5AD94-4E73-48BD-B604-1991DD98F468}"/>
    <cellStyle name="Heading 3 3" xfId="239" xr:uid="{1592DB73-A47C-4533-8764-5111A90EEAF8}"/>
    <cellStyle name="Heading 3 4" xfId="375" xr:uid="{1983D241-F950-4B46-8058-55E2A2C982F6}"/>
    <cellStyle name="Heading 4 2" xfId="150" xr:uid="{1339F71F-D869-405C-9DB8-8C7B619CBE81}"/>
    <cellStyle name="Heading 4 3" xfId="240" xr:uid="{B79F4396-33E3-4464-B38A-C567F7FA4C13}"/>
    <cellStyle name="Heading 4 4" xfId="376" xr:uid="{F28DB755-E713-4A68-AE7D-CB32A209277F}"/>
    <cellStyle name="Headline" xfId="9" xr:uid="{0E5E15DB-4658-4593-BB79-59DC2B0F5DD7}"/>
    <cellStyle name="Hüperlink" xfId="3" builtinId="8"/>
    <cellStyle name="Hüperlink 2" xfId="51" xr:uid="{6BBB02EF-40BF-4DB5-8063-DB67664FC927}"/>
    <cellStyle name="Input 2" xfId="151" xr:uid="{18970055-1532-4683-A098-7A5604D83C93}"/>
    <cellStyle name="Input 2 2" xfId="565" xr:uid="{22D36EB6-69A4-482E-9ABD-630A8AC004D4}"/>
    <cellStyle name="Input 2 2 2" xfId="780" xr:uid="{DAFA7DEA-B16C-4485-AC5D-D896C4C211E1}"/>
    <cellStyle name="Input 2 3" xfId="669" xr:uid="{0C08BEBA-9021-46EB-8045-7BD92F08008E}"/>
    <cellStyle name="Input 2 3 2" xfId="884" xr:uid="{3809B7D4-93D9-4B53-BFFE-9ED3FF7F624E}"/>
    <cellStyle name="Input 2 4" xfId="680" xr:uid="{D6CC06FD-9C1C-4121-A051-682423B1BF93}"/>
    <cellStyle name="Input 2 4 2" xfId="894" xr:uid="{EB6425C2-5B44-421C-818E-481535BFEB05}"/>
    <cellStyle name="Input 2 5" xfId="692" xr:uid="{201AB679-755C-42F8-B3EB-0C823897131D}"/>
    <cellStyle name="Input 3" xfId="241" xr:uid="{2FFF1BC1-5476-4B71-BE22-C12491F90155}"/>
    <cellStyle name="Input 3 2" xfId="597" xr:uid="{C70B4C08-126C-43EA-A6E3-218F5E4E9211}"/>
    <cellStyle name="Input 3 2 2" xfId="812" xr:uid="{E2C60A26-C4A0-4306-97AC-3B0081BEA197}"/>
    <cellStyle name="Input 3 3" xfId="596" xr:uid="{46FFDE41-1373-43AF-B5C2-C70B79E10D8F}"/>
    <cellStyle name="Input 3 3 2" xfId="811" xr:uid="{9D1C3E7B-94F4-4AFC-93FE-F95776857C62}"/>
    <cellStyle name="Input 3 4" xfId="540" xr:uid="{BF2DA1E8-BAD5-40B9-89E6-337CB68100D9}"/>
    <cellStyle name="Input 3 4 2" xfId="755" xr:uid="{5EC130C6-37F7-4E30-84DE-60393953F795}"/>
    <cellStyle name="Input 3 5" xfId="698" xr:uid="{76FEEA57-62D4-4907-8151-826922F8399F}"/>
    <cellStyle name="Input 4" xfId="352" xr:uid="{DE12D792-EFBC-480D-ACE1-C89E5BFC80DE}"/>
    <cellStyle name="InputCells" xfId="17" xr:uid="{29F2F190-AFDA-497C-9DBC-5C4C28F7FB66}"/>
    <cellStyle name="InputCells 2" xfId="152" xr:uid="{F7467436-0566-4D69-BD0D-E3470AEC24B1}"/>
    <cellStyle name="InputCells 3" xfId="203" xr:uid="{7DE97103-302B-4333-8006-D4E507C50290}"/>
    <cellStyle name="InputCells 4" xfId="355" xr:uid="{8D5EAE2A-2ECB-4792-B10A-E3F6681538D2}"/>
    <cellStyle name="InputCells_Bborder_1" xfId="153" xr:uid="{26E49813-076F-4EC0-9D17-6F03043FC70F}"/>
    <cellStyle name="InputCells12" xfId="27" xr:uid="{A732D8B2-7F41-4F23-9083-703027AA8A09}"/>
    <cellStyle name="InputCells12 2" xfId="154" xr:uid="{C1F49C0D-8B42-450B-9AD7-C023223F4D7A}"/>
    <cellStyle name="InputCells12 2 2" xfId="429" xr:uid="{5F1AC044-710B-4653-A8A3-31125A36914E}"/>
    <cellStyle name="InputCells12 2 2 2" xfId="603" xr:uid="{B1EAD9E8-62EB-409C-9947-BA588DB99CF4}"/>
    <cellStyle name="InputCells12 2 2 2 2" xfId="818" xr:uid="{160CF34F-9901-4040-84EF-FC4BC0345263}"/>
    <cellStyle name="InputCells12 2 2 3" xfId="728" xr:uid="{23A18791-D981-48C8-8E83-938EF99CB5E1}"/>
    <cellStyle name="InputCells12 2 3" xfId="288" xr:uid="{90764D10-711A-4407-97ED-F0332EC959B0}"/>
    <cellStyle name="InputCells12 2 3 2" xfId="626" xr:uid="{D741D3E9-178C-4674-B7BD-2BA04C25CC47}"/>
    <cellStyle name="InputCells12 2 3 2 2" xfId="841" xr:uid="{F7F62A16-BFC8-408F-83BD-CDAC0F47C66F}"/>
    <cellStyle name="InputCells12 2 3 3" xfId="549" xr:uid="{8AB8B0D3-490C-4D89-B1BA-F8BC7555452C}"/>
    <cellStyle name="InputCells12 2 3 3 2" xfId="764" xr:uid="{BF89B8DC-ECB3-45D5-AC42-88466FC6C655}"/>
    <cellStyle name="InputCells12 2 3 4" xfId="665" xr:uid="{BF7A3268-FF26-4F46-87FA-89C621606F05}"/>
    <cellStyle name="InputCells12 2 3 4 2" xfId="880" xr:uid="{D7F93D4B-508E-4BE1-9756-A2E088406415}"/>
    <cellStyle name="InputCells12 3" xfId="428" xr:uid="{9EBB2005-E01D-4307-BEF7-D1D8DDF1FC86}"/>
    <cellStyle name="InputCells12 3 2" xfId="533" xr:uid="{9BF1426C-14C3-487C-9AEA-8844FAD6546A}"/>
    <cellStyle name="InputCells12 3 2 2" xfId="748" xr:uid="{E866323C-C64E-413F-ADB2-25D07CE4E12C}"/>
    <cellStyle name="InputCells12 3 3" xfId="727" xr:uid="{4880E21B-7F2A-4074-B9D1-F3BACEDA7741}"/>
    <cellStyle name="InputCells12 4" xfId="287" xr:uid="{B1E3932A-4203-4C66-92A3-3203058F1456}"/>
    <cellStyle name="InputCells12 4 2" xfId="625" xr:uid="{7132BA2E-99E0-45CC-BF94-E0C05DE72DD5}"/>
    <cellStyle name="InputCells12 4 2 2" xfId="840" xr:uid="{31882066-3A5E-482B-B0C4-046B63BD5797}"/>
    <cellStyle name="InputCells12 4 3" xfId="550" xr:uid="{C45A4447-E9EB-4B08-9E4E-EC75C8880AC5}"/>
    <cellStyle name="InputCells12 4 3 2" xfId="765" xr:uid="{AA11EDE3-592A-45E5-9C9E-6A7EF066B3BB}"/>
    <cellStyle name="InputCells12 4 4" xfId="524" xr:uid="{CE3BD4F1-4D20-4CA3-A610-9BBF35E75B71}"/>
    <cellStyle name="InputCells12 4 4 2" xfId="739" xr:uid="{2976C4BE-E9F2-4CB4-B22C-0C0005C77CC7}"/>
    <cellStyle name="InputCells12 5" xfId="82" xr:uid="{FC70E73C-3935-4BD0-9495-BD3B582F693A}"/>
    <cellStyle name="InputCells12_BBorder" xfId="33" xr:uid="{1985FF73-89A2-487D-B061-A98703E866D6}"/>
    <cellStyle name="IntCells" xfId="155" xr:uid="{C463E827-3C6B-47A3-A8DA-8137C8EBC513}"/>
    <cellStyle name="KP_thin_border_dark_grey" xfId="43" xr:uid="{86ABE460-72B7-4C89-A4A7-E36A67CA8E54}"/>
    <cellStyle name="Linked Cell 2" xfId="156" xr:uid="{6C9B9A08-387C-4115-95F1-9128A92F4792}"/>
    <cellStyle name="Linked Cell 3" xfId="242" xr:uid="{CADFE317-C47F-4519-83C8-E42E1B83F661}"/>
    <cellStyle name="Linked Cell 4" xfId="377" xr:uid="{8B246E4C-2F43-4F6C-A989-BC64E2ED9DEB}"/>
    <cellStyle name="Neutral 2" xfId="157" xr:uid="{1448593D-E6FC-4A56-9E31-77E7F02EE0A8}"/>
    <cellStyle name="Neutral 3" xfId="243" xr:uid="{F00F43A1-0121-4B44-9731-755BB57988FE}"/>
    <cellStyle name="Normaali 2" xfId="158" xr:uid="{1BA528B3-09E4-4CA8-8CE1-1FA275BAC19D}"/>
    <cellStyle name="Normaali 2 2" xfId="159" xr:uid="{05D3FE51-99B5-48D0-970A-56F3BFF9B977}"/>
    <cellStyle name="Normaallaad" xfId="0" builtinId="0"/>
    <cellStyle name="Normaallaad 2" xfId="7" xr:uid="{A054AF58-8AA1-4B20-A0D2-33EBC7212651}"/>
    <cellStyle name="Normal 10" xfId="380" xr:uid="{EDE8AA21-05F6-4782-B0D5-99055518655A}"/>
    <cellStyle name="Normal 10 2" xfId="449" xr:uid="{A547B2F1-A4E9-42C3-A827-C57CE1C47B46}"/>
    <cellStyle name="Normal 11" xfId="408" xr:uid="{3AF83F5D-F813-427D-9D9F-26AC71B1489E}"/>
    <cellStyle name="Normal 11 2" xfId="450" xr:uid="{B6DC2D32-826F-4C76-B984-1555A04F2D81}"/>
    <cellStyle name="Normal 12" xfId="519" xr:uid="{A0F6CA4E-0B26-4F15-A200-22D2C23EE4C9}"/>
    <cellStyle name="Normal 12 2" xfId="679" xr:uid="{A5F066C5-D265-4EBB-B505-E2C49A091D50}"/>
    <cellStyle name="Normal 2" xfId="11" xr:uid="{1B8097A6-28B6-4E0D-906F-D2A7B943980C}"/>
    <cellStyle name="Normal 2 2" xfId="160" xr:uid="{D92F0D95-0C8E-4C41-BA41-DD25C675AB5E}"/>
    <cellStyle name="Normal 2 2 2" xfId="161" xr:uid="{BE3DC17A-BC9B-48DD-87B0-0D531E06F67A}"/>
    <cellStyle name="Normal 2 3" xfId="162" xr:uid="{139A9F36-C199-4CC6-A136-59F5B2273776}"/>
    <cellStyle name="Normal 2 3 2" xfId="430" xr:uid="{E694474A-76F8-4A86-A37C-9BE58C83F30C}"/>
    <cellStyle name="Normal 2 4" xfId="48" xr:uid="{71F14717-1147-40CA-9243-D2098CE07EE0}"/>
    <cellStyle name="Normal 3" xfId="44" xr:uid="{FD3FB4A2-AA30-4399-BE1C-B59C2B6EAE7D}"/>
    <cellStyle name="Normal 3 2" xfId="163" xr:uid="{F2B2094E-3AC7-4024-9086-4F6D5627773D}"/>
    <cellStyle name="Normal 3 2 2" xfId="49" xr:uid="{38DBE535-2B98-4DE5-B869-D0E2D65BCCAC}"/>
    <cellStyle name="Normal 3 3" xfId="204" xr:uid="{03CABE7A-F33B-4CC2-B964-3333026B9EFE}"/>
    <cellStyle name="Normal 3 4" xfId="366" xr:uid="{0D6679C1-3EB9-4D54-B2C6-149CD5F0AC58}"/>
    <cellStyle name="Normal 4" xfId="164" xr:uid="{E6365531-8812-41BB-A184-074516103F62}"/>
    <cellStyle name="Normal 4 2" xfId="165" xr:uid="{A7D27DEB-E291-493F-9CEF-1D34A649EE73}"/>
    <cellStyle name="Normal 4 2 2" xfId="166" xr:uid="{C3AF6AAE-1C46-4930-8880-36097CE753E8}"/>
    <cellStyle name="Normal 4 2 3" xfId="431" xr:uid="{233CEB09-F613-49F0-A88F-5CDFA17A03D2}"/>
    <cellStyle name="Normal 4 3" xfId="205" xr:uid="{89841CC4-9664-4680-AC93-BA450E5D165C}"/>
    <cellStyle name="Normal 4 3 2" xfId="432" xr:uid="{136231C4-7DB1-4AB5-B589-3C81529EC9FB}"/>
    <cellStyle name="Normal 5" xfId="167" xr:uid="{AF926755-0A88-4EA0-96D5-5274B277EB4C}"/>
    <cellStyle name="Normal 5 2" xfId="298" xr:uid="{7345C197-3D97-4CE6-B73C-AD002155D2A3}"/>
    <cellStyle name="Normal 5 2 2" xfId="305" xr:uid="{22104BA1-71F9-41CD-91E0-59E97A55A02A}"/>
    <cellStyle name="Normal 5 2 2 2" xfId="311" xr:uid="{C15C5146-DBD5-4049-96C6-328846D71D74}"/>
    <cellStyle name="Normal 5 2 2 2 2" xfId="326" xr:uid="{AE541FD4-1931-48A0-B427-FD41F06599DA}"/>
    <cellStyle name="Normal 5 2 2 2 2 2" xfId="455" xr:uid="{A6C93D9B-7E63-454C-8AFC-B7F4C2DB1C81}"/>
    <cellStyle name="Normal 5 2 2 2 3" xfId="454" xr:uid="{BF3B8700-7428-4D0D-BDF0-0CA04D0B5D1C}"/>
    <cellStyle name="Normal 5 2 2 3" xfId="325" xr:uid="{19137363-16DA-49CC-9339-CAB63489C81D}"/>
    <cellStyle name="Normal 5 2 2 3 2" xfId="456" xr:uid="{9C9498E7-B132-4CCE-B223-89FFC5EA5CB2}"/>
    <cellStyle name="Normal 5 2 2 4" xfId="453" xr:uid="{86EF4E6B-EC26-4099-A5C7-A2A89E85EBC2}"/>
    <cellStyle name="Normal 5 2 3" xfId="310" xr:uid="{32C4804C-A190-461E-B40F-BAA87AE3D898}"/>
    <cellStyle name="Normal 5 2 3 2" xfId="327" xr:uid="{F10BF673-CA28-4C76-8DA3-ECA2EA10F36B}"/>
    <cellStyle name="Normal 5 2 3 2 2" xfId="458" xr:uid="{FB9447E6-425B-4F30-965A-1AC4CF9ADBD8}"/>
    <cellStyle name="Normal 5 2 3 3" xfId="457" xr:uid="{9370FA64-68BB-46AF-93EC-FA39FC9DB953}"/>
    <cellStyle name="Normal 5 2 4" xfId="324" xr:uid="{CE29DBFA-9195-4D3A-8C59-C150CE906691}"/>
    <cellStyle name="Normal 5 2 4 2" xfId="459" xr:uid="{ED42D548-7CA9-4380-9E07-3883342FE9A4}"/>
    <cellStyle name="Normal 5 2 5" xfId="433" xr:uid="{42AA864C-DB34-4AE9-A4DD-6455D28E5D6A}"/>
    <cellStyle name="Normal 5 2 5 2" xfId="460" xr:uid="{F3142D64-09D3-4484-9E88-2734D36E0CFB}"/>
    <cellStyle name="Normal 5 2 6" xfId="452" xr:uid="{3834BE3E-25B6-48DE-A3C5-9625014B4B1B}"/>
    <cellStyle name="Normal 5 3" xfId="302" xr:uid="{ECCB2CD9-C80E-45CB-B66A-4C410A838BBC}"/>
    <cellStyle name="Normal 5 3 2" xfId="312" xr:uid="{29861D43-514C-48C9-9835-4A58304471A6}"/>
    <cellStyle name="Normal 5 3 2 2" xfId="329" xr:uid="{3B21510E-EAF4-41CA-8A13-9FB1FF1F1096}"/>
    <cellStyle name="Normal 5 3 2 2 2" xfId="463" xr:uid="{0425B50C-D8FF-40D8-A07E-A227E091397A}"/>
    <cellStyle name="Normal 5 3 2 3" xfId="462" xr:uid="{DDC7401A-15A2-4BF5-96A8-8AE2D3380CB9}"/>
    <cellStyle name="Normal 5 3 3" xfId="328" xr:uid="{419A1D67-87DC-46CF-84DE-D739009C42CC}"/>
    <cellStyle name="Normal 5 3 3 2" xfId="464" xr:uid="{29E19376-E231-42DB-97CE-7A9A2BC5956B}"/>
    <cellStyle name="Normal 5 3 4" xfId="461" xr:uid="{FBED018B-85D0-4E32-BDE6-22AC9ECC7477}"/>
    <cellStyle name="Normal 5 4" xfId="309" xr:uid="{45C7F750-88B8-46B4-93A1-600D3AE142AD}"/>
    <cellStyle name="Normal 5 4 2" xfId="330" xr:uid="{C82976C2-400B-42F8-AC17-DC4778665B1B}"/>
    <cellStyle name="Normal 5 4 2 2" xfId="466" xr:uid="{2AC92736-BF7A-41CA-BF0A-9A507DE1FC07}"/>
    <cellStyle name="Normal 5 4 3" xfId="465" xr:uid="{A7013F47-0D2B-4193-B794-63483E42509C}"/>
    <cellStyle name="Normal 5 5" xfId="323" xr:uid="{78CA617C-3CBD-4306-AB2B-DA048D5DBAF5}"/>
    <cellStyle name="Normal 5 5 2" xfId="467" xr:uid="{403EFB87-4B00-46FB-8B6A-F3A73F9AE69E}"/>
    <cellStyle name="Normal 5 6" xfId="367" xr:uid="{EB425CF8-C082-4C49-9495-86D8F5596F40}"/>
    <cellStyle name="Normal 5 7" xfId="451" xr:uid="{030DB99A-EFC0-41E9-8F4B-12DC89713DB4}"/>
    <cellStyle name="Normal 5 8" xfId="289" xr:uid="{5712DFC3-0D6C-49FF-8446-49D63FF4581B}"/>
    <cellStyle name="Normal 6" xfId="168" xr:uid="{26ECEAFB-76C3-4672-AE1F-78DD0EFDCB80}"/>
    <cellStyle name="Normal 6 10" xfId="434" xr:uid="{19F63C48-013B-4091-9380-707CE3D47E6C}"/>
    <cellStyle name="Normal 6 10 2" xfId="469" xr:uid="{C660CEAD-E131-48CB-86E8-4643CCFAF8B6}"/>
    <cellStyle name="Normal 6 11" xfId="468" xr:uid="{7B8F3824-7AB0-4FFF-B9F1-33D0CAA4EBCB}"/>
    <cellStyle name="Normal 6 2" xfId="299" xr:uid="{910838BB-D190-4971-A3BE-33AB25EBF9A7}"/>
    <cellStyle name="Normal 6 2 2" xfId="306" xr:uid="{0A813DCB-AAEA-450E-8BCE-4F4CD9617ACE}"/>
    <cellStyle name="Normal 6 2 2 2" xfId="315" xr:uid="{C165860A-5885-4BE5-B724-AD9005157E3C}"/>
    <cellStyle name="Normal 6 2 2 2 2" xfId="334" xr:uid="{E7FFCEB8-B205-4BE9-9D0F-C86F65EBFCB2}"/>
    <cellStyle name="Normal 6 2 2 2 2 2" xfId="473" xr:uid="{F21CE87D-B9F6-4F1E-ADD9-CF881AD44821}"/>
    <cellStyle name="Normal 6 2 2 2 3" xfId="472" xr:uid="{6B272803-08C7-451D-8BF4-66A38B8B0B14}"/>
    <cellStyle name="Normal 6 2 2 3" xfId="333" xr:uid="{98985F7F-0A29-416F-B98E-43B8D5A8561D}"/>
    <cellStyle name="Normal 6 2 2 3 2" xfId="474" xr:uid="{1A7E5AAC-D919-4CB6-AEC0-27372DC427B2}"/>
    <cellStyle name="Normal 6 2 2 4" xfId="471" xr:uid="{DC879963-BD95-4CF1-AA31-696FB1E55D18}"/>
    <cellStyle name="Normal 6 2 3" xfId="314" xr:uid="{01C62CE7-6FF2-4594-92C8-49914D073FA5}"/>
    <cellStyle name="Normal 6 2 3 2" xfId="335" xr:uid="{A118368B-BC27-4F52-8E4E-A642C09EF389}"/>
    <cellStyle name="Normal 6 2 3 2 2" xfId="476" xr:uid="{7CD5B394-45D0-4D1C-9F34-F532DB554CC6}"/>
    <cellStyle name="Normal 6 2 3 3" xfId="475" xr:uid="{A2730EF6-5EEE-4267-B9A5-016010B60D78}"/>
    <cellStyle name="Normal 6 2 4" xfId="332" xr:uid="{1C1E3C64-B4A9-4391-BF98-92D2FEFFC59D}"/>
    <cellStyle name="Normal 6 2 4 2" xfId="477" xr:uid="{AA777E14-49BD-4C8C-9491-00330D801B3A}"/>
    <cellStyle name="Normal 6 2 5" xfId="435" xr:uid="{05B870B8-1745-4886-A26B-5EC252562690}"/>
    <cellStyle name="Normal 6 2 5 2" xfId="478" xr:uid="{9B39996F-F9B9-452D-A6E6-0B17555ABF3F}"/>
    <cellStyle name="Normal 6 2 6" xfId="470" xr:uid="{9DC657EC-ADF8-4192-8F15-21121715D9B4}"/>
    <cellStyle name="Normal 6 3" xfId="301" xr:uid="{3DE04651-63A5-4A55-A893-29EE30150B05}"/>
    <cellStyle name="Normal 6 3 2" xfId="308" xr:uid="{0AD04BB1-02C8-48ED-9CAA-D65342DF0AD5}"/>
    <cellStyle name="Normal 6 3 2 2" xfId="317" xr:uid="{D8B574A6-A647-4C61-9CB3-7FF1BB464F47}"/>
    <cellStyle name="Normal 6 3 2 2 2" xfId="338" xr:uid="{791FBC17-008E-4FE4-A867-0AB52C2943BB}"/>
    <cellStyle name="Normal 6 3 2 2 2 2" xfId="482" xr:uid="{349C6275-2AB2-456C-86CD-B62AF3358D06}"/>
    <cellStyle name="Normal 6 3 2 2 3" xfId="481" xr:uid="{8AA7768A-28AB-49CB-B86F-E6102A9D133D}"/>
    <cellStyle name="Normal 6 3 2 3" xfId="337" xr:uid="{94424220-F807-4A74-984D-5849D79339FF}"/>
    <cellStyle name="Normal 6 3 2 3 2" xfId="483" xr:uid="{C6C02FE8-5E2D-4AB8-BF36-BF46A27A228A}"/>
    <cellStyle name="Normal 6 3 2 4" xfId="480" xr:uid="{13E8D1CE-E183-49B4-86F9-2D7AA5874F76}"/>
    <cellStyle name="Normal 6 3 3" xfId="316" xr:uid="{4C7A27C7-8C48-4259-B395-6D62BD095FB7}"/>
    <cellStyle name="Normal 6 3 3 2" xfId="339" xr:uid="{791BA5FC-CE2E-415A-B4B5-8469518FA096}"/>
    <cellStyle name="Normal 6 3 3 2 2" xfId="485" xr:uid="{8B420370-4E14-48F8-9D4E-B094262C73D1}"/>
    <cellStyle name="Normal 6 3 3 3" xfId="484" xr:uid="{54E5F07C-020C-4F40-8ADC-35E2A11480A6}"/>
    <cellStyle name="Normal 6 3 4" xfId="336" xr:uid="{AF4A5DC4-C537-4A14-BCF1-D3C3FF82BC3D}"/>
    <cellStyle name="Normal 6 3 4 2" xfId="486" xr:uid="{DF8ADCBA-D28C-4F54-AD8A-C502AA8984DF}"/>
    <cellStyle name="Normal 6 3 5" xfId="479" xr:uid="{9A71D199-9753-4B37-B865-48BA8E704269}"/>
    <cellStyle name="Normal 6 4" xfId="303" xr:uid="{6689AFBF-1755-486C-8154-25BD21208CBB}"/>
    <cellStyle name="Normal 6 4 2" xfId="318" xr:uid="{F2E609A0-32E0-4068-8581-54DFF7CF273E}"/>
    <cellStyle name="Normal 6 4 2 2" xfId="341" xr:uid="{F0025000-70A1-4401-9A61-682FD97AA351}"/>
    <cellStyle name="Normal 6 4 2 2 2" xfId="489" xr:uid="{4718DD0B-90AD-4F22-B018-D7F8ABE6CA80}"/>
    <cellStyle name="Normal 6 4 2 3" xfId="488" xr:uid="{D5CE2472-93BE-4826-A709-449CF3EA1CE9}"/>
    <cellStyle name="Normal 6 4 3" xfId="340" xr:uid="{54F75F6A-3D66-4F95-9820-E71644D8EF60}"/>
    <cellStyle name="Normal 6 4 3 2" xfId="490" xr:uid="{27F47162-A1B5-41DF-8971-B0964754FA04}"/>
    <cellStyle name="Normal 6 4 4" xfId="487" xr:uid="{10A3C29F-A6BA-4825-998B-6E42CF22ACB1}"/>
    <cellStyle name="Normal 6 5" xfId="313" xr:uid="{ADFE8681-D81A-437B-B918-D0AE1DA98932}"/>
    <cellStyle name="Normal 6 5 2" xfId="342" xr:uid="{B89EEEE8-AF85-4B08-95B3-F6F49C397ED9}"/>
    <cellStyle name="Normal 6 5 2 2" xfId="492" xr:uid="{9D7992F0-7520-4D41-BFD8-0EAE6D4A9E78}"/>
    <cellStyle name="Normal 6 5 3" xfId="491" xr:uid="{D13A70F0-D94C-4A33-84B3-A13A30661485}"/>
    <cellStyle name="Normal 6 6" xfId="331" xr:uid="{C13B8486-FFDE-4099-8DA6-F7A031780422}"/>
    <cellStyle name="Normal 6 6 2" xfId="493" xr:uid="{F10FA641-08C5-482E-91C0-C00564D23687}"/>
    <cellStyle name="Normal 6 7" xfId="368" xr:uid="{AB70A6B4-2590-420B-A857-37CA148011B8}"/>
    <cellStyle name="Normal 6 7 2" xfId="494" xr:uid="{38D9EF21-7546-46CF-BEC3-6FEFECBA0407}"/>
    <cellStyle name="Normal 6 8" xfId="404" xr:uid="{A53E62C0-5ED3-42A0-8D76-5F77B5086B04}"/>
    <cellStyle name="Normal 6 8 2" xfId="495" xr:uid="{45A53BAB-85E8-43A7-B452-216082A72E07}"/>
    <cellStyle name="Normal 6 9" xfId="407" xr:uid="{01DB5820-08F1-41CE-BA61-47417284A7D5}"/>
    <cellStyle name="Normal 6 9 2" xfId="496" xr:uid="{8D9A94E0-73B9-4F88-BBED-9EBE915F71B8}"/>
    <cellStyle name="Normal 7" xfId="42" xr:uid="{D1FF5F67-A980-4C0D-89AD-8C734A5BD9AB}"/>
    <cellStyle name="Normal 7 2" xfId="300" xr:uid="{1DD33485-9477-493C-A90B-B39D8E43D74B}"/>
    <cellStyle name="Normal 7 2 2" xfId="307" xr:uid="{9600CF22-1DBC-4E58-B54D-3CE8436AF934}"/>
    <cellStyle name="Normal 7 2 2 2" xfId="321" xr:uid="{F957FD37-A5F7-4E6B-9D46-88DB99BE710C}"/>
    <cellStyle name="Normal 7 2 2 2 2" xfId="346" xr:uid="{CD6FD5F0-D30E-4FC2-8204-6DECD927FC86}"/>
    <cellStyle name="Normal 7 2 2 2 2 2" xfId="501" xr:uid="{2AFD3CC4-BA6D-4C3A-9476-0B28C49D972B}"/>
    <cellStyle name="Normal 7 2 2 2 3" xfId="500" xr:uid="{D462E9AE-5099-468A-8217-D4BE448E2425}"/>
    <cellStyle name="Normal 7 2 2 3" xfId="345" xr:uid="{8BA3C95B-AC90-4A5A-A43B-7A10FCFDDEE1}"/>
    <cellStyle name="Normal 7 2 2 3 2" xfId="502" xr:uid="{7FC6CCF3-B972-40DB-BEA6-826192E4A6C0}"/>
    <cellStyle name="Normal 7 2 2 4" xfId="499" xr:uid="{2740B3F6-1218-44E8-8CCA-0001AF50CD96}"/>
    <cellStyle name="Normal 7 2 3" xfId="320" xr:uid="{4CA73C1C-F7E4-4823-B4AC-0EDD5209AAED}"/>
    <cellStyle name="Normal 7 2 3 2" xfId="347" xr:uid="{DC1E9D79-59D3-448D-8E09-9AC442C00ADB}"/>
    <cellStyle name="Normal 7 2 3 2 2" xfId="504" xr:uid="{E1395A30-2422-4DBC-9408-686DC807E942}"/>
    <cellStyle name="Normal 7 2 3 3" xfId="503" xr:uid="{2414EBC6-9056-4C35-AB8A-11DE55FA97DB}"/>
    <cellStyle name="Normal 7 2 4" xfId="344" xr:uid="{BBA303F4-6759-446C-92C2-6B6A96218A07}"/>
    <cellStyle name="Normal 7 2 4 2" xfId="505" xr:uid="{53760729-ADE8-4A61-A2F4-C1124C7E84B0}"/>
    <cellStyle name="Normal 7 2 5" xfId="436" xr:uid="{695DCA9F-FCB1-4E47-A59E-51509D8B62B7}"/>
    <cellStyle name="Normal 7 2 5 2" xfId="506" xr:uid="{190C8CA7-6B4B-48D9-808C-3EB4406C4816}"/>
    <cellStyle name="Normal 7 2 6" xfId="498" xr:uid="{5FDC4AE0-641B-4FE0-81E4-873A982A05DE}"/>
    <cellStyle name="Normal 7 3" xfId="304" xr:uid="{D1CEB045-A5A9-4407-835A-F930A9548A29}"/>
    <cellStyle name="Normal 7 3 2" xfId="322" xr:uid="{60A1256D-AE9B-47E2-AAB4-C7D04A671579}"/>
    <cellStyle name="Normal 7 3 2 2" xfId="349" xr:uid="{BCB87710-8253-4A68-9A4A-B3205409DC2B}"/>
    <cellStyle name="Normal 7 3 2 2 2" xfId="509" xr:uid="{E1624EA0-9FA7-4E24-8870-508DA2659005}"/>
    <cellStyle name="Normal 7 3 2 3" xfId="508" xr:uid="{8655C9BD-1762-461C-B052-559CB52DA126}"/>
    <cellStyle name="Normal 7 3 3" xfId="348" xr:uid="{5C892047-8FAC-4BFA-AB3E-6DD219FDAB13}"/>
    <cellStyle name="Normal 7 3 3 2" xfId="510" xr:uid="{993B8711-2ED9-4E6E-A054-127ACD79BD9C}"/>
    <cellStyle name="Normal 7 3 4" xfId="507" xr:uid="{632D3A45-51AF-4DB6-992A-A5780130A6FE}"/>
    <cellStyle name="Normal 7 4" xfId="319" xr:uid="{8509FB43-6CFA-403C-9DA0-914CBAF2CA2E}"/>
    <cellStyle name="Normal 7 4 2" xfId="350" xr:uid="{23901478-DF62-4061-923D-4BF88152D138}"/>
    <cellStyle name="Normal 7 4 2 2" xfId="512" xr:uid="{9FFDAD0E-E9AC-4224-B206-DB2D0A22287F}"/>
    <cellStyle name="Normal 7 4 3" xfId="511" xr:uid="{B83D1B9A-0AAA-4D19-80B3-CF849BAFD00E}"/>
    <cellStyle name="Normal 7 5" xfId="343" xr:uid="{99BB0627-70B0-41E8-949A-F458A05382AB}"/>
    <cellStyle name="Normal 7 5 2" xfId="513" xr:uid="{E8C1CF27-1156-43EA-8C7D-810A58867D1C}"/>
    <cellStyle name="Normal 7 6" xfId="356" xr:uid="{9A7EA3D8-CFD9-4154-80FC-A72AD0C9CE7B}"/>
    <cellStyle name="Normal 7 7" xfId="497" xr:uid="{B7BA75CE-8F62-4F8A-8BCA-A3A145D18778}"/>
    <cellStyle name="Normal 7 8" xfId="297" xr:uid="{0540BD7C-585A-432F-A6E9-E1653D6155C3}"/>
    <cellStyle name="Normal 8" xfId="244" xr:uid="{A9916B99-DF90-4C85-853B-D98651C21E93}"/>
    <cellStyle name="Normal 8 2" xfId="438" xr:uid="{8AB6E046-17C4-44B1-AB17-43220929701A}"/>
    <cellStyle name="Normal 8 3" xfId="437" xr:uid="{956B7FAA-EC59-42A6-9961-3473706F2B70}"/>
    <cellStyle name="Normal 9" xfId="351" xr:uid="{685CAB72-A8CC-404D-8137-BC3EE96608BF}"/>
    <cellStyle name="Normal 9 2" xfId="514" xr:uid="{AD1A14D8-5B30-421B-A657-17A7BC951833}"/>
    <cellStyle name="Normal GHG Numbers (0.00)" xfId="169" xr:uid="{4A2F0445-75FB-4C51-8447-BC7D82EAD6D1}"/>
    <cellStyle name="Normal GHG Numbers (0.00) 2" xfId="170" xr:uid="{30F802F3-7873-429B-9902-9C6B2617F618}"/>
    <cellStyle name="Normal GHG Numbers (0.00) 3" xfId="45" xr:uid="{37C10FEE-ADEE-40B1-A399-B8F19E2EC60B}"/>
    <cellStyle name="Normal GHG Numbers (0.00) 3 2" xfId="439" xr:uid="{B5145A02-84F9-490A-ADE6-9406A5DD3378}"/>
    <cellStyle name="Normal GHG Numbers (0.00) 3 2 2" xfId="588" xr:uid="{52B86AD3-1900-4AD9-91B8-9D21D03ECB0A}"/>
    <cellStyle name="Normal GHG Numbers (0.00) 3 2 2 2" xfId="803" xr:uid="{8BD6C58D-8179-4715-B277-694C663D5E41}"/>
    <cellStyle name="Normal GHG Numbers (0.00) 3 2 3" xfId="729" xr:uid="{18FD3926-2EC1-4141-9BB1-69A6775A4C10}"/>
    <cellStyle name="Normal GHG Numbers (0.00) 3 3" xfId="369" xr:uid="{66AE6E1A-1663-4567-9C10-94199BFB349D}"/>
    <cellStyle name="Normal GHG Numbers (0.00) 3 3 2" xfId="647" xr:uid="{0B5D7251-9CDE-46F5-9950-A34917F51D67}"/>
    <cellStyle name="Normal GHG Numbers (0.00) 3 3 2 2" xfId="862" xr:uid="{2D0B1F78-C00E-4CE6-8E04-9CF111270B82}"/>
    <cellStyle name="Normal GHG Numbers (0.00) 3 3 3" xfId="544" xr:uid="{FE9504E5-66AC-4D3F-A3F5-926418A0E000}"/>
    <cellStyle name="Normal GHG Numbers (0.00) 3 3 3 2" xfId="759" xr:uid="{F70317B0-0C69-47BB-8A46-E11C0BDD121E}"/>
    <cellStyle name="Normal GHG Numbers (0.00) 3 3 4" xfId="677" xr:uid="{B4F1A32E-7674-43D2-888B-74FBAB598F83}"/>
    <cellStyle name="Normal GHG Numbers (0.00) 3 3 4 2" xfId="892" xr:uid="{A4CDF9A8-D028-4DFD-8766-1B6B4F9012F2}"/>
    <cellStyle name="Normal GHG Numbers (0.00) 3 4" xfId="171" xr:uid="{5F7801A6-524B-4C71-AB88-434DFCA37AC7}"/>
    <cellStyle name="Normal GHG Textfiels Bold" xfId="12" xr:uid="{C8123DB4-829C-4E2D-87E3-792C1A269C59}"/>
    <cellStyle name="Normal GHG Textfiels Bold 2" xfId="172" xr:uid="{F2A3E08C-8B90-42C3-8C37-60B2EEAC4575}"/>
    <cellStyle name="Normal GHG Textfiels Bold 3" xfId="173" xr:uid="{22D32792-A85D-4842-B25D-80277B1ECFD2}"/>
    <cellStyle name="Normal GHG Textfiels Bold 3 2" xfId="440" xr:uid="{4B6D3B60-CFF0-4B58-9792-B752FE8AA382}"/>
    <cellStyle name="Normal GHG Textfiels Bold 3 2 2" xfId="532" xr:uid="{06142B74-7DD0-4C74-9FB9-22F1A75B089A}"/>
    <cellStyle name="Normal GHG Textfiels Bold 3 2 2 2" xfId="747" xr:uid="{1ABEBABE-82ED-4ABB-BC9A-3785ADB72A03}"/>
    <cellStyle name="Normal GHG Textfiels Bold 3 2 3" xfId="730" xr:uid="{A5EC9D00-EC2F-4CCF-A83F-A21739B63E63}"/>
    <cellStyle name="Normal GHG Textfiels Bold 3 3" xfId="370" xr:uid="{5377ABAB-911C-468D-9538-C69AACEFDC23}"/>
    <cellStyle name="Normal GHG Textfiels Bold 3 3 2" xfId="648" xr:uid="{D4C8B95C-B855-4C54-9AB8-09E8D1F9C44D}"/>
    <cellStyle name="Normal GHG Textfiels Bold 3 3 2 2" xfId="863" xr:uid="{9CE0973B-466B-48B3-8252-25B63084C601}"/>
    <cellStyle name="Normal GHG Textfiels Bold 3 3 3" xfId="591" xr:uid="{DF81EECB-AD89-4E4A-97EE-48625269ED7D}"/>
    <cellStyle name="Normal GHG Textfiels Bold 3 3 3 2" xfId="806" xr:uid="{08A98135-04C0-4B3B-83E6-F464C141EC64}"/>
    <cellStyle name="Normal GHG Textfiels Bold 3 3 4" xfId="566" xr:uid="{4A5A5B30-BF67-4866-B18A-90F6A7C0DB30}"/>
    <cellStyle name="Normal GHG Textfiels Bold 3 3 4 2" xfId="781" xr:uid="{52C1A747-341C-4DDD-A150-61B8CBCA00EB}"/>
    <cellStyle name="Normal GHG whole table" xfId="21" xr:uid="{43C4DC41-5027-4224-99BB-DF25B65952FF}"/>
    <cellStyle name="Normal GHG whole table 2" xfId="441" xr:uid="{D533A0FC-6008-4101-A26C-27EF036C9C47}"/>
    <cellStyle name="Normal GHG whole table 2 2" xfId="587" xr:uid="{383CE6D2-1B2C-44FF-9AB8-FE4392EF69B4}"/>
    <cellStyle name="Normal GHG whole table 2 2 2" xfId="802" xr:uid="{4BBC5A34-9F6D-4FDB-8C85-2C9C8EC97F84}"/>
    <cellStyle name="Normal GHG whole table 2 3" xfId="731" xr:uid="{29EC41EF-F512-41F3-9DFA-D0E7B294916D}"/>
    <cellStyle name="Normal GHG whole table 3" xfId="290" xr:uid="{FE52EFB4-9A27-4084-BDC8-F1E0FC3732A9}"/>
    <cellStyle name="Normal GHG whole table 3 2" xfId="627" xr:uid="{5532DB08-26C9-413F-A6D2-CB5A9DAA540B}"/>
    <cellStyle name="Normal GHG whole table 3 2 2" xfId="842" xr:uid="{3B234CFE-055F-44C0-9441-39BFF8315946}"/>
    <cellStyle name="Normal GHG whole table 3 3" xfId="548" xr:uid="{D0453F4A-86BE-4F01-B1B7-9BD765F884E4}"/>
    <cellStyle name="Normal GHG whole table 3 3 2" xfId="763" xr:uid="{2E42EC80-C9F2-46B5-B710-507D26A82E05}"/>
    <cellStyle name="Normal GHG whole table 3 4" xfId="635" xr:uid="{D6F48A3E-D9E3-4759-8214-08440A0A1A2B}"/>
    <cellStyle name="Normal GHG whole table 3 4 2" xfId="850" xr:uid="{60CB0D9E-CAC2-474D-A865-7138A733D2F8}"/>
    <cellStyle name="Normal GHG whole table 4" xfId="77" xr:uid="{5C6A8FE9-1C74-447E-80DC-C4265A7FBE5A}"/>
    <cellStyle name="Normal GHG-Shade" xfId="19" xr:uid="{BE0E6CDC-2454-41EA-B62C-E2EEE6716B5D}"/>
    <cellStyle name="Normal GHG-Shade 2" xfId="174" xr:uid="{7EA60399-DC15-4797-98BF-41679D7E43B3}"/>
    <cellStyle name="Normal GHG-Shade 2 2" xfId="175" xr:uid="{E1704B9F-D242-4DE4-8B7C-47A64DFE8DB2}"/>
    <cellStyle name="Normal GHG-Shade 2 3" xfId="176" xr:uid="{0B7B4D4E-05D1-4FB2-B975-10DA603C5146}"/>
    <cellStyle name="Normal GHG-Shade 2 4" xfId="206" xr:uid="{FA5C3649-6C2B-4023-9C52-5CB0B24334BC}"/>
    <cellStyle name="Normal GHG-Shade 2 5" xfId="371" xr:uid="{FEE380E3-213D-4317-9754-9801A428AABD}"/>
    <cellStyle name="Normal GHG-Shade 3" xfId="177" xr:uid="{B3B2B31B-7AF0-479D-ADB6-A6BE1EA0CE46}"/>
    <cellStyle name="Normal GHG-Shade 3 2" xfId="178" xr:uid="{5F9A3892-2190-412E-AE49-DD6EA56F4945}"/>
    <cellStyle name="Normal GHG-Shade 4" xfId="179" xr:uid="{3C6D130C-1FB1-4633-9B8F-3B2AEC483FCC}"/>
    <cellStyle name="Normal GHG-Shade 4 2" xfId="442" xr:uid="{E18EFBF4-EF0B-4118-BFB1-AB66DB725CC6}"/>
    <cellStyle name="Normál_Munka1" xfId="34" xr:uid="{E5C10291-6EF3-4BAE-89DA-40E60AE3CF00}"/>
    <cellStyle name="Note 2" xfId="180" xr:uid="{89FB8124-3197-4424-B702-6466BF5688DA}"/>
    <cellStyle name="Note 2 2" xfId="570" xr:uid="{F2BF1710-37FD-45FE-B0CB-622088163481}"/>
    <cellStyle name="Note 2 2 2" xfId="785" xr:uid="{5D462650-5020-4384-A727-74753A7DFEDA}"/>
    <cellStyle name="Note 2 3" xfId="634" xr:uid="{D3392108-5B74-4920-9AD0-3BE6DD333243}"/>
    <cellStyle name="Note 2 3 2" xfId="849" xr:uid="{0AF92BC9-9BCE-4E27-9638-682E1B3B6CD2}"/>
    <cellStyle name="Note 2 4" xfId="529" xr:uid="{4630BEF1-04D4-4E85-BCE8-D233725BD4A7}"/>
    <cellStyle name="Note 2 4 2" xfId="744" xr:uid="{A4B589CE-1BD7-4BB1-A365-5589DFBBDCFE}"/>
    <cellStyle name="Note 2 5" xfId="693" xr:uid="{7EF6195B-7AF1-4489-B835-064AFF087672}"/>
    <cellStyle name="Note 3" xfId="245" xr:uid="{D23BE214-8022-48CE-A70A-38312F033237}"/>
    <cellStyle name="Note 3 2" xfId="598" xr:uid="{C44BCEAF-9B22-4C59-AEAD-0939AB33D891}"/>
    <cellStyle name="Note 3 2 2" xfId="813" xr:uid="{994994BD-6154-4B6E-A09F-FF127FDDAE0D}"/>
    <cellStyle name="Note 3 3" xfId="564" xr:uid="{EFE37727-D9CC-496E-981F-F4DBD5FAB171}"/>
    <cellStyle name="Note 3 3 2" xfId="779" xr:uid="{710FC00E-FEA6-438F-AC19-272F07ADC2A0}"/>
    <cellStyle name="Note 3 4" xfId="582" xr:uid="{892FFEE2-E64C-49EC-B9B1-D46F987C208D}"/>
    <cellStyle name="Note 3 4 2" xfId="797" xr:uid="{6F9497E7-5D12-442A-8A27-5F7CF39667EF}"/>
    <cellStyle name="Note 3 5" xfId="699" xr:uid="{87F41684-C79F-4A6B-B572-A6A70D5E443B}"/>
    <cellStyle name="Notiz" xfId="181" xr:uid="{0E05E4B9-B952-4C05-BD75-B5943D043CC1}"/>
    <cellStyle name="Notiz 2" xfId="571" xr:uid="{F6F4507E-ED16-4F46-B4AF-54427291E6EE}"/>
    <cellStyle name="Notiz 2 2" xfId="786" xr:uid="{36EDA1CC-F0C4-455A-B04F-5DE1BBECBA32}"/>
    <cellStyle name="Notiz 3" xfId="633" xr:uid="{26BEBDAC-8FE0-4CA6-8EC0-009677B8465D}"/>
    <cellStyle name="Notiz 3 2" xfId="848" xr:uid="{0CC68EB2-D37F-4E77-8E0A-9179C680DB35}"/>
    <cellStyle name="Notiz 4" xfId="602" xr:uid="{00E2E709-0701-4D0E-A8E4-7E04960D1F01}"/>
    <cellStyle name="Notiz 4 2" xfId="817" xr:uid="{0EB78EBA-51FD-4DF4-BF47-F054EF8B864D}"/>
    <cellStyle name="Notiz 5" xfId="694" xr:uid="{DAAFA484-56EC-4F36-A94B-5AEB25394AF1}"/>
    <cellStyle name="Odd" xfId="949" xr:uid="{B6B10CEF-616E-4865-84E4-0F537EE46C8E}"/>
    <cellStyle name="Output 2" xfId="182" xr:uid="{1F481BE1-E379-4F36-AF3B-B3F2D6D73BC9}"/>
    <cellStyle name="Output 2 2" xfId="572" xr:uid="{50D1DE85-B669-47BE-B442-5C13F11F4637}"/>
    <cellStyle name="Output 2 2 2" xfId="787" xr:uid="{90480D0D-CEA9-49D2-B0C9-88E9C6847424}"/>
    <cellStyle name="Output 2 3" xfId="668" xr:uid="{C33FACC9-5BD6-4858-8270-40719BFEDA6C}"/>
    <cellStyle name="Output 2 3 2" xfId="883" xr:uid="{20E961C1-BAA8-40C7-AD4E-A0922F4E4A15}"/>
    <cellStyle name="Output 2 4" xfId="695" xr:uid="{4DE7CC54-20F5-49EA-BB13-EA0047D85432}"/>
    <cellStyle name="Output 3" xfId="246" xr:uid="{010F240C-2AED-45C5-B5C3-71F0D4724DB6}"/>
    <cellStyle name="Output 3 2" xfId="599" xr:uid="{289DE748-0BA3-418A-8CAB-513B12C982BE}"/>
    <cellStyle name="Output 3 2 2" xfId="814" xr:uid="{6603EB20-D9F1-40DC-9BCB-66D07814A9E9}"/>
    <cellStyle name="Output 3 3" xfId="650" xr:uid="{0076197D-C6DA-4D02-AE8D-28D94240A55C}"/>
    <cellStyle name="Output 3 3 2" xfId="865" xr:uid="{F39C6BE9-6931-4C94-BF18-404105DE2AC7}"/>
    <cellStyle name="Output 3 4" xfId="700" xr:uid="{CB9DB7E7-AA39-4FA3-BD2A-615447B93F72}"/>
    <cellStyle name="Pattern" xfId="183" xr:uid="{CD52E328-9999-492B-B56E-87C8F95026C8}"/>
    <cellStyle name="Pattern 2" xfId="443" xr:uid="{548ED8AB-DCCB-4B65-81B4-E60EF200CE41}"/>
    <cellStyle name="Pattern 2 2" xfId="586" xr:uid="{FB3FE80A-CEA8-4AFD-B46B-6213D625854C}"/>
    <cellStyle name="Pattern 2 2 2" xfId="801" xr:uid="{4AAAEDE2-F8B2-43C3-A06E-ACAD541228FF}"/>
    <cellStyle name="Pattern 2 3" xfId="732" xr:uid="{C42775FD-4053-43B2-9D46-EC27B7420EA2}"/>
    <cellStyle name="Pattern 3" xfId="292" xr:uid="{E1DB1BC7-1E49-4967-BBD5-219E23F5970D}"/>
    <cellStyle name="Pattern 3 2" xfId="629" xr:uid="{072D43D1-DE48-43CD-B1FE-F46692C9C1C4}"/>
    <cellStyle name="Pattern 3 2 2" xfId="844" xr:uid="{963AA70F-0DAC-4578-832A-C10D4D1A6344}"/>
    <cellStyle name="Pattern 3 3" xfId="528" xr:uid="{C3191A86-2FCF-4557-A8F7-46068A84B765}"/>
    <cellStyle name="Pattern 3 3 2" xfId="743" xr:uid="{3FBB77B4-B9BA-4949-A065-569AD902BB47}"/>
    <cellStyle name="Pattern 3 4" xfId="642" xr:uid="{EDDC3731-D45D-4AF6-84D4-14B68BAEFCF2}"/>
    <cellStyle name="Pattern 3 4 2" xfId="857" xr:uid="{F65F0EAA-298C-4459-B7C8-D7ECE2245A0C}"/>
    <cellStyle name="Percent 2" xfId="184" xr:uid="{5E220F1B-5966-481E-B565-C71C689DECFA}"/>
    <cellStyle name="Percent 2 2" xfId="444" xr:uid="{D819CCCD-E5E7-4605-941A-C06DE9D248A9}"/>
    <cellStyle name="Protsent" xfId="6" builtinId="5"/>
    <cellStyle name="RowLevel_1 2" xfId="87" xr:uid="{4E7789FB-49FA-4B4E-A8EB-1C2E05735581}"/>
    <cellStyle name="Schlecht" xfId="185" xr:uid="{20450F51-D282-44A2-91C1-6F25C6DA8CAB}"/>
    <cellStyle name="Shade" xfId="30" xr:uid="{5EFC2D28-C8EA-4F6F-B4C1-CA64DD7A51FA}"/>
    <cellStyle name="Shade 2" xfId="186" xr:uid="{179B2F8D-E2B9-451F-BF2B-C0FC3A2A8A53}"/>
    <cellStyle name="Shade 2 2" xfId="446" xr:uid="{EE073A20-6FE7-4E8C-8539-5599D3EEFCBA}"/>
    <cellStyle name="Shade 2 2 2" xfId="531" xr:uid="{77EF2BB9-2477-4696-941F-B35E4308DFDA}"/>
    <cellStyle name="Shade 2 2 2 2" xfId="746" xr:uid="{04B371B1-D1D7-4A4C-8A0F-B38996342219}"/>
    <cellStyle name="Shade 2 2 3" xfId="734" xr:uid="{D7439FB3-D9A5-4FF5-A3E2-43190C24291D}"/>
    <cellStyle name="Shade 2 3" xfId="294" xr:uid="{296D5ABD-E58F-42A1-A8C7-1101D0D1E71E}"/>
    <cellStyle name="Shade 2 3 2" xfId="631" xr:uid="{6D363862-8616-4313-AE1A-9F8EBE33718E}"/>
    <cellStyle name="Shade 2 3 2 2" xfId="846" xr:uid="{8155B987-1653-45B5-9922-48D36FEDB5D3}"/>
    <cellStyle name="Shade 2 3 3" xfId="660" xr:uid="{BE8EDC5B-8C4A-4A7E-92C5-209112BED9C6}"/>
    <cellStyle name="Shade 2 3 3 2" xfId="875" xr:uid="{63F4DB95-C5FC-4889-8BD0-95E1A523C58C}"/>
    <cellStyle name="Shade 2 3 4" xfId="574" xr:uid="{9AA60D99-E30A-4417-AC14-EFD0380574EE}"/>
    <cellStyle name="Shade 2 3 4 2" xfId="789" xr:uid="{3932EA04-11FE-45CC-B939-D47279B5931A}"/>
    <cellStyle name="Shade 3" xfId="445" xr:uid="{9BE29C0C-FD98-4DB1-8262-34DA4843FAAC}"/>
    <cellStyle name="Shade 3 2" xfId="585" xr:uid="{10DB33A8-50AC-41A8-A9E5-790E4B2069E7}"/>
    <cellStyle name="Shade 3 2 2" xfId="800" xr:uid="{1919C8B5-844D-452D-BBFA-F44B8B891056}"/>
    <cellStyle name="Shade 3 3" xfId="733" xr:uid="{D7BE8D47-5796-4E3F-841C-B137B47BBC61}"/>
    <cellStyle name="Shade 4" xfId="293" xr:uid="{C54B0A9A-BC68-421D-8B08-2F07885A8687}"/>
    <cellStyle name="Shade 4 2" xfId="52" xr:uid="{92C4F86A-8868-48B3-BBF4-74D646F627EC}"/>
    <cellStyle name="Shade 4 2 2" xfId="630" xr:uid="{78405F98-8172-4455-9F7F-1BF4BA135FF4}"/>
    <cellStyle name="Shade 4 2 3" xfId="845" xr:uid="{F527BA71-B370-4BD8-94E8-84D5CB9C45CE}"/>
    <cellStyle name="Shade 4 3" xfId="659" xr:uid="{3B616170-3FA0-472C-A3E5-7EA62F081738}"/>
    <cellStyle name="Shade 4 3 2" xfId="874" xr:uid="{C9946411-CF95-4CD2-9643-EF692D0CA2F8}"/>
    <cellStyle name="Shade 4 4" xfId="521" xr:uid="{76873C2A-97AC-4D80-85C6-45DF0AE01053}"/>
    <cellStyle name="Shade 4 4 2" xfId="736" xr:uid="{B0426B94-0E27-4C64-92D1-DF22900E6E94}"/>
    <cellStyle name="Shade 5" xfId="84" xr:uid="{6FB2439C-C9A9-439A-B4D1-7C313C8C5D03}"/>
    <cellStyle name="Shade_B_border2" xfId="187" xr:uid="{0E61D681-E2C1-475A-A968-69C5F110915B}"/>
    <cellStyle name="Sisend" xfId="4" builtinId="20"/>
    <cellStyle name="Standard 2" xfId="5" xr:uid="{15689B4B-B037-4F91-A963-84A542B83994}"/>
    <cellStyle name="Standard 2 2" xfId="406" xr:uid="{7AD505AE-A077-4EE7-8F14-7340D701155F}"/>
    <cellStyle name="Standard 2 2 2" xfId="516" xr:uid="{C20BD646-4C46-4AC8-820E-3F14FB7D7536}"/>
    <cellStyle name="Standard 2 3" xfId="515" xr:uid="{2ADAC7B1-8DBC-47E5-AED2-CF3B99528E45}"/>
    <cellStyle name="Standard 2 4" xfId="50" xr:uid="{F87DF8FF-4098-40B2-B7FD-C29477E37CF9}"/>
    <cellStyle name="Zelle überprüfen" xfId="197" xr:uid="{3F1BE8A6-466A-41B3-AA72-CB3CB42E8D9A}"/>
    <cellStyle name="Title 2" xfId="188" xr:uid="{CEDFCA2D-4756-499A-9D53-8AAB8A228274}"/>
    <cellStyle name="Title 3" xfId="247" xr:uid="{50902206-9BF1-4825-8D21-5234209CC886}"/>
    <cellStyle name="Total 2" xfId="189" xr:uid="{10856D22-77FE-4D3B-A6A2-955C08F9424A}"/>
    <cellStyle name="Total 2 2" xfId="576" xr:uid="{F347726E-B41A-4346-8561-4B55988DAE28}"/>
    <cellStyle name="Total 2 2 2" xfId="791" xr:uid="{59517E43-137D-45FA-9BEB-2D5C7C80C262}"/>
    <cellStyle name="Total 2 3" xfId="637" xr:uid="{B34BEA82-AF3F-4032-A832-761928722FB7}"/>
    <cellStyle name="Total 2 3 2" xfId="852" xr:uid="{F8E30A4C-5466-46FD-9551-8DC06F44CCB9}"/>
    <cellStyle name="Total 2 4" xfId="525" xr:uid="{9DF5169A-14CE-4E65-A13B-F97192A29866}"/>
    <cellStyle name="Total 2 4 2" xfId="740" xr:uid="{DDBF066C-D6E3-428A-A626-9A70CC25C713}"/>
    <cellStyle name="Total 2 5" xfId="696" xr:uid="{2DA16296-3F66-4CC4-99ED-5C0D5E456DD6}"/>
    <cellStyle name="Total 3" xfId="248" xr:uid="{644A682E-162F-478F-AC4D-F1D0A1029B8B}"/>
    <cellStyle name="Total 3 2" xfId="600" xr:uid="{51FDF12E-70AA-4B8B-9051-F30BF8484432}"/>
    <cellStyle name="Total 3 2 2" xfId="815" xr:uid="{16BCE98A-C764-4222-8A3B-C6AB7A27B7ED}"/>
    <cellStyle name="Total 3 3" xfId="563" xr:uid="{23EEB265-C4DC-43DE-92DB-ABEDF23892C3}"/>
    <cellStyle name="Total 3 3 2" xfId="778" xr:uid="{FA4993A3-B15D-403D-9531-70278F4ABD02}"/>
    <cellStyle name="Total 3 4" xfId="604" xr:uid="{F0E473BE-3808-4A0C-8507-9F6F9E5422DC}"/>
    <cellStyle name="Total 3 4 2" xfId="819" xr:uid="{8E220571-D36B-41F3-A513-BBF42BE719AC}"/>
    <cellStyle name="Total 3 5" xfId="701" xr:uid="{91B8B890-7CE1-40D2-9C88-58A4740F5A3A}"/>
    <cellStyle name="Warnender Text" xfId="56" hidden="1" xr:uid="{3A804D25-BBA7-4C2C-A556-9150F84AEE7A}"/>
    <cellStyle name="Warnender Text" xfId="904" hidden="1" xr:uid="{21EB89A0-0818-46EA-9121-AF51EBE9A431}"/>
    <cellStyle name="Warnender Text" xfId="925" hidden="1" xr:uid="{55ECC68B-74CB-44E2-B33F-014B8F1FC3C2}"/>
    <cellStyle name="Warnender Text 2" xfId="405" xr:uid="{4C880FDE-1754-404D-8CF8-F86ACCA71C34}"/>
    <cellStyle name="Warnender Text 3" xfId="296" xr:uid="{0DB4E980-F278-4C43-823E-D13C633315CF}"/>
    <cellStyle name="Warning Text 2" xfId="196" xr:uid="{432D97CF-E991-429A-8311-5D7AD3C9C34E}"/>
    <cellStyle name="Warning Text 3" xfId="249" xr:uid="{313C088E-B171-49A3-ABE4-7552542F1A8D}"/>
    <cellStyle name="Verknüpfte Zelle" xfId="195" xr:uid="{F491270F-86CA-4F6C-A761-8A307806C7D0}"/>
    <cellStyle name="Überschrift" xfId="190" xr:uid="{8AA13F65-E9C8-41E8-A069-6A5C914490F7}"/>
    <cellStyle name="Überschrift 1" xfId="191" xr:uid="{B55F8C25-00B9-4148-85E1-E6C73F4FF756}"/>
    <cellStyle name="Überschrift 2" xfId="192" xr:uid="{B94990C1-B6B2-4E07-A3BB-C244D6523420}"/>
    <cellStyle name="Überschrift 3" xfId="193" xr:uid="{7B57BFAB-7215-411B-B6FB-17E4C2E32CFC}"/>
    <cellStyle name="Überschrift 4" xfId="194" xr:uid="{691C3845-1EDA-4EF8-A908-4A6B1662322D}"/>
    <cellStyle name="Гиперссылка" xfId="198" xr:uid="{81EB325F-6150-48EF-9141-9210B0481C43}"/>
    <cellStyle name="Гиперссылка 2" xfId="199" xr:uid="{801A1389-1722-4CA8-B6BA-FA81A4C77F8C}"/>
    <cellStyle name="Гиперссылка 3" xfId="207" xr:uid="{B1D6EAFC-16A6-4BDA-A5A8-5D180C446F8B}"/>
    <cellStyle name="Гиперссылка 4" xfId="379" xr:uid="{16C01B56-EA13-48AF-8F64-75EE15C08142}"/>
    <cellStyle name="Обычный_2++" xfId="39" xr:uid="{90369B30-7ACF-47A5-8AC3-CAD8F8E0CED1}"/>
    <cellStyle name="Обычный_CRF2002 (1)" xfId="18" xr:uid="{03DAEE1F-D147-4DFF-8C35-40FCFB99E05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AF3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0</xdr:rowOff>
    </xdr:from>
    <xdr:to>
      <xdr:col>1</xdr:col>
      <xdr:colOff>152400</xdr:colOff>
      <xdr:row>21</xdr:row>
      <xdr:rowOff>152400</xdr:rowOff>
    </xdr:to>
    <xdr:pic>
      <xdr:nvPicPr>
        <xdr:cNvPr id="2" name="Pilt 1" descr="docx-faili ikoo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5429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79</xdr:row>
          <xdr:rowOff>68580</xdr:rowOff>
        </xdr:from>
        <xdr:to>
          <xdr:col>5</xdr:col>
          <xdr:colOff>281940</xdr:colOff>
          <xdr:row>102</xdr:row>
          <xdr:rowOff>15240</xdr:rowOff>
        </xdr:to>
        <xdr:sp macro="" textlink="">
          <xdr:nvSpPr>
            <xdr:cNvPr id="20483" name="Object 3" hidden="1">
              <a:extLst>
                <a:ext uri="{63B3BB69-23CF-44E3-9099-C40C66FF867C}">
                  <a14:compatExt spid="_x0000_s20483"/>
                </a:ext>
                <a:ext uri="{FF2B5EF4-FFF2-40B4-BE49-F238E27FC236}">
                  <a16:creationId xmlns:a16="http://schemas.microsoft.com/office/drawing/2014/main" id="{00000000-0008-0000-0400-0000035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19050</xdr:colOff>
      <xdr:row>1</xdr:row>
      <xdr:rowOff>28575</xdr:rowOff>
    </xdr:from>
    <xdr:to>
      <xdr:col>15</xdr:col>
      <xdr:colOff>9524</xdr:colOff>
      <xdr:row>25</xdr:row>
      <xdr:rowOff>152399</xdr:rowOff>
    </xdr:to>
    <xdr:grpSp>
      <xdr:nvGrpSpPr>
        <xdr:cNvPr id="2" name="Group 4">
          <a:extLst>
            <a:ext uri="{FF2B5EF4-FFF2-40B4-BE49-F238E27FC236}">
              <a16:creationId xmlns:a16="http://schemas.microsoft.com/office/drawing/2014/main" id="{00000000-0008-0000-0900-000002000000}"/>
            </a:ext>
          </a:extLst>
        </xdr:cNvPr>
        <xdr:cNvGrpSpPr/>
      </xdr:nvGrpSpPr>
      <xdr:grpSpPr>
        <a:xfrm>
          <a:off x="617764" y="213632"/>
          <a:ext cx="8372474" cy="4565196"/>
          <a:chOff x="628650" y="1362075"/>
          <a:chExt cx="8524874" cy="4695824"/>
        </a:xfrm>
      </xdr:grpSpPr>
      <xdr:sp macro="" textlink="">
        <xdr:nvSpPr>
          <xdr:cNvPr id="3" name="Rectangle 51">
            <a:extLst>
              <a:ext uri="{FF2B5EF4-FFF2-40B4-BE49-F238E27FC236}">
                <a16:creationId xmlns:a16="http://schemas.microsoft.com/office/drawing/2014/main" id="{00000000-0008-0000-0900-000003000000}"/>
              </a:ext>
            </a:extLst>
          </xdr:cNvPr>
          <xdr:cNvSpPr/>
        </xdr:nvSpPr>
        <xdr:spPr>
          <a:xfrm>
            <a:off x="628650" y="1362075"/>
            <a:ext cx="8524874" cy="46958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 name="Rectangle: Rounded Corners 52">
            <a:extLst>
              <a:ext uri="{FF2B5EF4-FFF2-40B4-BE49-F238E27FC236}">
                <a16:creationId xmlns:a16="http://schemas.microsoft.com/office/drawing/2014/main" id="{00000000-0008-0000-0900-000004000000}"/>
              </a:ext>
            </a:extLst>
          </xdr:cNvPr>
          <xdr:cNvSpPr/>
        </xdr:nvSpPr>
        <xdr:spPr>
          <a:xfrm>
            <a:off x="6438899" y="5314949"/>
            <a:ext cx="1028700" cy="5048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GB" sz="1200"/>
              <a:t>Catalysts</a:t>
            </a:r>
          </a:p>
        </xdr:txBody>
      </xdr:sp>
      <xdr:sp macro="" textlink="">
        <xdr:nvSpPr>
          <xdr:cNvPr id="5" name="Rectangle: Rounded Corners 53">
            <a:extLst>
              <a:ext uri="{FF2B5EF4-FFF2-40B4-BE49-F238E27FC236}">
                <a16:creationId xmlns:a16="http://schemas.microsoft.com/office/drawing/2014/main" id="{00000000-0008-0000-0900-000005000000}"/>
              </a:ext>
            </a:extLst>
          </xdr:cNvPr>
          <xdr:cNvSpPr/>
        </xdr:nvSpPr>
        <xdr:spPr>
          <a:xfrm>
            <a:off x="4786312" y="4267199"/>
            <a:ext cx="800099" cy="569983"/>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200"/>
              <a:t>CO</a:t>
            </a:r>
            <a:r>
              <a:rPr lang="en-GB" sz="1200" baseline="-25000"/>
              <a:t>2</a:t>
            </a:r>
            <a:r>
              <a:rPr lang="en-GB" sz="1200"/>
              <a:t> capture</a:t>
            </a:r>
          </a:p>
        </xdr:txBody>
      </xdr:sp>
      <xdr:sp macro="" textlink="">
        <xdr:nvSpPr>
          <xdr:cNvPr id="6" name="Rectangle: Rounded Corners 54">
            <a:extLst>
              <a:ext uri="{FF2B5EF4-FFF2-40B4-BE49-F238E27FC236}">
                <a16:creationId xmlns:a16="http://schemas.microsoft.com/office/drawing/2014/main" id="{00000000-0008-0000-0900-000006000000}"/>
              </a:ext>
            </a:extLst>
          </xdr:cNvPr>
          <xdr:cNvSpPr/>
        </xdr:nvSpPr>
        <xdr:spPr>
          <a:xfrm>
            <a:off x="4786312" y="2009774"/>
            <a:ext cx="800099" cy="514350"/>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GB" sz="1200"/>
              <a:t>Gasifier</a:t>
            </a:r>
          </a:p>
        </xdr:txBody>
      </xdr:sp>
      <xdr:sp macro="" textlink="">
        <xdr:nvSpPr>
          <xdr:cNvPr id="7" name="Rectangle: Rounded Corners 55">
            <a:extLst>
              <a:ext uri="{FF2B5EF4-FFF2-40B4-BE49-F238E27FC236}">
                <a16:creationId xmlns:a16="http://schemas.microsoft.com/office/drawing/2014/main" id="{00000000-0008-0000-0900-000007000000}"/>
              </a:ext>
            </a:extLst>
          </xdr:cNvPr>
          <xdr:cNvSpPr/>
        </xdr:nvSpPr>
        <xdr:spPr>
          <a:xfrm>
            <a:off x="3257549" y="1685924"/>
            <a:ext cx="5715002" cy="3381375"/>
          </a:xfrm>
          <a:prstGeom prst="roundRect">
            <a:avLst/>
          </a:prstGeom>
          <a:noFill/>
          <a:ln>
            <a:solidFill>
              <a:schemeClr val="accent2"/>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8" name="Connector: Elbow 56">
            <a:extLst>
              <a:ext uri="{FF2B5EF4-FFF2-40B4-BE49-F238E27FC236}">
                <a16:creationId xmlns:a16="http://schemas.microsoft.com/office/drawing/2014/main" id="{00000000-0008-0000-0900-000008000000}"/>
              </a:ext>
            </a:extLst>
          </xdr:cNvPr>
          <xdr:cNvCxnSpPr>
            <a:stCxn id="6" idx="3"/>
          </xdr:cNvCxnSpPr>
        </xdr:nvCxnSpPr>
        <xdr:spPr>
          <a:xfrm>
            <a:off x="5586411" y="2266949"/>
            <a:ext cx="881063" cy="838200"/>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9" name="Connector: Elbow 57">
            <a:extLst>
              <a:ext uri="{FF2B5EF4-FFF2-40B4-BE49-F238E27FC236}">
                <a16:creationId xmlns:a16="http://schemas.microsoft.com/office/drawing/2014/main" id="{00000000-0008-0000-0900-000009000000}"/>
              </a:ext>
            </a:extLst>
          </xdr:cNvPr>
          <xdr:cNvCxnSpPr>
            <a:stCxn id="5" idx="3"/>
          </xdr:cNvCxnSpPr>
        </xdr:nvCxnSpPr>
        <xdr:spPr>
          <a:xfrm flipV="1">
            <a:off x="5586411" y="3695700"/>
            <a:ext cx="882000" cy="856491"/>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0" name="Straight Arrow Connector 58">
            <a:extLst>
              <a:ext uri="{FF2B5EF4-FFF2-40B4-BE49-F238E27FC236}">
                <a16:creationId xmlns:a16="http://schemas.microsoft.com/office/drawing/2014/main" id="{00000000-0008-0000-0900-00000A000000}"/>
              </a:ext>
            </a:extLst>
          </xdr:cNvPr>
          <xdr:cNvCxnSpPr>
            <a:stCxn id="41" idx="3"/>
            <a:endCxn id="42" idx="1"/>
          </xdr:cNvCxnSpPr>
        </xdr:nvCxnSpPr>
        <xdr:spPr>
          <a:xfrm>
            <a:off x="7434262" y="3386137"/>
            <a:ext cx="4762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1" name="Straight Arrow Connector 59">
            <a:extLst>
              <a:ext uri="{FF2B5EF4-FFF2-40B4-BE49-F238E27FC236}">
                <a16:creationId xmlns:a16="http://schemas.microsoft.com/office/drawing/2014/main" id="{00000000-0008-0000-0900-00000B000000}"/>
              </a:ext>
            </a:extLst>
          </xdr:cNvPr>
          <xdr:cNvCxnSpPr>
            <a:endCxn id="41" idx="2"/>
          </xdr:cNvCxnSpPr>
        </xdr:nvCxnSpPr>
        <xdr:spPr>
          <a:xfrm flipV="1">
            <a:off x="6953249" y="3752850"/>
            <a:ext cx="1" cy="15525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2" name="Straight Arrow Connector 60">
            <a:extLst>
              <a:ext uri="{FF2B5EF4-FFF2-40B4-BE49-F238E27FC236}">
                <a16:creationId xmlns:a16="http://schemas.microsoft.com/office/drawing/2014/main" id="{00000000-0008-0000-0900-00000C000000}"/>
              </a:ext>
            </a:extLst>
          </xdr:cNvPr>
          <xdr:cNvCxnSpPr>
            <a:stCxn id="38" idx="3"/>
            <a:endCxn id="5" idx="1"/>
          </xdr:cNvCxnSpPr>
        </xdr:nvCxnSpPr>
        <xdr:spPr>
          <a:xfrm>
            <a:off x="2952749" y="4529549"/>
            <a:ext cx="1833563" cy="2264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3" name="Straight Arrow Connector 61">
            <a:extLst>
              <a:ext uri="{FF2B5EF4-FFF2-40B4-BE49-F238E27FC236}">
                <a16:creationId xmlns:a16="http://schemas.microsoft.com/office/drawing/2014/main" id="{00000000-0008-0000-0900-00000D000000}"/>
              </a:ext>
            </a:extLst>
          </xdr:cNvPr>
          <xdr:cNvCxnSpPr/>
        </xdr:nvCxnSpPr>
        <xdr:spPr>
          <a:xfrm flipV="1">
            <a:off x="4438649" y="2524125"/>
            <a:ext cx="411281" cy="60959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4" name="Straight Arrow Connector 62">
            <a:extLst>
              <a:ext uri="{FF2B5EF4-FFF2-40B4-BE49-F238E27FC236}">
                <a16:creationId xmlns:a16="http://schemas.microsoft.com/office/drawing/2014/main" id="{00000000-0008-0000-0900-00000E000000}"/>
              </a:ext>
            </a:extLst>
          </xdr:cNvPr>
          <xdr:cNvCxnSpPr/>
        </xdr:nvCxnSpPr>
        <xdr:spPr>
          <a:xfrm flipH="1" flipV="1">
            <a:off x="4438649" y="3648074"/>
            <a:ext cx="409576" cy="628651"/>
          </a:xfrm>
          <a:prstGeom prst="straightConnector1">
            <a:avLst/>
          </a:prstGeom>
          <a:ln>
            <a:headEnd type="triangle"/>
            <a:tailEnd type="none"/>
          </a:ln>
        </xdr:spPr>
        <xdr:style>
          <a:lnRef idx="1">
            <a:schemeClr val="dk1"/>
          </a:lnRef>
          <a:fillRef idx="0">
            <a:schemeClr val="dk1"/>
          </a:fillRef>
          <a:effectRef idx="0">
            <a:schemeClr val="dk1"/>
          </a:effectRef>
          <a:fontRef idx="minor">
            <a:schemeClr val="tx1"/>
          </a:fontRef>
        </xdr:style>
      </xdr:cxnSp>
      <xdr:sp macro="" textlink="">
        <xdr:nvSpPr>
          <xdr:cNvPr id="15" name="TextBox 14">
            <a:extLst>
              <a:ext uri="{FF2B5EF4-FFF2-40B4-BE49-F238E27FC236}">
                <a16:creationId xmlns:a16="http://schemas.microsoft.com/office/drawing/2014/main" id="{00000000-0008-0000-0900-00000F000000}"/>
              </a:ext>
            </a:extLst>
          </xdr:cNvPr>
          <xdr:cNvSpPr txBox="1"/>
        </xdr:nvSpPr>
        <xdr:spPr>
          <a:xfrm>
            <a:off x="4286249" y="2619373"/>
            <a:ext cx="4857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i="1"/>
              <a:t>heat</a:t>
            </a:r>
          </a:p>
        </xdr:txBody>
      </xdr:sp>
      <xdr:sp macro="" textlink="">
        <xdr:nvSpPr>
          <xdr:cNvPr id="16" name="TextBox 15">
            <a:extLst>
              <a:ext uri="{FF2B5EF4-FFF2-40B4-BE49-F238E27FC236}">
                <a16:creationId xmlns:a16="http://schemas.microsoft.com/office/drawing/2014/main" id="{00000000-0008-0000-0900-000010000000}"/>
              </a:ext>
            </a:extLst>
          </xdr:cNvPr>
          <xdr:cNvSpPr txBox="1"/>
        </xdr:nvSpPr>
        <xdr:spPr>
          <a:xfrm>
            <a:off x="4238624" y="3867148"/>
            <a:ext cx="4857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i="1"/>
              <a:t>heat</a:t>
            </a:r>
          </a:p>
        </xdr:txBody>
      </xdr:sp>
      <xdr:sp macro="" textlink="">
        <xdr:nvSpPr>
          <xdr:cNvPr id="17" name="TextBox 16">
            <a:extLst>
              <a:ext uri="{FF2B5EF4-FFF2-40B4-BE49-F238E27FC236}">
                <a16:creationId xmlns:a16="http://schemas.microsoft.com/office/drawing/2014/main" id="{00000000-0008-0000-0900-000011000000}"/>
              </a:ext>
            </a:extLst>
          </xdr:cNvPr>
          <xdr:cNvSpPr txBox="1"/>
        </xdr:nvSpPr>
        <xdr:spPr>
          <a:xfrm>
            <a:off x="5981699" y="3838574"/>
            <a:ext cx="9620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100" i="1"/>
              <a:t>concentrated CO</a:t>
            </a:r>
            <a:r>
              <a:rPr lang="en-GB" sz="1100" i="1" baseline="-25000"/>
              <a:t>2</a:t>
            </a:r>
          </a:p>
        </xdr:txBody>
      </xdr:sp>
      <xdr:sp macro="" textlink="">
        <xdr:nvSpPr>
          <xdr:cNvPr id="18" name="TextBox 17">
            <a:extLst>
              <a:ext uri="{FF2B5EF4-FFF2-40B4-BE49-F238E27FC236}">
                <a16:creationId xmlns:a16="http://schemas.microsoft.com/office/drawing/2014/main" id="{00000000-0008-0000-0900-000012000000}"/>
              </a:ext>
            </a:extLst>
          </xdr:cNvPr>
          <xdr:cNvSpPr txBox="1"/>
        </xdr:nvSpPr>
        <xdr:spPr>
          <a:xfrm>
            <a:off x="5981699" y="2486024"/>
            <a:ext cx="762000" cy="4952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100" i="1"/>
              <a:t>syngas (H</a:t>
            </a:r>
            <a:r>
              <a:rPr lang="en-GB" sz="1100" i="1" baseline="-25000"/>
              <a:t>2</a:t>
            </a:r>
            <a:r>
              <a:rPr lang="en-GB" sz="1100" i="1"/>
              <a:t> + CO)</a:t>
            </a:r>
          </a:p>
        </xdr:txBody>
      </xdr:sp>
      <xdr:cxnSp macro="">
        <xdr:nvCxnSpPr>
          <xdr:cNvPr id="19" name="Straight Arrow Connector 67">
            <a:extLst>
              <a:ext uri="{FF2B5EF4-FFF2-40B4-BE49-F238E27FC236}">
                <a16:creationId xmlns:a16="http://schemas.microsoft.com/office/drawing/2014/main" id="{00000000-0008-0000-0900-000013000000}"/>
              </a:ext>
            </a:extLst>
          </xdr:cNvPr>
          <xdr:cNvCxnSpPr>
            <a:stCxn id="35" idx="3"/>
            <a:endCxn id="6" idx="1"/>
          </xdr:cNvCxnSpPr>
        </xdr:nvCxnSpPr>
        <xdr:spPr>
          <a:xfrm>
            <a:off x="2952749" y="2261774"/>
            <a:ext cx="1833563" cy="51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nvGrpSpPr>
          <xdr:cNvPr id="20" name="Group 68">
            <a:extLst>
              <a:ext uri="{FF2B5EF4-FFF2-40B4-BE49-F238E27FC236}">
                <a16:creationId xmlns:a16="http://schemas.microsoft.com/office/drawing/2014/main" id="{00000000-0008-0000-0900-000014000000}"/>
              </a:ext>
            </a:extLst>
          </xdr:cNvPr>
          <xdr:cNvGrpSpPr/>
        </xdr:nvGrpSpPr>
        <xdr:grpSpPr>
          <a:xfrm>
            <a:off x="6472237" y="2047875"/>
            <a:ext cx="2400300" cy="2781299"/>
            <a:chOff x="5995988" y="13325476"/>
            <a:chExt cx="2400300" cy="2781299"/>
          </a:xfrm>
        </xdr:grpSpPr>
        <xdr:sp macro="" textlink="">
          <xdr:nvSpPr>
            <xdr:cNvPr id="41" name="Rectangle: Rounded Corners 89">
              <a:extLst>
                <a:ext uri="{FF2B5EF4-FFF2-40B4-BE49-F238E27FC236}">
                  <a16:creationId xmlns:a16="http://schemas.microsoft.com/office/drawing/2014/main" id="{00000000-0008-0000-0900-000029000000}"/>
                </a:ext>
              </a:extLst>
            </xdr:cNvPr>
            <xdr:cNvSpPr/>
          </xdr:nvSpPr>
          <xdr:spPr>
            <a:xfrm>
              <a:off x="5995988" y="14297025"/>
              <a:ext cx="962025" cy="733426"/>
            </a:xfrm>
            <a:prstGeom prst="roundRect">
              <a:avLst/>
            </a:prstGeom>
            <a:gradFill>
              <a:gsLst>
                <a:gs pos="50000">
                  <a:schemeClr val="accent6">
                    <a:lumMod val="60000"/>
                    <a:lumOff val="40000"/>
                  </a:schemeClr>
                </a:gs>
                <a:gs pos="0">
                  <a:schemeClr val="accent6"/>
                </a:gs>
                <a:gs pos="50000">
                  <a:schemeClr val="accent1">
                    <a:lumMod val="45000"/>
                    <a:lumOff val="55000"/>
                  </a:schemeClr>
                </a:gs>
                <a:gs pos="50000">
                  <a:schemeClr val="accent3"/>
                </a:gs>
                <a:gs pos="100000">
                  <a:schemeClr val="accent3">
                    <a:lumMod val="75000"/>
                  </a:schemeClr>
                </a:gs>
              </a:gsLst>
              <a:lin ang="5400000" scaled="1"/>
            </a:gra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GB" sz="1200"/>
                <a:t>Methanol synthesiser</a:t>
              </a:r>
            </a:p>
          </xdr:txBody>
        </xdr:sp>
        <xdr:sp macro="" textlink="">
          <xdr:nvSpPr>
            <xdr:cNvPr id="42" name="Rectangle: Rounded Corners 90">
              <a:extLst>
                <a:ext uri="{FF2B5EF4-FFF2-40B4-BE49-F238E27FC236}">
                  <a16:creationId xmlns:a16="http://schemas.microsoft.com/office/drawing/2014/main" id="{00000000-0008-0000-0900-00002A000000}"/>
                </a:ext>
              </a:extLst>
            </xdr:cNvPr>
            <xdr:cNvSpPr/>
          </xdr:nvSpPr>
          <xdr:spPr>
            <a:xfrm>
              <a:off x="7434263" y="14297025"/>
              <a:ext cx="962025" cy="733426"/>
            </a:xfrm>
            <a:prstGeom prst="roundRect">
              <a:avLst/>
            </a:prstGeom>
            <a:gradFill>
              <a:gsLst>
                <a:gs pos="50000">
                  <a:schemeClr val="accent6">
                    <a:lumMod val="60000"/>
                    <a:lumOff val="40000"/>
                  </a:schemeClr>
                </a:gs>
                <a:gs pos="0">
                  <a:schemeClr val="accent6"/>
                </a:gs>
                <a:gs pos="50000">
                  <a:schemeClr val="accent1">
                    <a:lumMod val="45000"/>
                    <a:lumOff val="55000"/>
                  </a:schemeClr>
                </a:gs>
                <a:gs pos="50000">
                  <a:schemeClr val="accent3"/>
                </a:gs>
                <a:gs pos="100000">
                  <a:schemeClr val="accent3">
                    <a:lumMod val="75000"/>
                  </a:schemeClr>
                </a:gs>
              </a:gsLst>
              <a:lin ang="5400000" scaled="1"/>
            </a:gra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GB" sz="1200"/>
                <a:t>Methanol end-of-life</a:t>
              </a:r>
            </a:p>
          </xdr:txBody>
        </xdr:sp>
        <xdr:cxnSp macro="">
          <xdr:nvCxnSpPr>
            <xdr:cNvPr id="43" name="Straight Arrow Connector 91">
              <a:extLst>
                <a:ext uri="{FF2B5EF4-FFF2-40B4-BE49-F238E27FC236}">
                  <a16:creationId xmlns:a16="http://schemas.microsoft.com/office/drawing/2014/main" id="{00000000-0008-0000-0900-00002B000000}"/>
                </a:ext>
              </a:extLst>
            </xdr:cNvPr>
            <xdr:cNvCxnSpPr/>
          </xdr:nvCxnSpPr>
          <xdr:spPr>
            <a:xfrm flipH="1" flipV="1">
              <a:off x="7734300" y="13716000"/>
              <a:ext cx="180976" cy="57960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xnSp macro="">
          <xdr:nvCxnSpPr>
            <xdr:cNvPr id="44" name="Straight Arrow Connector 92">
              <a:extLst>
                <a:ext uri="{FF2B5EF4-FFF2-40B4-BE49-F238E27FC236}">
                  <a16:creationId xmlns:a16="http://schemas.microsoft.com/office/drawing/2014/main" id="{00000000-0008-0000-0900-00002C000000}"/>
                </a:ext>
              </a:extLst>
            </xdr:cNvPr>
            <xdr:cNvCxnSpPr>
              <a:cxnSpLocks/>
              <a:endCxn id="42" idx="2"/>
            </xdr:cNvCxnSpPr>
          </xdr:nvCxnSpPr>
          <xdr:spPr>
            <a:xfrm flipV="1">
              <a:off x="7734300" y="15030451"/>
              <a:ext cx="180976" cy="581025"/>
            </a:xfrm>
            <a:prstGeom prst="straightConnector1">
              <a:avLst/>
            </a:prstGeom>
            <a:ln w="38100">
              <a:headEnd type="triangle"/>
              <a:tailEnd type="none"/>
            </a:ln>
          </xdr:spPr>
          <xdr:style>
            <a:lnRef idx="1">
              <a:schemeClr val="dk1"/>
            </a:lnRef>
            <a:fillRef idx="0">
              <a:schemeClr val="dk1"/>
            </a:fillRef>
            <a:effectRef idx="0">
              <a:schemeClr val="dk1"/>
            </a:effectRef>
            <a:fontRef idx="minor">
              <a:schemeClr val="tx1"/>
            </a:fontRef>
          </xdr:style>
        </xdr:cxnSp>
        <xdr:sp macro="" textlink="">
          <xdr:nvSpPr>
            <xdr:cNvPr id="45" name="TextBox 44">
              <a:extLst>
                <a:ext uri="{FF2B5EF4-FFF2-40B4-BE49-F238E27FC236}">
                  <a16:creationId xmlns:a16="http://schemas.microsoft.com/office/drawing/2014/main" id="{00000000-0008-0000-0900-00002D000000}"/>
                </a:ext>
              </a:extLst>
            </xdr:cNvPr>
            <xdr:cNvSpPr txBox="1"/>
          </xdr:nvSpPr>
          <xdr:spPr>
            <a:xfrm>
              <a:off x="6867525" y="15525750"/>
              <a:ext cx="971550"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i="1"/>
                <a:t>Non-biogenic CO</a:t>
              </a:r>
              <a:r>
                <a:rPr lang="en-GB" sz="1100" i="1" baseline="-25000"/>
                <a:t>2</a:t>
              </a:r>
            </a:p>
          </xdr:txBody>
        </xdr:sp>
        <xdr:sp macro="" textlink="">
          <xdr:nvSpPr>
            <xdr:cNvPr id="46" name="TextBox 45">
              <a:extLst>
                <a:ext uri="{FF2B5EF4-FFF2-40B4-BE49-F238E27FC236}">
                  <a16:creationId xmlns:a16="http://schemas.microsoft.com/office/drawing/2014/main" id="{00000000-0008-0000-0900-00002E000000}"/>
                </a:ext>
              </a:extLst>
            </xdr:cNvPr>
            <xdr:cNvSpPr txBox="1"/>
          </xdr:nvSpPr>
          <xdr:spPr>
            <a:xfrm>
              <a:off x="6667500" y="13325476"/>
              <a:ext cx="143827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i="1"/>
                <a:t>Biogenic CO</a:t>
              </a:r>
              <a:r>
                <a:rPr lang="en-GB" sz="1100" i="1" baseline="-25000"/>
                <a:t>2</a:t>
              </a:r>
            </a:p>
          </xdr:txBody>
        </xdr:sp>
        <xdr:cxnSp macro="">
          <xdr:nvCxnSpPr>
            <xdr:cNvPr id="47" name="Straight Arrow Connector 95">
              <a:extLst>
                <a:ext uri="{FF2B5EF4-FFF2-40B4-BE49-F238E27FC236}">
                  <a16:creationId xmlns:a16="http://schemas.microsoft.com/office/drawing/2014/main" id="{00000000-0008-0000-0900-00002F000000}"/>
                </a:ext>
              </a:extLst>
            </xdr:cNvPr>
            <xdr:cNvCxnSpPr/>
          </xdr:nvCxnSpPr>
          <xdr:spPr>
            <a:xfrm flipV="1">
              <a:off x="6755607" y="13725525"/>
              <a:ext cx="302418" cy="5667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48" name="Straight Arrow Connector 96">
              <a:extLst>
                <a:ext uri="{FF2B5EF4-FFF2-40B4-BE49-F238E27FC236}">
                  <a16:creationId xmlns:a16="http://schemas.microsoft.com/office/drawing/2014/main" id="{00000000-0008-0000-0900-000030000000}"/>
                </a:ext>
              </a:extLst>
            </xdr:cNvPr>
            <xdr:cNvCxnSpPr/>
          </xdr:nvCxnSpPr>
          <xdr:spPr>
            <a:xfrm flipH="1" flipV="1">
              <a:off x="6765133" y="15035213"/>
              <a:ext cx="302400" cy="566737"/>
            </a:xfrm>
            <a:prstGeom prst="straightConnector1">
              <a:avLst/>
            </a:prstGeom>
            <a:ln>
              <a:headEnd type="triangle"/>
              <a:tailEnd type="none"/>
            </a:ln>
          </xdr:spPr>
          <xdr:style>
            <a:lnRef idx="1">
              <a:schemeClr val="dk1"/>
            </a:lnRef>
            <a:fillRef idx="0">
              <a:schemeClr val="dk1"/>
            </a:fillRef>
            <a:effectRef idx="0">
              <a:schemeClr val="dk1"/>
            </a:effectRef>
            <a:fontRef idx="minor">
              <a:schemeClr val="tx1"/>
            </a:fontRef>
          </xdr:style>
        </xdr:cxnSp>
      </xdr:grpSp>
      <xdr:sp macro="" textlink="">
        <xdr:nvSpPr>
          <xdr:cNvPr id="21" name="Rectangle: Rounded Corners 71">
            <a:extLst>
              <a:ext uri="{FF2B5EF4-FFF2-40B4-BE49-F238E27FC236}">
                <a16:creationId xmlns:a16="http://schemas.microsoft.com/office/drawing/2014/main" id="{00000000-0008-0000-0900-000015000000}"/>
              </a:ext>
            </a:extLst>
          </xdr:cNvPr>
          <xdr:cNvSpPr/>
        </xdr:nvSpPr>
        <xdr:spPr>
          <a:xfrm>
            <a:off x="3276600" y="3130763"/>
            <a:ext cx="1301749" cy="551332"/>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200"/>
              <a:t>Boiler (</a:t>
            </a:r>
            <a:r>
              <a:rPr lang="et-EE" sz="1200"/>
              <a:t>bio</a:t>
            </a:r>
            <a:r>
              <a:rPr lang="en-GB" sz="1200" baseline="0"/>
              <a:t>gas</a:t>
            </a:r>
            <a:r>
              <a:rPr lang="et-EE" sz="1200" baseline="0"/>
              <a:t>/biomass</a:t>
            </a:r>
            <a:r>
              <a:rPr lang="en-GB" sz="1200" baseline="0"/>
              <a:t>)</a:t>
            </a:r>
            <a:endParaRPr lang="en-GB" sz="1200"/>
          </a:p>
        </xdr:txBody>
      </xdr:sp>
      <xdr:cxnSp macro="">
        <xdr:nvCxnSpPr>
          <xdr:cNvPr id="22" name="Straight Arrow Connector 72">
            <a:extLst>
              <a:ext uri="{FF2B5EF4-FFF2-40B4-BE49-F238E27FC236}">
                <a16:creationId xmlns:a16="http://schemas.microsoft.com/office/drawing/2014/main" id="{00000000-0008-0000-0900-000016000000}"/>
              </a:ext>
            </a:extLst>
          </xdr:cNvPr>
          <xdr:cNvCxnSpPr/>
        </xdr:nvCxnSpPr>
        <xdr:spPr>
          <a:xfrm>
            <a:off x="3733799" y="2776535"/>
            <a:ext cx="38100" cy="342900"/>
          </a:xfrm>
          <a:prstGeom prst="straightConnector1">
            <a:avLst/>
          </a:prstGeom>
          <a:ln>
            <a:headEnd type="triangle"/>
            <a:tailEnd type="none"/>
          </a:ln>
        </xdr:spPr>
        <xdr:style>
          <a:lnRef idx="1">
            <a:schemeClr val="dk1"/>
          </a:lnRef>
          <a:fillRef idx="0">
            <a:schemeClr val="dk1"/>
          </a:fillRef>
          <a:effectRef idx="0">
            <a:schemeClr val="dk1"/>
          </a:effectRef>
          <a:fontRef idx="minor">
            <a:schemeClr val="tx1"/>
          </a:fontRef>
        </xdr:style>
      </xdr:cxnSp>
      <xdr:sp macro="" textlink="">
        <xdr:nvSpPr>
          <xdr:cNvPr id="23" name="TextBox 22">
            <a:extLst>
              <a:ext uri="{FF2B5EF4-FFF2-40B4-BE49-F238E27FC236}">
                <a16:creationId xmlns:a16="http://schemas.microsoft.com/office/drawing/2014/main" id="{00000000-0008-0000-0900-000017000000}"/>
              </a:ext>
            </a:extLst>
          </xdr:cNvPr>
          <xdr:cNvSpPr txBox="1"/>
        </xdr:nvSpPr>
        <xdr:spPr>
          <a:xfrm>
            <a:off x="3305174" y="2438400"/>
            <a:ext cx="971550"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t-EE" sz="1100" i="1"/>
              <a:t>B</a:t>
            </a:r>
            <a:r>
              <a:rPr lang="en-GB" sz="1100" i="1"/>
              <a:t>iogenic CO</a:t>
            </a:r>
            <a:r>
              <a:rPr lang="en-GB" sz="1100" i="1" baseline="-25000"/>
              <a:t>2</a:t>
            </a:r>
          </a:p>
        </xdr:txBody>
      </xdr:sp>
      <xdr:sp macro="" textlink="">
        <xdr:nvSpPr>
          <xdr:cNvPr id="24" name="Rectangle: Rounded Corners 74">
            <a:extLst>
              <a:ext uri="{FF2B5EF4-FFF2-40B4-BE49-F238E27FC236}">
                <a16:creationId xmlns:a16="http://schemas.microsoft.com/office/drawing/2014/main" id="{00000000-0008-0000-0900-000018000000}"/>
              </a:ext>
            </a:extLst>
          </xdr:cNvPr>
          <xdr:cNvSpPr/>
        </xdr:nvSpPr>
        <xdr:spPr>
          <a:xfrm>
            <a:off x="4772025" y="3124200"/>
            <a:ext cx="1023937" cy="514350"/>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GB" sz="1200"/>
              <a:t>Electrolyser</a:t>
            </a:r>
          </a:p>
        </xdr:txBody>
      </xdr:sp>
      <xdr:cxnSp macro="">
        <xdr:nvCxnSpPr>
          <xdr:cNvPr id="25" name="Straight Arrow Connector 75">
            <a:extLst>
              <a:ext uri="{FF2B5EF4-FFF2-40B4-BE49-F238E27FC236}">
                <a16:creationId xmlns:a16="http://schemas.microsoft.com/office/drawing/2014/main" id="{00000000-0008-0000-0900-000019000000}"/>
              </a:ext>
            </a:extLst>
          </xdr:cNvPr>
          <xdr:cNvCxnSpPr>
            <a:stCxn id="24" idx="3"/>
            <a:endCxn id="41" idx="1"/>
          </xdr:cNvCxnSpPr>
        </xdr:nvCxnSpPr>
        <xdr:spPr>
          <a:xfrm>
            <a:off x="5795962" y="3381375"/>
            <a:ext cx="676275" cy="47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pic>
        <xdr:nvPicPr>
          <xdr:cNvPr id="26" name="Picture 76">
            <a:extLst>
              <a:ext uri="{FF2B5EF4-FFF2-40B4-BE49-F238E27FC236}">
                <a16:creationId xmlns:a16="http://schemas.microsoft.com/office/drawing/2014/main" id="{00000000-0008-0000-0900-00001A000000}"/>
              </a:ext>
            </a:extLst>
          </xdr:cNvPr>
          <xdr:cNvPicPr>
            <a:picLocks noChangeAspect="1"/>
          </xdr:cNvPicPr>
        </xdr:nvPicPr>
        <xdr:blipFill>
          <a:blip xmlns:r="http://schemas.openxmlformats.org/officeDocument/2006/relationships" r:embed="rId1"/>
          <a:stretch>
            <a:fillRect/>
          </a:stretch>
        </xdr:blipFill>
        <xdr:spPr>
          <a:xfrm>
            <a:off x="6019800" y="3362325"/>
            <a:ext cx="298730" cy="329213"/>
          </a:xfrm>
          <a:prstGeom prst="rect">
            <a:avLst/>
          </a:prstGeom>
        </xdr:spPr>
      </xdr:pic>
      <xdr:sp macro="" textlink="">
        <xdr:nvSpPr>
          <xdr:cNvPr id="27" name="Freeform: Shape 77">
            <a:extLst>
              <a:ext uri="{FF2B5EF4-FFF2-40B4-BE49-F238E27FC236}">
                <a16:creationId xmlns:a16="http://schemas.microsoft.com/office/drawing/2014/main" id="{00000000-0008-0000-0900-00001B000000}"/>
              </a:ext>
            </a:extLst>
          </xdr:cNvPr>
          <xdr:cNvSpPr/>
        </xdr:nvSpPr>
        <xdr:spPr>
          <a:xfrm>
            <a:off x="2943224" y="3380818"/>
            <a:ext cx="1842584" cy="844701"/>
          </a:xfrm>
          <a:custGeom>
            <a:avLst/>
            <a:gdLst>
              <a:gd name="connsiteX0" fmla="*/ 0 w 1823534"/>
              <a:gd name="connsiteY0" fmla="*/ 391081 h 844701"/>
              <a:gd name="connsiteX1" fmla="*/ 885825 w 1823534"/>
              <a:gd name="connsiteY1" fmla="*/ 781606 h 844701"/>
              <a:gd name="connsiteX2" fmla="*/ 1600200 w 1823534"/>
              <a:gd name="connsiteY2" fmla="*/ 819706 h 844701"/>
              <a:gd name="connsiteX3" fmla="*/ 1819275 w 1823534"/>
              <a:gd name="connsiteY3" fmla="*/ 533956 h 844701"/>
              <a:gd name="connsiteX4" fmla="*/ 1704975 w 1823534"/>
              <a:gd name="connsiteY4" fmla="*/ 114856 h 844701"/>
              <a:gd name="connsiteX5" fmla="*/ 1809750 w 1823534"/>
              <a:gd name="connsiteY5" fmla="*/ 10081 h 844701"/>
              <a:gd name="connsiteX6" fmla="*/ 1819275 w 1823534"/>
              <a:gd name="connsiteY6" fmla="*/ 10081 h 8447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823534" h="844701">
                <a:moveTo>
                  <a:pt x="0" y="391081"/>
                </a:moveTo>
                <a:cubicBezTo>
                  <a:pt x="309562" y="550625"/>
                  <a:pt x="619125" y="710169"/>
                  <a:pt x="885825" y="781606"/>
                </a:cubicBezTo>
                <a:cubicBezTo>
                  <a:pt x="1152525" y="853043"/>
                  <a:pt x="1444625" y="860981"/>
                  <a:pt x="1600200" y="819706"/>
                </a:cubicBezTo>
                <a:cubicBezTo>
                  <a:pt x="1755775" y="778431"/>
                  <a:pt x="1801813" y="651431"/>
                  <a:pt x="1819275" y="533956"/>
                </a:cubicBezTo>
                <a:cubicBezTo>
                  <a:pt x="1836737" y="416481"/>
                  <a:pt x="1706562" y="202168"/>
                  <a:pt x="1704975" y="114856"/>
                </a:cubicBezTo>
                <a:cubicBezTo>
                  <a:pt x="1703388" y="27544"/>
                  <a:pt x="1790700" y="27543"/>
                  <a:pt x="1809750" y="10081"/>
                </a:cubicBezTo>
                <a:cubicBezTo>
                  <a:pt x="1828800" y="-7381"/>
                  <a:pt x="1824037" y="1350"/>
                  <a:pt x="1819275" y="10081"/>
                </a:cubicBezTo>
              </a:path>
            </a:pathLst>
          </a:custGeom>
          <a:ln>
            <a:solidFill>
              <a:srgbClr val="00B0F0"/>
            </a:solidFill>
            <a:tailEnd type="triangle"/>
          </a:ln>
        </xdr:spPr>
        <xdr:style>
          <a:lnRef idx="3">
            <a:schemeClr val="accent5"/>
          </a:lnRef>
          <a:fillRef idx="0">
            <a:schemeClr val="accent5"/>
          </a:fillRef>
          <a:effectRef idx="2">
            <a:schemeClr val="accent5"/>
          </a:effectRef>
          <a:fontRef idx="minor">
            <a:schemeClr val="tx1"/>
          </a:fontRef>
        </xdr:style>
        <xdr:txBody>
          <a:bodyPr vertOverflow="clip" horzOverflow="clip" rtlCol="0" anchor="t"/>
          <a:lstStyle/>
          <a:p>
            <a:pPr algn="l"/>
            <a:endParaRPr lang="en-GB" sz="1100"/>
          </a:p>
        </xdr:txBody>
      </xdr:sp>
      <xdr:sp macro="" textlink="">
        <xdr:nvSpPr>
          <xdr:cNvPr id="28" name="Freeform: Shape 78">
            <a:extLst>
              <a:ext uri="{FF2B5EF4-FFF2-40B4-BE49-F238E27FC236}">
                <a16:creationId xmlns:a16="http://schemas.microsoft.com/office/drawing/2014/main" id="{00000000-0008-0000-0900-00001C000000}"/>
              </a:ext>
            </a:extLst>
          </xdr:cNvPr>
          <xdr:cNvSpPr/>
        </xdr:nvSpPr>
        <xdr:spPr>
          <a:xfrm>
            <a:off x="2952749" y="3743324"/>
            <a:ext cx="3971925" cy="1269302"/>
          </a:xfrm>
          <a:custGeom>
            <a:avLst/>
            <a:gdLst>
              <a:gd name="connsiteX0" fmla="*/ 0 w 3971925"/>
              <a:gd name="connsiteY0" fmla="*/ 38100 h 1269302"/>
              <a:gd name="connsiteX1" fmla="*/ 962025 w 3971925"/>
              <a:gd name="connsiteY1" fmla="*/ 1085850 h 1269302"/>
              <a:gd name="connsiteX2" fmla="*/ 2857500 w 3971925"/>
              <a:gd name="connsiteY2" fmla="*/ 1238250 h 1269302"/>
              <a:gd name="connsiteX3" fmla="*/ 3752850 w 3971925"/>
              <a:gd name="connsiteY3" fmla="*/ 733425 h 1269302"/>
              <a:gd name="connsiteX4" fmla="*/ 3971925 w 3971925"/>
              <a:gd name="connsiteY4" fmla="*/ 0 h 126930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71925" h="1269302">
                <a:moveTo>
                  <a:pt x="0" y="38100"/>
                </a:moveTo>
                <a:cubicBezTo>
                  <a:pt x="242887" y="461962"/>
                  <a:pt x="485775" y="885825"/>
                  <a:pt x="962025" y="1085850"/>
                </a:cubicBezTo>
                <a:cubicBezTo>
                  <a:pt x="1438275" y="1285875"/>
                  <a:pt x="2392363" y="1296988"/>
                  <a:pt x="2857500" y="1238250"/>
                </a:cubicBezTo>
                <a:cubicBezTo>
                  <a:pt x="3322638" y="1179513"/>
                  <a:pt x="3567113" y="939800"/>
                  <a:pt x="3752850" y="733425"/>
                </a:cubicBezTo>
                <a:cubicBezTo>
                  <a:pt x="3938587" y="527050"/>
                  <a:pt x="3955256" y="263525"/>
                  <a:pt x="3971925" y="0"/>
                </a:cubicBezTo>
              </a:path>
            </a:pathLst>
          </a:custGeom>
          <a:ln>
            <a:solidFill>
              <a:srgbClr val="00B0F0"/>
            </a:solidFill>
            <a:tailEnd type="triangle"/>
          </a:ln>
        </xdr:spPr>
        <xdr:style>
          <a:lnRef idx="3">
            <a:schemeClr val="accent5"/>
          </a:lnRef>
          <a:fillRef idx="0">
            <a:schemeClr val="accent5"/>
          </a:fillRef>
          <a:effectRef idx="2">
            <a:schemeClr val="accent5"/>
          </a:effectRef>
          <a:fontRef idx="minor">
            <a:schemeClr val="tx1"/>
          </a:fontRef>
        </xdr:style>
        <xdr:txBody>
          <a:bodyPr vertOverflow="clip" horzOverflow="clip" rtlCol="0" anchor="t"/>
          <a:lstStyle/>
          <a:p>
            <a:pPr algn="l"/>
            <a:endParaRPr lang="en-GB" sz="1100"/>
          </a:p>
        </xdr:txBody>
      </xdr:sp>
      <xdr:grpSp>
        <xdr:nvGrpSpPr>
          <xdr:cNvPr id="29" name="Group 79">
            <a:extLst>
              <a:ext uri="{FF2B5EF4-FFF2-40B4-BE49-F238E27FC236}">
                <a16:creationId xmlns:a16="http://schemas.microsoft.com/office/drawing/2014/main" id="{00000000-0008-0000-0900-00001D000000}"/>
              </a:ext>
            </a:extLst>
          </xdr:cNvPr>
          <xdr:cNvGrpSpPr/>
        </xdr:nvGrpSpPr>
        <xdr:grpSpPr>
          <a:xfrm>
            <a:off x="635001" y="2009774"/>
            <a:ext cx="2317748" cy="2893039"/>
            <a:chOff x="434977" y="13287375"/>
            <a:chExt cx="2317748" cy="2893039"/>
          </a:xfrm>
        </xdr:grpSpPr>
        <xdr:sp macro="" textlink="">
          <xdr:nvSpPr>
            <xdr:cNvPr id="35" name="Rectangle: Rounded Corners 83">
              <a:extLst>
                <a:ext uri="{FF2B5EF4-FFF2-40B4-BE49-F238E27FC236}">
                  <a16:creationId xmlns:a16="http://schemas.microsoft.com/office/drawing/2014/main" id="{00000000-0008-0000-0900-000023000000}"/>
                </a:ext>
              </a:extLst>
            </xdr:cNvPr>
            <xdr:cNvSpPr/>
          </xdr:nvSpPr>
          <xdr:spPr>
            <a:xfrm>
              <a:off x="1724025" y="13287375"/>
              <a:ext cx="1028700" cy="5040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GB" sz="1100"/>
                <a:t>Biomethane</a:t>
              </a:r>
            </a:p>
          </xdr:txBody>
        </xdr:sp>
        <xdr:sp macro="" textlink="">
          <xdr:nvSpPr>
            <xdr:cNvPr id="36" name="Rectangle: Rounded Corners 84">
              <a:extLst>
                <a:ext uri="{FF2B5EF4-FFF2-40B4-BE49-F238E27FC236}">
                  <a16:creationId xmlns:a16="http://schemas.microsoft.com/office/drawing/2014/main" id="{00000000-0008-0000-0900-000024000000}"/>
                </a:ext>
              </a:extLst>
            </xdr:cNvPr>
            <xdr:cNvSpPr/>
          </xdr:nvSpPr>
          <xdr:spPr>
            <a:xfrm>
              <a:off x="1724025" y="14043300"/>
              <a:ext cx="1028700" cy="5040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GB" sz="1100"/>
                <a:t>Water</a:t>
              </a:r>
            </a:p>
          </xdr:txBody>
        </xdr:sp>
        <xdr:sp macro="" textlink="">
          <xdr:nvSpPr>
            <xdr:cNvPr id="37" name="Rectangle: Rounded Corners 85">
              <a:extLst>
                <a:ext uri="{FF2B5EF4-FFF2-40B4-BE49-F238E27FC236}">
                  <a16:creationId xmlns:a16="http://schemas.microsoft.com/office/drawing/2014/main" id="{00000000-0008-0000-0900-000025000000}"/>
                </a:ext>
              </a:extLst>
            </xdr:cNvPr>
            <xdr:cNvSpPr/>
          </xdr:nvSpPr>
          <xdr:spPr>
            <a:xfrm>
              <a:off x="434977" y="15545625"/>
              <a:ext cx="965198" cy="634789"/>
            </a:xfrm>
            <a:prstGeom prst="roundRect">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lang="en-GB" sz="1200"/>
                <a:t>Methane reformer</a:t>
              </a:r>
            </a:p>
          </xdr:txBody>
        </xdr:sp>
        <xdr:sp macro="" textlink="">
          <xdr:nvSpPr>
            <xdr:cNvPr id="38" name="Rectangle: Rounded Corners 86">
              <a:extLst>
                <a:ext uri="{FF2B5EF4-FFF2-40B4-BE49-F238E27FC236}">
                  <a16:creationId xmlns:a16="http://schemas.microsoft.com/office/drawing/2014/main" id="{00000000-0008-0000-0900-000026000000}"/>
                </a:ext>
              </a:extLst>
            </xdr:cNvPr>
            <xdr:cNvSpPr/>
          </xdr:nvSpPr>
          <xdr:spPr>
            <a:xfrm>
              <a:off x="1724025" y="15555150"/>
              <a:ext cx="1028700" cy="5040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GB" sz="1100"/>
                <a:t>CO</a:t>
              </a:r>
              <a:r>
                <a:rPr lang="en-GB" sz="1100" baseline="-25000"/>
                <a:t>2</a:t>
              </a:r>
            </a:p>
          </xdr:txBody>
        </xdr:sp>
        <xdr:cxnSp macro="">
          <xdr:nvCxnSpPr>
            <xdr:cNvPr id="39" name="Straight Arrow Connector 87">
              <a:extLst>
                <a:ext uri="{FF2B5EF4-FFF2-40B4-BE49-F238E27FC236}">
                  <a16:creationId xmlns:a16="http://schemas.microsoft.com/office/drawing/2014/main" id="{00000000-0008-0000-0900-000027000000}"/>
                </a:ext>
              </a:extLst>
            </xdr:cNvPr>
            <xdr:cNvCxnSpPr>
              <a:stCxn id="37" idx="3"/>
              <a:endCxn id="38" idx="1"/>
            </xdr:cNvCxnSpPr>
          </xdr:nvCxnSpPr>
          <xdr:spPr>
            <a:xfrm flipV="1">
              <a:off x="1400175" y="15807151"/>
              <a:ext cx="323850" cy="5586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40" name="Rectangle: Rounded Corners 88">
              <a:extLst>
                <a:ext uri="{FF2B5EF4-FFF2-40B4-BE49-F238E27FC236}">
                  <a16:creationId xmlns:a16="http://schemas.microsoft.com/office/drawing/2014/main" id="{00000000-0008-0000-0900-000028000000}"/>
                </a:ext>
              </a:extLst>
            </xdr:cNvPr>
            <xdr:cNvSpPr/>
          </xdr:nvSpPr>
          <xdr:spPr>
            <a:xfrm>
              <a:off x="1724025" y="14799225"/>
              <a:ext cx="1028700" cy="5040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t-EE" sz="1100"/>
                <a:t>(</a:t>
              </a:r>
              <a:r>
                <a:rPr lang="en-GB" sz="1100"/>
                <a:t>Grid</a:t>
              </a:r>
              <a:r>
                <a:rPr lang="et-EE" sz="1100"/>
                <a:t>)</a:t>
              </a:r>
              <a:r>
                <a:rPr lang="en-GB" sz="1100"/>
                <a:t> electricity</a:t>
              </a:r>
            </a:p>
          </xdr:txBody>
        </xdr:sp>
      </xdr:grpSp>
      <xdr:sp macro="" textlink="">
        <xdr:nvSpPr>
          <xdr:cNvPr id="30" name="Freeform: Shape 80">
            <a:extLst>
              <a:ext uri="{FF2B5EF4-FFF2-40B4-BE49-F238E27FC236}">
                <a16:creationId xmlns:a16="http://schemas.microsoft.com/office/drawing/2014/main" id="{00000000-0008-0000-0900-00001E000000}"/>
              </a:ext>
            </a:extLst>
          </xdr:cNvPr>
          <xdr:cNvSpPr/>
        </xdr:nvSpPr>
        <xdr:spPr>
          <a:xfrm>
            <a:off x="2954337" y="2954391"/>
            <a:ext cx="1820862" cy="987100"/>
          </a:xfrm>
          <a:custGeom>
            <a:avLst/>
            <a:gdLst>
              <a:gd name="connsiteX0" fmla="*/ 0 w 1825625"/>
              <a:gd name="connsiteY0" fmla="*/ 63446 h 987100"/>
              <a:gd name="connsiteX1" fmla="*/ 254000 w 1825625"/>
              <a:gd name="connsiteY1" fmla="*/ 71383 h 987100"/>
              <a:gd name="connsiteX2" fmla="*/ 412750 w 1825625"/>
              <a:gd name="connsiteY2" fmla="*/ 785758 h 987100"/>
              <a:gd name="connsiteX3" fmla="*/ 1531937 w 1825625"/>
              <a:gd name="connsiteY3" fmla="*/ 968321 h 987100"/>
              <a:gd name="connsiteX4" fmla="*/ 1658937 w 1825625"/>
              <a:gd name="connsiteY4" fmla="*/ 420633 h 987100"/>
              <a:gd name="connsiteX5" fmla="*/ 1825625 w 1825625"/>
              <a:gd name="connsiteY5" fmla="*/ 444446 h 9871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825625" h="987100">
                <a:moveTo>
                  <a:pt x="0" y="63446"/>
                </a:moveTo>
                <a:cubicBezTo>
                  <a:pt x="92604" y="7222"/>
                  <a:pt x="185208" y="-49002"/>
                  <a:pt x="254000" y="71383"/>
                </a:cubicBezTo>
                <a:cubicBezTo>
                  <a:pt x="322792" y="191768"/>
                  <a:pt x="199760" y="636268"/>
                  <a:pt x="412750" y="785758"/>
                </a:cubicBezTo>
                <a:cubicBezTo>
                  <a:pt x="625740" y="935248"/>
                  <a:pt x="1324239" y="1029175"/>
                  <a:pt x="1531937" y="968321"/>
                </a:cubicBezTo>
                <a:cubicBezTo>
                  <a:pt x="1739635" y="907467"/>
                  <a:pt x="1609989" y="507945"/>
                  <a:pt x="1658937" y="420633"/>
                </a:cubicBezTo>
                <a:cubicBezTo>
                  <a:pt x="1707885" y="333321"/>
                  <a:pt x="1766755" y="388883"/>
                  <a:pt x="1825625" y="444446"/>
                </a:cubicBezTo>
              </a:path>
            </a:pathLst>
          </a:custGeom>
          <a:noFill/>
          <a:ln w="25400">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1" name="Freeform: Shape 81">
            <a:extLst>
              <a:ext uri="{FF2B5EF4-FFF2-40B4-BE49-F238E27FC236}">
                <a16:creationId xmlns:a16="http://schemas.microsoft.com/office/drawing/2014/main" id="{00000000-0008-0000-0900-00001F000000}"/>
              </a:ext>
            </a:extLst>
          </xdr:cNvPr>
          <xdr:cNvSpPr/>
        </xdr:nvSpPr>
        <xdr:spPr>
          <a:xfrm>
            <a:off x="2954337" y="1763346"/>
            <a:ext cx="3951287" cy="1254491"/>
          </a:xfrm>
          <a:custGeom>
            <a:avLst/>
            <a:gdLst>
              <a:gd name="connsiteX0" fmla="*/ 0 w 3960812"/>
              <a:gd name="connsiteY0" fmla="*/ 1246553 h 1254491"/>
              <a:gd name="connsiteX1" fmla="*/ 341312 w 3960812"/>
              <a:gd name="connsiteY1" fmla="*/ 960803 h 1254491"/>
              <a:gd name="connsiteX2" fmla="*/ 587375 w 3960812"/>
              <a:gd name="connsiteY2" fmla="*/ 254366 h 1254491"/>
              <a:gd name="connsiteX3" fmla="*/ 2206625 w 3960812"/>
              <a:gd name="connsiteY3" fmla="*/ 366 h 1254491"/>
              <a:gd name="connsiteX4" fmla="*/ 3492500 w 3960812"/>
              <a:gd name="connsiteY4" fmla="*/ 230553 h 1254491"/>
              <a:gd name="connsiteX5" fmla="*/ 3960812 w 3960812"/>
              <a:gd name="connsiteY5" fmla="*/ 1254491 h 12544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960812" h="1254491">
                <a:moveTo>
                  <a:pt x="0" y="1246553"/>
                </a:moveTo>
                <a:cubicBezTo>
                  <a:pt x="121708" y="1186360"/>
                  <a:pt x="243416" y="1126167"/>
                  <a:pt x="341312" y="960803"/>
                </a:cubicBezTo>
                <a:cubicBezTo>
                  <a:pt x="439208" y="795439"/>
                  <a:pt x="276490" y="414439"/>
                  <a:pt x="587375" y="254366"/>
                </a:cubicBezTo>
                <a:cubicBezTo>
                  <a:pt x="898260" y="94293"/>
                  <a:pt x="1722438" y="4335"/>
                  <a:pt x="2206625" y="366"/>
                </a:cubicBezTo>
                <a:cubicBezTo>
                  <a:pt x="2690812" y="-3603"/>
                  <a:pt x="3200136" y="21532"/>
                  <a:pt x="3492500" y="230553"/>
                </a:cubicBezTo>
                <a:cubicBezTo>
                  <a:pt x="3784864" y="439574"/>
                  <a:pt x="3872838" y="847032"/>
                  <a:pt x="3960812" y="1254491"/>
                </a:cubicBezTo>
              </a:path>
            </a:pathLst>
          </a:custGeom>
          <a:noFill/>
          <a:ln w="25400">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2" name="Freeform: Shape 82">
            <a:extLst>
              <a:ext uri="{FF2B5EF4-FFF2-40B4-BE49-F238E27FC236}">
                <a16:creationId xmlns:a16="http://schemas.microsoft.com/office/drawing/2014/main" id="{00000000-0008-0000-0900-000020000000}"/>
              </a:ext>
            </a:extLst>
          </xdr:cNvPr>
          <xdr:cNvSpPr/>
        </xdr:nvSpPr>
        <xdr:spPr>
          <a:xfrm>
            <a:off x="2946399" y="3787774"/>
            <a:ext cx="1836737" cy="722313"/>
          </a:xfrm>
          <a:custGeom>
            <a:avLst/>
            <a:gdLst>
              <a:gd name="connsiteX0" fmla="*/ 0 w 1841500"/>
              <a:gd name="connsiteY0" fmla="*/ 0 h 722313"/>
              <a:gd name="connsiteX1" fmla="*/ 793750 w 1841500"/>
              <a:gd name="connsiteY1" fmla="*/ 508000 h 722313"/>
              <a:gd name="connsiteX2" fmla="*/ 1841500 w 1841500"/>
              <a:gd name="connsiteY2" fmla="*/ 722313 h 722313"/>
            </a:gdLst>
            <a:ahLst/>
            <a:cxnLst>
              <a:cxn ang="0">
                <a:pos x="connsiteX0" y="connsiteY0"/>
              </a:cxn>
              <a:cxn ang="0">
                <a:pos x="connsiteX1" y="connsiteY1"/>
              </a:cxn>
              <a:cxn ang="0">
                <a:pos x="connsiteX2" y="connsiteY2"/>
              </a:cxn>
            </a:cxnLst>
            <a:rect l="l" t="t" r="r" b="b"/>
            <a:pathLst>
              <a:path w="1841500" h="722313">
                <a:moveTo>
                  <a:pt x="0" y="0"/>
                </a:moveTo>
                <a:cubicBezTo>
                  <a:pt x="243416" y="193807"/>
                  <a:pt x="486833" y="387615"/>
                  <a:pt x="793750" y="508000"/>
                </a:cubicBezTo>
                <a:cubicBezTo>
                  <a:pt x="1100667" y="628385"/>
                  <a:pt x="1471083" y="675349"/>
                  <a:pt x="1841500" y="722313"/>
                </a:cubicBezTo>
              </a:path>
            </a:pathLst>
          </a:custGeom>
          <a:ln>
            <a:solidFill>
              <a:srgbClr val="00B0F0"/>
            </a:solidFill>
            <a:tailEnd type="triangle"/>
          </a:ln>
        </xdr:spPr>
        <xdr:style>
          <a:lnRef idx="3">
            <a:schemeClr val="accent5"/>
          </a:lnRef>
          <a:fillRef idx="0">
            <a:schemeClr val="accent5"/>
          </a:fillRef>
          <a:effectRef idx="2">
            <a:schemeClr val="accent5"/>
          </a:effectRef>
          <a:fontRef idx="minor">
            <a:schemeClr val="tx1"/>
          </a:fontRef>
        </xdr:style>
        <xdr:txBody>
          <a:bodyPr vertOverflow="clip" horzOverflow="clip" rtlCol="0" anchor="t"/>
          <a:lstStyle/>
          <a:p>
            <a:pPr algn="l"/>
            <a:endParaRPr lang="en-GB" sz="1100"/>
          </a:p>
        </xdr:txBody>
      </xdr:sp>
      <xdr:cxnSp macro="">
        <xdr:nvCxnSpPr>
          <xdr:cNvPr id="33" name="Straight Arrow Connector 48">
            <a:extLst>
              <a:ext uri="{FF2B5EF4-FFF2-40B4-BE49-F238E27FC236}">
                <a16:creationId xmlns:a16="http://schemas.microsoft.com/office/drawing/2014/main" id="{00000000-0008-0000-0900-000021000000}"/>
              </a:ext>
            </a:extLst>
          </xdr:cNvPr>
          <xdr:cNvCxnSpPr>
            <a:stCxn id="24" idx="0"/>
            <a:endCxn id="6" idx="2"/>
          </xdr:cNvCxnSpPr>
        </xdr:nvCxnSpPr>
        <xdr:spPr>
          <a:xfrm flipH="1" flipV="1">
            <a:off x="5186362" y="2524124"/>
            <a:ext cx="97632" cy="60007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34" name="TextBox 33">
            <a:extLst>
              <a:ext uri="{FF2B5EF4-FFF2-40B4-BE49-F238E27FC236}">
                <a16:creationId xmlns:a16="http://schemas.microsoft.com/office/drawing/2014/main" id="{00000000-0008-0000-0900-000022000000}"/>
              </a:ext>
            </a:extLst>
          </xdr:cNvPr>
          <xdr:cNvSpPr txBox="1"/>
        </xdr:nvSpPr>
        <xdr:spPr>
          <a:xfrm>
            <a:off x="5172075" y="2638425"/>
            <a:ext cx="3238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a:t>O</a:t>
            </a:r>
            <a:r>
              <a:rPr lang="en-GB" sz="1100" i="1" baseline="-25000"/>
              <a:t>2</a:t>
            </a:r>
          </a:p>
        </xdr:txBody>
      </xdr:sp>
    </xdr:grpSp>
    <xdr:clientData/>
  </xdr:twoCellAnchor>
  <xdr:twoCellAnchor>
    <xdr:from>
      <xdr:col>1</xdr:col>
      <xdr:colOff>514353</xdr:colOff>
      <xdr:row>5</xdr:row>
      <xdr:rowOff>162474</xdr:rowOff>
    </xdr:from>
    <xdr:to>
      <xdr:col>3</xdr:col>
      <xdr:colOff>95250</xdr:colOff>
      <xdr:row>16</xdr:row>
      <xdr:rowOff>95247</xdr:rowOff>
    </xdr:to>
    <xdr:cxnSp macro="">
      <xdr:nvCxnSpPr>
        <xdr:cNvPr id="55" name="Konnektor: nurkne 54">
          <a:extLst>
            <a:ext uri="{FF2B5EF4-FFF2-40B4-BE49-F238E27FC236}">
              <a16:creationId xmlns:a16="http://schemas.microsoft.com/office/drawing/2014/main" id="{00000000-0008-0000-0900-000037000000}"/>
            </a:ext>
          </a:extLst>
        </xdr:cNvPr>
        <xdr:cNvCxnSpPr>
          <a:stCxn id="35" idx="1"/>
        </xdr:cNvCxnSpPr>
      </xdr:nvCxnSpPr>
      <xdr:spPr>
        <a:xfrm rot="10800000" flipV="1">
          <a:off x="1123953" y="2188124"/>
          <a:ext cx="800097" cy="1958423"/>
        </a:xfrm>
        <a:prstGeom prst="bentConnector2">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ocuments/Work/Rio%20Office/Innovation%20Fund_with%20pro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ura/Documents/Work/Innovation%20Fund/Phase%202/Small%20Scale/SS%20Tools/Copy%20of%20Copy%20of%20BioGrace-I%20Excel%20tool%20-%20version%204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Abreviações e Definições"/>
      <sheetName val="Sheet1"/>
      <sheetName val="Resumo"/>
      <sheetName val="Informações Gerais"/>
      <sheetName val="Checklist"/>
      <sheetName val="Fontes Estacionárias"/>
      <sheetName val="Fontes Móveis"/>
      <sheetName val="Emissões Fugitivas"/>
      <sheetName val="Gerenciamento de Resíduos"/>
      <sheetName val="Emissões Recuperadas"/>
      <sheetName val="Memo Item"/>
      <sheetName val="Fatores"/>
      <sheetName val="BD"/>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C1" t="str">
            <v>Tipo de Fonte</v>
          </cell>
          <cell r="E1" t="str">
            <v>Categoria</v>
          </cell>
          <cell r="F1" t="str">
            <v>Nome</v>
          </cell>
          <cell r="G1" t="str">
            <v>Valor</v>
          </cell>
          <cell r="I1" t="str">
            <v>Unidade 1
(para frações)</v>
          </cell>
          <cell r="J1" t="str">
            <v>Unidade 2
(para frações)</v>
          </cell>
        </row>
        <row r="2">
          <cell r="C2" t="str">
            <v>N/A</v>
          </cell>
          <cell r="E2" t="str">
            <v>N/A</v>
          </cell>
          <cell r="F2" t="str">
            <v>Galão para Litro</v>
          </cell>
          <cell r="G2">
            <v>3.785412</v>
          </cell>
          <cell r="I2" t="str">
            <v>Galão (EUA)</v>
          </cell>
          <cell r="J2" t="str">
            <v>L</v>
          </cell>
        </row>
        <row r="3">
          <cell r="C3" t="str">
            <v>N/A</v>
          </cell>
          <cell r="E3" t="str">
            <v>N/A</v>
          </cell>
          <cell r="F3" t="str">
            <v xml:space="preserve">Milha para Quilômetro </v>
          </cell>
          <cell r="G3">
            <v>1.0693440000000001</v>
          </cell>
          <cell r="I3" t="str">
            <v>km</v>
          </cell>
          <cell r="J3" t="str">
            <v>mi</v>
          </cell>
        </row>
        <row r="4">
          <cell r="C4" t="str">
            <v>N/A</v>
          </cell>
          <cell r="E4" t="str">
            <v>N/A</v>
          </cell>
          <cell r="F4" t="str">
            <v>Caloria para Joule</v>
          </cell>
          <cell r="G4">
            <v>4.1867999999999999</v>
          </cell>
          <cell r="I4" t="str">
            <v>J</v>
          </cell>
          <cell r="J4" t="str">
            <v>cal</v>
          </cell>
        </row>
        <row r="5">
          <cell r="C5" t="str">
            <v>N/A</v>
          </cell>
          <cell r="E5" t="str">
            <v>Janeiro</v>
          </cell>
          <cell r="F5" t="str">
            <v>R$ para KWh</v>
          </cell>
          <cell r="G5">
            <v>0.48972229</v>
          </cell>
          <cell r="I5" t="str">
            <v>R$</v>
          </cell>
          <cell r="J5" t="str">
            <v>KWh</v>
          </cell>
        </row>
        <row r="6">
          <cell r="C6" t="str">
            <v>N/A</v>
          </cell>
          <cell r="E6" t="str">
            <v>Fevereiro</v>
          </cell>
          <cell r="F6" t="str">
            <v>R$ para KWh</v>
          </cell>
          <cell r="G6">
            <v>0.39864499000000003</v>
          </cell>
          <cell r="I6" t="str">
            <v>R$</v>
          </cell>
          <cell r="J6" t="str">
            <v>KWh</v>
          </cell>
        </row>
        <row r="7">
          <cell r="C7" t="str">
            <v>N/A</v>
          </cell>
          <cell r="E7" t="str">
            <v>Março</v>
          </cell>
          <cell r="F7" t="str">
            <v>R$ para KWh</v>
          </cell>
          <cell r="G7">
            <v>0.40459724999999996</v>
          </cell>
          <cell r="I7" t="str">
            <v>R$</v>
          </cell>
          <cell r="J7" t="str">
            <v>KWh</v>
          </cell>
        </row>
        <row r="8">
          <cell r="C8" t="str">
            <v>N/A</v>
          </cell>
          <cell r="E8" t="str">
            <v>Março</v>
          </cell>
          <cell r="F8" t="str">
            <v>R$ para KWh</v>
          </cell>
          <cell r="G8">
            <v>0.40092148</v>
          </cell>
          <cell r="I8" t="str">
            <v>R$</v>
          </cell>
          <cell r="J8" t="str">
            <v>KWh</v>
          </cell>
        </row>
        <row r="9">
          <cell r="C9" t="str">
            <v>N/A</v>
          </cell>
          <cell r="E9" t="str">
            <v>Maio</v>
          </cell>
          <cell r="F9" t="str">
            <v>R$ para KWh</v>
          </cell>
          <cell r="G9">
            <v>0.44721195000000002</v>
          </cell>
          <cell r="I9" t="str">
            <v>R$</v>
          </cell>
          <cell r="J9" t="str">
            <v>KWh</v>
          </cell>
        </row>
        <row r="10">
          <cell r="C10" t="str">
            <v>N/A</v>
          </cell>
          <cell r="E10" t="str">
            <v>Junho</v>
          </cell>
          <cell r="F10" t="str">
            <v>R$ para KWh</v>
          </cell>
          <cell r="G10">
            <v>0.44491914999999999</v>
          </cell>
          <cell r="I10" t="str">
            <v>R$</v>
          </cell>
          <cell r="J10" t="str">
            <v>KWh</v>
          </cell>
        </row>
        <row r="11">
          <cell r="C11" t="str">
            <v>N/A</v>
          </cell>
          <cell r="E11" t="str">
            <v>Julho</v>
          </cell>
          <cell r="F11" t="str">
            <v>R$ para KWh</v>
          </cell>
          <cell r="G11">
            <v>0.43659701000000001</v>
          </cell>
          <cell r="I11" t="str">
            <v>R$</v>
          </cell>
          <cell r="J11" t="str">
            <v>KWh</v>
          </cell>
        </row>
        <row r="12">
          <cell r="C12" t="str">
            <v>N/A</v>
          </cell>
          <cell r="E12" t="str">
            <v>Agosto</v>
          </cell>
          <cell r="F12" t="str">
            <v>R$ para KWh</v>
          </cell>
          <cell r="G12">
            <v>0.43766973000000003</v>
          </cell>
          <cell r="I12" t="str">
            <v>R$</v>
          </cell>
          <cell r="J12" t="str">
            <v>KWh</v>
          </cell>
        </row>
        <row r="13">
          <cell r="C13" t="str">
            <v>N/A</v>
          </cell>
          <cell r="E13" t="str">
            <v>Setembro</v>
          </cell>
          <cell r="F13" t="str">
            <v>R$ para KWh</v>
          </cell>
          <cell r="G13">
            <v>0.43164136999999997</v>
          </cell>
          <cell r="I13" t="str">
            <v>R$</v>
          </cell>
          <cell r="J13" t="str">
            <v>KWh</v>
          </cell>
        </row>
        <row r="14">
          <cell r="C14" t="str">
            <v>N/A</v>
          </cell>
          <cell r="E14" t="str">
            <v>Outubro</v>
          </cell>
          <cell r="F14" t="str">
            <v>R$ para KWh</v>
          </cell>
          <cell r="G14">
            <v>0.43463465000000001</v>
          </cell>
          <cell r="I14" t="str">
            <v>R$</v>
          </cell>
          <cell r="J14" t="str">
            <v>KWh</v>
          </cell>
        </row>
        <row r="15">
          <cell r="C15" t="str">
            <v>N/A</v>
          </cell>
          <cell r="E15" t="str">
            <v>Novembro</v>
          </cell>
          <cell r="F15" t="str">
            <v>R$ para KWh</v>
          </cell>
          <cell r="G15">
            <v>0.43418857999999999</v>
          </cell>
          <cell r="I15" t="str">
            <v>R$</v>
          </cell>
          <cell r="J15" t="str">
            <v>KWh</v>
          </cell>
        </row>
        <row r="16">
          <cell r="C16" t="str">
            <v>N/A</v>
          </cell>
          <cell r="E16" t="str">
            <v>Dezembro</v>
          </cell>
          <cell r="F16" t="str">
            <v>R$ para KWh</v>
          </cell>
          <cell r="G16">
            <v>0.43564165000000005</v>
          </cell>
          <cell r="I16" t="str">
            <v>R$</v>
          </cell>
          <cell r="J16" t="str">
            <v>KWh</v>
          </cell>
        </row>
        <row r="17">
          <cell r="C17" t="str">
            <v>N/A</v>
          </cell>
          <cell r="E17" t="str">
            <v>N/A</v>
          </cell>
          <cell r="F17" t="str">
            <v>MWh para GJ</v>
          </cell>
          <cell r="G17">
            <v>3.6</v>
          </cell>
          <cell r="I17" t="str">
            <v>GJ</v>
          </cell>
          <cell r="J17" t="str">
            <v>MWh</v>
          </cell>
        </row>
        <row r="18">
          <cell r="C18" t="str">
            <v>N/A</v>
          </cell>
          <cell r="E18" t="str">
            <v>N/A</v>
          </cell>
          <cell r="F18" t="str">
            <v>KWh para GJ</v>
          </cell>
          <cell r="G18">
            <v>3.5999999999999999E-3</v>
          </cell>
          <cell r="I18" t="str">
            <v>GJ</v>
          </cell>
          <cell r="J18" t="str">
            <v>KWh</v>
          </cell>
        </row>
        <row r="19">
          <cell r="C19" t="str">
            <v>N/A</v>
          </cell>
          <cell r="E19" t="str">
            <v>N/A</v>
          </cell>
          <cell r="F19" t="str">
            <v>MJ para GJ</v>
          </cell>
          <cell r="G19">
            <v>1E-3</v>
          </cell>
          <cell r="I19" t="str">
            <v>GJ</v>
          </cell>
          <cell r="J19" t="str">
            <v>MJ</v>
          </cell>
        </row>
        <row r="20">
          <cell r="C20" t="str">
            <v>N/A</v>
          </cell>
          <cell r="E20" t="str">
            <v>N/A</v>
          </cell>
          <cell r="F20" t="str">
            <v>GJ para GJ</v>
          </cell>
          <cell r="G20">
            <v>1</v>
          </cell>
          <cell r="I20" t="str">
            <v>GJ</v>
          </cell>
          <cell r="J20" t="str">
            <v>GJ</v>
          </cell>
        </row>
        <row r="21">
          <cell r="C21" t="str">
            <v>N/A</v>
          </cell>
          <cell r="E21" t="str">
            <v>N/A</v>
          </cell>
          <cell r="F21" t="str">
            <v>Vapor Gerado</v>
          </cell>
          <cell r="G21">
            <v>0</v>
          </cell>
          <cell r="I21" t="str">
            <v>GJ</v>
          </cell>
          <cell r="J21" t="str">
            <v>t</v>
          </cell>
        </row>
        <row r="22">
          <cell r="C22" t="str">
            <v>N/A</v>
          </cell>
          <cell r="E22" t="str">
            <v>N/A</v>
          </cell>
          <cell r="F22" t="str">
            <v>Eletricidade Comprada Janeiro</v>
          </cell>
          <cell r="G22">
            <v>3.5999999999999999E-3</v>
          </cell>
          <cell r="I22" t="str">
            <v>GJ</v>
          </cell>
          <cell r="J22" t="str">
            <v>KWh</v>
          </cell>
        </row>
        <row r="23">
          <cell r="C23" t="str">
            <v>N/A</v>
          </cell>
          <cell r="E23" t="str">
            <v>N/A</v>
          </cell>
          <cell r="F23" t="str">
            <v>Eletricidade Comprada Fevereiro</v>
          </cell>
          <cell r="G23">
            <v>3.5999999999999999E-3</v>
          </cell>
          <cell r="I23" t="str">
            <v>GJ</v>
          </cell>
          <cell r="J23" t="str">
            <v>KWh</v>
          </cell>
        </row>
        <row r="24">
          <cell r="C24" t="str">
            <v>N/A</v>
          </cell>
          <cell r="E24" t="str">
            <v>N/A</v>
          </cell>
          <cell r="F24" t="str">
            <v>Eletricidade Comprada Março</v>
          </cell>
          <cell r="G24">
            <v>3.5999999999999999E-3</v>
          </cell>
          <cell r="I24" t="str">
            <v>GJ</v>
          </cell>
          <cell r="J24" t="str">
            <v>KWh</v>
          </cell>
        </row>
        <row r="25">
          <cell r="C25" t="str">
            <v>N/A</v>
          </cell>
          <cell r="E25" t="str">
            <v>N/A</v>
          </cell>
          <cell r="F25" t="str">
            <v>Eletricidade Comprada Abril</v>
          </cell>
          <cell r="G25">
            <v>3.5999999999999999E-3</v>
          </cell>
          <cell r="I25" t="str">
            <v>GJ</v>
          </cell>
          <cell r="J25" t="str">
            <v>KWh</v>
          </cell>
        </row>
        <row r="26">
          <cell r="C26" t="str">
            <v>N/A</v>
          </cell>
          <cell r="E26" t="str">
            <v>N/A</v>
          </cell>
          <cell r="F26" t="str">
            <v>Eletricidade Comprada Maio</v>
          </cell>
          <cell r="G26">
            <v>3.5999999999999999E-3</v>
          </cell>
          <cell r="I26" t="str">
            <v>GJ</v>
          </cell>
          <cell r="J26" t="str">
            <v>KWh</v>
          </cell>
        </row>
        <row r="27">
          <cell r="C27" t="str">
            <v>N/A</v>
          </cell>
          <cell r="E27" t="str">
            <v>N/A</v>
          </cell>
          <cell r="F27" t="str">
            <v>Eletricidade Comprada Junho</v>
          </cell>
          <cell r="G27">
            <v>3.5999999999999999E-3</v>
          </cell>
          <cell r="I27" t="str">
            <v>GJ</v>
          </cell>
          <cell r="J27" t="str">
            <v>KWh</v>
          </cell>
        </row>
        <row r="28">
          <cell r="C28" t="str">
            <v>N/A</v>
          </cell>
          <cell r="E28" t="str">
            <v>N/A</v>
          </cell>
          <cell r="F28" t="str">
            <v>Eletricidade Comprada Julho</v>
          </cell>
          <cell r="G28">
            <v>3.5999999999999999E-3</v>
          </cell>
          <cell r="I28" t="str">
            <v>GJ</v>
          </cell>
          <cell r="J28" t="str">
            <v>KWh</v>
          </cell>
        </row>
        <row r="29">
          <cell r="C29" t="str">
            <v>N/A</v>
          </cell>
          <cell r="E29" t="str">
            <v>N/A</v>
          </cell>
          <cell r="F29" t="str">
            <v>Eletricidade Comprada Agosto</v>
          </cell>
          <cell r="G29">
            <v>3.5999999999999999E-3</v>
          </cell>
          <cell r="I29" t="str">
            <v>GJ</v>
          </cell>
          <cell r="J29" t="str">
            <v>KWh</v>
          </cell>
        </row>
        <row r="30">
          <cell r="C30" t="str">
            <v>N/A</v>
          </cell>
          <cell r="E30" t="str">
            <v>N/A</v>
          </cell>
          <cell r="F30" t="str">
            <v>Eletricidade Comprada Setembro</v>
          </cell>
          <cell r="G30">
            <v>3.5999999999999999E-3</v>
          </cell>
          <cell r="I30" t="str">
            <v>GJ</v>
          </cell>
          <cell r="J30" t="str">
            <v>KWh</v>
          </cell>
        </row>
        <row r="31">
          <cell r="C31" t="str">
            <v>N/A</v>
          </cell>
          <cell r="E31" t="str">
            <v>N/A</v>
          </cell>
          <cell r="F31" t="str">
            <v>Eletricidade Comprada Outubro</v>
          </cell>
          <cell r="G31">
            <v>3.5999999999999999E-3</v>
          </cell>
          <cell r="I31" t="str">
            <v>GJ</v>
          </cell>
          <cell r="J31" t="str">
            <v>KWh</v>
          </cell>
        </row>
        <row r="32">
          <cell r="C32" t="str">
            <v>N/A</v>
          </cell>
          <cell r="E32" t="str">
            <v>N/A</v>
          </cell>
          <cell r="F32" t="str">
            <v>Eletricidade Comprada Novembro</v>
          </cell>
          <cell r="G32">
            <v>3.5999999999999999E-3</v>
          </cell>
          <cell r="I32" t="str">
            <v>GJ</v>
          </cell>
          <cell r="J32" t="str">
            <v>KWh</v>
          </cell>
        </row>
        <row r="33">
          <cell r="C33" t="str">
            <v>N/A</v>
          </cell>
          <cell r="E33" t="str">
            <v>N/A</v>
          </cell>
          <cell r="F33" t="str">
            <v>Eletricidade Comprada Dezembro</v>
          </cell>
          <cell r="G33">
            <v>3.5999999999999999E-3</v>
          </cell>
          <cell r="I33" t="str">
            <v>GJ</v>
          </cell>
          <cell r="J33" t="str">
            <v>KWh</v>
          </cell>
        </row>
        <row r="34">
          <cell r="C34" t="str">
            <v>N/A</v>
          </cell>
          <cell r="E34" t="str">
            <v>N/A</v>
          </cell>
          <cell r="F34" t="str">
            <v>Eletricidade Comprada Janeiro</v>
          </cell>
          <cell r="G34">
            <v>3.6</v>
          </cell>
          <cell r="I34" t="str">
            <v>GJ</v>
          </cell>
          <cell r="J34" t="str">
            <v>MWh</v>
          </cell>
        </row>
        <row r="35">
          <cell r="C35" t="str">
            <v>N/A</v>
          </cell>
          <cell r="E35" t="str">
            <v>N/A</v>
          </cell>
          <cell r="F35" t="str">
            <v>Eletricidade Comprada Fevereiro</v>
          </cell>
          <cell r="G35">
            <v>3.6</v>
          </cell>
          <cell r="I35" t="str">
            <v>GJ</v>
          </cell>
          <cell r="J35" t="str">
            <v>MWh</v>
          </cell>
        </row>
        <row r="36">
          <cell r="C36" t="str">
            <v>N/A</v>
          </cell>
          <cell r="E36" t="str">
            <v>N/A</v>
          </cell>
          <cell r="F36" t="str">
            <v>Eletricidade Comprada Março</v>
          </cell>
          <cell r="G36">
            <v>3.6</v>
          </cell>
          <cell r="I36" t="str">
            <v>GJ</v>
          </cell>
          <cell r="J36" t="str">
            <v>MWh</v>
          </cell>
        </row>
        <row r="37">
          <cell r="C37" t="str">
            <v>N/A</v>
          </cell>
          <cell r="E37" t="str">
            <v>N/A</v>
          </cell>
          <cell r="F37" t="str">
            <v>Eletricidade Comprada Abril</v>
          </cell>
          <cell r="G37">
            <v>3.6</v>
          </cell>
          <cell r="I37" t="str">
            <v>GJ</v>
          </cell>
          <cell r="J37" t="str">
            <v>MWh</v>
          </cell>
        </row>
        <row r="38">
          <cell r="C38" t="str">
            <v>N/A</v>
          </cell>
          <cell r="E38" t="str">
            <v>N/A</v>
          </cell>
          <cell r="F38" t="str">
            <v>Eletricidade Comprada Maio</v>
          </cell>
          <cell r="G38">
            <v>3.6</v>
          </cell>
          <cell r="I38" t="str">
            <v>GJ</v>
          </cell>
          <cell r="J38" t="str">
            <v>MWh</v>
          </cell>
        </row>
        <row r="39">
          <cell r="C39" t="str">
            <v>N/A</v>
          </cell>
          <cell r="E39" t="str">
            <v>N/A</v>
          </cell>
          <cell r="F39" t="str">
            <v>Eletricidade Comprada Junho</v>
          </cell>
          <cell r="G39">
            <v>3.6</v>
          </cell>
          <cell r="I39" t="str">
            <v>GJ</v>
          </cell>
          <cell r="J39" t="str">
            <v>MWh</v>
          </cell>
        </row>
        <row r="40">
          <cell r="C40" t="str">
            <v>N/A</v>
          </cell>
          <cell r="E40" t="str">
            <v>N/A</v>
          </cell>
          <cell r="F40" t="str">
            <v>Eletricidade Comprada Julho</v>
          </cell>
          <cell r="G40">
            <v>3.6</v>
          </cell>
          <cell r="I40" t="str">
            <v>GJ</v>
          </cell>
          <cell r="J40" t="str">
            <v>MWh</v>
          </cell>
        </row>
        <row r="41">
          <cell r="C41" t="str">
            <v>N/A</v>
          </cell>
          <cell r="E41" t="str">
            <v>N/A</v>
          </cell>
          <cell r="F41" t="str">
            <v>Eletricidade Comprada Agosto</v>
          </cell>
          <cell r="G41">
            <v>3.6</v>
          </cell>
          <cell r="I41" t="str">
            <v>GJ</v>
          </cell>
          <cell r="J41" t="str">
            <v>MWh</v>
          </cell>
        </row>
        <row r="42">
          <cell r="C42" t="str">
            <v>N/A</v>
          </cell>
          <cell r="E42" t="str">
            <v>N/A</v>
          </cell>
          <cell r="F42" t="str">
            <v>Eletricidade Comprada Setembro</v>
          </cell>
          <cell r="G42">
            <v>3.6</v>
          </cell>
          <cell r="I42" t="str">
            <v>GJ</v>
          </cell>
          <cell r="J42" t="str">
            <v>MWh</v>
          </cell>
        </row>
        <row r="43">
          <cell r="C43" t="str">
            <v>N/A</v>
          </cell>
          <cell r="E43" t="str">
            <v>N/A</v>
          </cell>
          <cell r="F43" t="str">
            <v>Eletricidade Comprada Outubro</v>
          </cell>
          <cell r="G43">
            <v>3.6</v>
          </cell>
          <cell r="I43" t="str">
            <v>GJ</v>
          </cell>
          <cell r="J43" t="str">
            <v>MWh</v>
          </cell>
        </row>
        <row r="44">
          <cell r="C44" t="str">
            <v>N/A</v>
          </cell>
          <cell r="E44" t="str">
            <v>N/A</v>
          </cell>
          <cell r="F44" t="str">
            <v>Eletricidade Comprada Novembro</v>
          </cell>
          <cell r="G44">
            <v>3.6</v>
          </cell>
          <cell r="I44" t="str">
            <v>GJ</v>
          </cell>
          <cell r="J44" t="str">
            <v>MWh</v>
          </cell>
        </row>
        <row r="45">
          <cell r="C45" t="str">
            <v>N/A</v>
          </cell>
          <cell r="E45" t="str">
            <v>N/A</v>
          </cell>
          <cell r="F45" t="str">
            <v>Eletricidade Comprada Dezembro</v>
          </cell>
          <cell r="G45">
            <v>3.6</v>
          </cell>
          <cell r="I45" t="str">
            <v>GJ</v>
          </cell>
          <cell r="J45" t="str">
            <v>MWh</v>
          </cell>
        </row>
        <row r="46">
          <cell r="C46" t="str">
            <v>N/A</v>
          </cell>
          <cell r="E46" t="str">
            <v>N/A</v>
          </cell>
          <cell r="F46" t="str">
            <v>Eletricidade Comprada</v>
          </cell>
          <cell r="G46">
            <v>3.6</v>
          </cell>
          <cell r="I46" t="str">
            <v>GJ</v>
          </cell>
          <cell r="J46" t="str">
            <v>MWh</v>
          </cell>
        </row>
        <row r="47">
          <cell r="C47" t="str">
            <v>N/A</v>
          </cell>
          <cell r="E47" t="str">
            <v>N/A</v>
          </cell>
          <cell r="F47" t="str">
            <v>Eletricidade Comprada</v>
          </cell>
          <cell r="G47">
            <v>3.5999999999999999E-3</v>
          </cell>
          <cell r="I47" t="str">
            <v>GJ</v>
          </cell>
          <cell r="J47" t="str">
            <v>KWh</v>
          </cell>
        </row>
        <row r="48">
          <cell r="C48" t="str">
            <v>N/A</v>
          </cell>
          <cell r="E48" t="str">
            <v>N/A</v>
          </cell>
          <cell r="F48" t="str">
            <v>Eletricidade Gerada</v>
          </cell>
          <cell r="I48" t="str">
            <v>GJ</v>
          </cell>
          <cell r="J48" t="str">
            <v>MWh</v>
          </cell>
        </row>
        <row r="49">
          <cell r="C49" t="str">
            <v>N/A</v>
          </cell>
          <cell r="E49" t="str">
            <v>N/A</v>
          </cell>
          <cell r="F49" t="str">
            <v>Eletricidade Gerada</v>
          </cell>
          <cell r="G49">
            <v>0</v>
          </cell>
          <cell r="I49" t="str">
            <v>GJ</v>
          </cell>
          <cell r="J49" t="str">
            <v>KWh</v>
          </cell>
        </row>
        <row r="50">
          <cell r="C50" t="str">
            <v>N/A</v>
          </cell>
          <cell r="E50" t="str">
            <v>N/A</v>
          </cell>
          <cell r="F50" t="str">
            <v>Gás Carbônico</v>
          </cell>
          <cell r="G50">
            <v>44</v>
          </cell>
          <cell r="I50" t="str">
            <v>kg</v>
          </cell>
          <cell r="J50" t="str">
            <v>mol</v>
          </cell>
        </row>
        <row r="51">
          <cell r="C51" t="str">
            <v>N/A</v>
          </cell>
          <cell r="E51" t="str">
            <v>N/A</v>
          </cell>
          <cell r="F51" t="str">
            <v>Carbonato de Cálcio</v>
          </cell>
          <cell r="G51">
            <v>100.0869</v>
          </cell>
          <cell r="I51" t="str">
            <v>g</v>
          </cell>
          <cell r="J51" t="str">
            <v>mol</v>
          </cell>
        </row>
        <row r="52">
          <cell r="C52" t="str">
            <v>N/A</v>
          </cell>
          <cell r="E52" t="str">
            <v>N/A</v>
          </cell>
          <cell r="F52" t="str">
            <v>Acetileno</v>
          </cell>
          <cell r="G52">
            <v>26</v>
          </cell>
          <cell r="I52" t="str">
            <v>kg</v>
          </cell>
          <cell r="J52" t="str">
            <v>mol</v>
          </cell>
        </row>
        <row r="53">
          <cell r="C53" t="str">
            <v>N/A</v>
          </cell>
          <cell r="E53" t="str">
            <v>N/A</v>
          </cell>
          <cell r="F53" t="str">
            <v>Gás Carbônico</v>
          </cell>
          <cell r="G53">
            <v>44</v>
          </cell>
          <cell r="I53" t="str">
            <v>kg</v>
          </cell>
          <cell r="J53" t="str">
            <v>mol</v>
          </cell>
        </row>
        <row r="54">
          <cell r="C54" t="str">
            <v>N/A</v>
          </cell>
          <cell r="E54" t="str">
            <v>N/A</v>
          </cell>
          <cell r="F54" t="str">
            <v>Nitrogenio</v>
          </cell>
          <cell r="G54">
            <v>14</v>
          </cell>
          <cell r="I54" t="str">
            <v>g</v>
          </cell>
          <cell r="J54" t="str">
            <v>mol</v>
          </cell>
        </row>
        <row r="55">
          <cell r="C55" t="str">
            <v>N/A</v>
          </cell>
          <cell r="E55" t="str">
            <v>N/A</v>
          </cell>
          <cell r="F55" t="str">
            <v>Oxigenio</v>
          </cell>
          <cell r="G55">
            <v>16</v>
          </cell>
          <cell r="I55" t="str">
            <v>g</v>
          </cell>
          <cell r="J55" t="str">
            <v>mol</v>
          </cell>
        </row>
        <row r="56">
          <cell r="C56" t="str">
            <v>N/A</v>
          </cell>
          <cell r="E56" t="str">
            <v>N/A</v>
          </cell>
          <cell r="F56" t="str">
            <v>Proporção N₂O / N2</v>
          </cell>
          <cell r="G56">
            <v>1.5714285714285714</v>
          </cell>
          <cell r="I56" t="str">
            <v>g</v>
          </cell>
          <cell r="J56" t="str">
            <v>mol</v>
          </cell>
        </row>
        <row r="57">
          <cell r="C57" t="str">
            <v>Fontes Móveis</v>
          </cell>
          <cell r="E57" t="str">
            <v>Veículos Leves</v>
          </cell>
          <cell r="F57" t="str">
            <v>Gasolina C</v>
          </cell>
          <cell r="G57">
            <v>12</v>
          </cell>
          <cell r="I57" t="str">
            <v>km</v>
          </cell>
          <cell r="J57" t="str">
            <v>L</v>
          </cell>
        </row>
        <row r="58">
          <cell r="C58" t="str">
            <v>Fontes Móveis</v>
          </cell>
          <cell r="E58" t="str">
            <v>Veículos Leves</v>
          </cell>
          <cell r="F58" t="str">
            <v>Etanol Hidratado</v>
          </cell>
          <cell r="G58">
            <v>8</v>
          </cell>
          <cell r="I58" t="str">
            <v>km</v>
          </cell>
          <cell r="J58" t="str">
            <v>L</v>
          </cell>
        </row>
        <row r="59">
          <cell r="C59" t="str">
            <v>Fontes Móveis</v>
          </cell>
          <cell r="E59" t="str">
            <v>Veículos Leves</v>
          </cell>
          <cell r="F59" t="str">
            <v>Diesel B5</v>
          </cell>
          <cell r="G59">
            <v>9.09</v>
          </cell>
          <cell r="I59" t="str">
            <v>km</v>
          </cell>
          <cell r="J59" t="str">
            <v>L</v>
          </cell>
        </row>
        <row r="60">
          <cell r="C60" t="str">
            <v>Fontes Móveis</v>
          </cell>
          <cell r="E60" t="str">
            <v>Veículos Leves</v>
          </cell>
          <cell r="F60" t="str">
            <v>GNV</v>
          </cell>
          <cell r="G60">
            <v>12</v>
          </cell>
          <cell r="I60" t="str">
            <v>km</v>
          </cell>
          <cell r="J60" t="str">
            <v>m³</v>
          </cell>
        </row>
        <row r="61">
          <cell r="C61" t="str">
            <v>Fontes Móveis</v>
          </cell>
          <cell r="E61" t="str">
            <v>Caminhões Leves</v>
          </cell>
          <cell r="F61" t="str">
            <v>Diesel B5</v>
          </cell>
          <cell r="G61">
            <v>7.61</v>
          </cell>
          <cell r="I61" t="str">
            <v>km</v>
          </cell>
          <cell r="J61" t="str">
            <v>L</v>
          </cell>
        </row>
        <row r="62">
          <cell r="C62" t="str">
            <v>Fontes Móveis</v>
          </cell>
          <cell r="E62" t="str">
            <v>Caminhões Médios</v>
          </cell>
          <cell r="F62" t="str">
            <v>Diesel B5</v>
          </cell>
          <cell r="G62">
            <v>5.56</v>
          </cell>
          <cell r="I62" t="str">
            <v>km</v>
          </cell>
          <cell r="J62" t="str">
            <v>L</v>
          </cell>
        </row>
        <row r="63">
          <cell r="C63" t="str">
            <v>Fontes Móveis</v>
          </cell>
          <cell r="E63" t="str">
            <v>Caminhões Pesados</v>
          </cell>
          <cell r="F63" t="str">
            <v>Diesel B5</v>
          </cell>
          <cell r="G63">
            <v>3.17</v>
          </cell>
          <cell r="I63" t="str">
            <v>km</v>
          </cell>
          <cell r="J63" t="str">
            <v>L</v>
          </cell>
        </row>
        <row r="64">
          <cell r="C64" t="str">
            <v>Fontes Móveis</v>
          </cell>
          <cell r="E64" t="str">
            <v>Ônibus Urbano</v>
          </cell>
          <cell r="F64" t="str">
            <v>Diesel B5</v>
          </cell>
          <cell r="G64">
            <v>2.2999999999999998</v>
          </cell>
          <cell r="I64" t="str">
            <v>km</v>
          </cell>
          <cell r="J64" t="str">
            <v>L</v>
          </cell>
        </row>
        <row r="65">
          <cell r="C65" t="str">
            <v>Fontes Móveis</v>
          </cell>
          <cell r="E65" t="str">
            <v>Ônibus Rodoviário</v>
          </cell>
          <cell r="F65" t="str">
            <v>Diesel B5</v>
          </cell>
          <cell r="G65">
            <v>3.03</v>
          </cell>
          <cell r="I65" t="str">
            <v>km</v>
          </cell>
          <cell r="J65" t="str">
            <v>L</v>
          </cell>
        </row>
        <row r="66">
          <cell r="C66" t="str">
            <v>Fontes Móveis</v>
          </cell>
          <cell r="E66" t="str">
            <v>Motocicletas</v>
          </cell>
          <cell r="F66" t="str">
            <v>Gasolina A</v>
          </cell>
          <cell r="G66">
            <v>40</v>
          </cell>
          <cell r="I66" t="str">
            <v>km</v>
          </cell>
          <cell r="J66" t="str">
            <v>L</v>
          </cell>
        </row>
        <row r="67">
          <cell r="C67" t="str">
            <v>Fontes Móveis</v>
          </cell>
          <cell r="E67" t="str">
            <v>Motocicletas</v>
          </cell>
          <cell r="F67" t="str">
            <v>Gasolina C</v>
          </cell>
          <cell r="G67">
            <v>40</v>
          </cell>
          <cell r="I67" t="str">
            <v>km</v>
          </cell>
          <cell r="J67" t="str">
            <v>L</v>
          </cell>
        </row>
        <row r="68">
          <cell r="C68" t="str">
            <v>Fontes Móveis</v>
          </cell>
          <cell r="E68" t="str">
            <v>Motocicletas</v>
          </cell>
          <cell r="F68" t="str">
            <v>Etanol Hidratado</v>
          </cell>
          <cell r="G68">
            <v>25</v>
          </cell>
          <cell r="I68" t="str">
            <v>km</v>
          </cell>
          <cell r="J68" t="str">
            <v>L</v>
          </cell>
        </row>
        <row r="69">
          <cell r="C69" t="str">
            <v>N/A</v>
          </cell>
          <cell r="E69" t="str">
            <v>Diesel B5</v>
          </cell>
          <cell r="F69" t="str">
            <v>% de Biodiesel no Diesel Brasileiro</v>
          </cell>
          <cell r="G69">
            <v>0.05</v>
          </cell>
          <cell r="I69" t="str">
            <v>N/A</v>
          </cell>
          <cell r="J69" t="str">
            <v>N/A</v>
          </cell>
        </row>
        <row r="70">
          <cell r="C70" t="str">
            <v>N/A</v>
          </cell>
          <cell r="E70" t="str">
            <v>Gasolina C</v>
          </cell>
          <cell r="F70" t="str">
            <v>% de Etanol na Gasolina Brasileira</v>
          </cell>
          <cell r="G70">
            <v>0.23330000000000001</v>
          </cell>
          <cell r="I70" t="str">
            <v>N/A</v>
          </cell>
          <cell r="J70" t="str">
            <v>N/A</v>
          </cell>
        </row>
        <row r="71">
          <cell r="C71" t="str">
            <v>N/A</v>
          </cell>
          <cell r="E71" t="str">
            <v>N/A</v>
          </cell>
          <cell r="F71" t="str">
            <v>Óleo Combustível Pesado</v>
          </cell>
          <cell r="G71">
            <v>4.0151411999999997E-2</v>
          </cell>
          <cell r="I71" t="str">
            <v>GJ</v>
          </cell>
          <cell r="J71" t="str">
            <v>kg</v>
          </cell>
        </row>
        <row r="72">
          <cell r="C72" t="str">
            <v>N/A</v>
          </cell>
          <cell r="E72" t="str">
            <v>N/A</v>
          </cell>
          <cell r="F72" t="str">
            <v>Biodiesel</v>
          </cell>
          <cell r="G72">
            <v>3.7681199999999998E-2</v>
          </cell>
          <cell r="I72" t="str">
            <v>GJ</v>
          </cell>
          <cell r="J72" t="str">
            <v>kg</v>
          </cell>
        </row>
        <row r="73">
          <cell r="C73" t="str">
            <v>N/A</v>
          </cell>
          <cell r="E73" t="str">
            <v>N/A</v>
          </cell>
          <cell r="F73" t="str">
            <v>Etanol Anidro</v>
          </cell>
          <cell r="G73">
            <v>2.8260899999999999E-2</v>
          </cell>
          <cell r="I73" t="str">
            <v>GJ</v>
          </cell>
          <cell r="J73" t="str">
            <v>kg</v>
          </cell>
        </row>
        <row r="74">
          <cell r="C74" t="str">
            <v>N/A</v>
          </cell>
          <cell r="E74" t="str">
            <v>N/A</v>
          </cell>
          <cell r="F74" t="str">
            <v>Etanol Hidratado</v>
          </cell>
          <cell r="G74">
            <v>2.6376840000000002E-2</v>
          </cell>
          <cell r="I74" t="str">
            <v>GJ</v>
          </cell>
          <cell r="J74" t="str">
            <v>kg</v>
          </cell>
        </row>
        <row r="75">
          <cell r="C75" t="str">
            <v>N/A</v>
          </cell>
          <cell r="E75" t="str">
            <v>N/A</v>
          </cell>
          <cell r="F75" t="str">
            <v>Biomassa</v>
          </cell>
          <cell r="G75">
            <v>1.1599999999999999E-2</v>
          </cell>
          <cell r="I75" t="str">
            <v>GJ</v>
          </cell>
          <cell r="J75" t="str">
            <v>kg</v>
          </cell>
        </row>
        <row r="76">
          <cell r="C76" t="str">
            <v>N/A</v>
          </cell>
          <cell r="E76" t="str">
            <v>N/A</v>
          </cell>
          <cell r="F76" t="str">
            <v>Diesel B5</v>
          </cell>
          <cell r="G76">
            <v>4.2723555093555091E-2</v>
          </cell>
          <cell r="I76" t="str">
            <v>GJ</v>
          </cell>
          <cell r="J76" t="str">
            <v>kg</v>
          </cell>
        </row>
        <row r="77">
          <cell r="C77" t="str">
            <v>N/A</v>
          </cell>
          <cell r="E77" t="str">
            <v>N/A</v>
          </cell>
          <cell r="F77" t="str">
            <v>Óleo Diesel</v>
          </cell>
          <cell r="G77">
            <v>4.2999999999999997E-2</v>
          </cell>
          <cell r="I77" t="str">
            <v>GJ</v>
          </cell>
          <cell r="J77" t="str">
            <v>kg</v>
          </cell>
        </row>
        <row r="78">
          <cell r="C78" t="str">
            <v>N/A</v>
          </cell>
          <cell r="E78" t="str">
            <v>N/A</v>
          </cell>
          <cell r="F78" t="str">
            <v>Gasolina C</v>
          </cell>
          <cell r="G78">
            <v>4.0371494833931196E-2</v>
          </cell>
          <cell r="I78" t="str">
            <v>GJ</v>
          </cell>
          <cell r="J78" t="str">
            <v>kg</v>
          </cell>
        </row>
        <row r="79">
          <cell r="C79" t="str">
            <v>N/A</v>
          </cell>
          <cell r="E79" t="str">
            <v>N/A</v>
          </cell>
          <cell r="F79" t="str">
            <v>Gasolina A</v>
          </cell>
          <cell r="G79">
            <v>4.4299999999999999E-2</v>
          </cell>
          <cell r="I79" t="str">
            <v>GJ</v>
          </cell>
          <cell r="J79" t="str">
            <v>kg</v>
          </cell>
        </row>
        <row r="80">
          <cell r="C80" t="str">
            <v>N/A</v>
          </cell>
          <cell r="E80" t="str">
            <v>N/A</v>
          </cell>
          <cell r="F80" t="str">
            <v>Gasolina de Aviação</v>
          </cell>
          <cell r="G80">
            <v>4.4380080000000002E-2</v>
          </cell>
          <cell r="I80" t="str">
            <v>GJ</v>
          </cell>
          <cell r="J80" t="str">
            <v>kg</v>
          </cell>
        </row>
        <row r="81">
          <cell r="C81" t="str">
            <v>N/A</v>
          </cell>
          <cell r="E81" t="str">
            <v>N/A</v>
          </cell>
          <cell r="F81" t="str">
            <v>Querosene de Aviação</v>
          </cell>
          <cell r="G81">
            <v>4.354272E-2</v>
          </cell>
          <cell r="I81" t="str">
            <v>GJ</v>
          </cell>
          <cell r="J81" t="str">
            <v>kg</v>
          </cell>
        </row>
        <row r="82">
          <cell r="C82" t="str">
            <v>N/A</v>
          </cell>
          <cell r="E82" t="str">
            <v>N/A</v>
          </cell>
          <cell r="F82" t="str">
            <v>Querosene</v>
          </cell>
          <cell r="G82">
            <v>4.982292E-2</v>
          </cell>
          <cell r="I82" t="str">
            <v>GJ</v>
          </cell>
          <cell r="J82" t="str">
            <v>kg</v>
          </cell>
        </row>
        <row r="83">
          <cell r="C83" t="str">
            <v>N/A</v>
          </cell>
          <cell r="E83" t="str">
            <v>N/A</v>
          </cell>
          <cell r="F83" t="str">
            <v>GLP</v>
          </cell>
          <cell r="G83">
            <v>4.6473479999999998E-2</v>
          </cell>
          <cell r="I83" t="str">
            <v>GJ</v>
          </cell>
          <cell r="J83" t="str">
            <v>kg</v>
          </cell>
        </row>
        <row r="84">
          <cell r="C84" t="str">
            <v>N/A</v>
          </cell>
          <cell r="E84" t="str">
            <v>N/A</v>
          </cell>
          <cell r="F84" t="str">
            <v xml:space="preserve">Carvão Vegetal </v>
          </cell>
          <cell r="G84">
            <v>2.7046727999999999E-2</v>
          </cell>
          <cell r="I84" t="str">
            <v>GJ</v>
          </cell>
          <cell r="J84" t="str">
            <v>kg</v>
          </cell>
        </row>
        <row r="85">
          <cell r="C85" t="str">
            <v>N/A</v>
          </cell>
          <cell r="E85" t="str">
            <v>N/A</v>
          </cell>
          <cell r="F85" t="str">
            <v>Gás Natural</v>
          </cell>
          <cell r="G85">
            <v>4.6054799999999993E-2</v>
          </cell>
          <cell r="I85" t="str">
            <v>GJ</v>
          </cell>
          <cell r="J85" t="str">
            <v>kg</v>
          </cell>
        </row>
        <row r="86">
          <cell r="C86" t="str">
            <v>N/A</v>
          </cell>
          <cell r="E86" t="str">
            <v>N/A</v>
          </cell>
          <cell r="F86" t="str">
            <v>Carvão (Sub-Bit)</v>
          </cell>
          <cell r="G86">
            <v>1.89E-2</v>
          </cell>
          <cell r="I86" t="str">
            <v>GJ</v>
          </cell>
          <cell r="J86" t="str">
            <v>kg</v>
          </cell>
        </row>
        <row r="87">
          <cell r="C87" t="str">
            <v>N/A</v>
          </cell>
          <cell r="E87" t="str">
            <v>N/A</v>
          </cell>
          <cell r="F87" t="str">
            <v>Resíduo de madeira</v>
          </cell>
          <cell r="G87">
            <v>1.297908E-2</v>
          </cell>
          <cell r="I87" t="str">
            <v>GJ</v>
          </cell>
          <cell r="J87" t="str">
            <v>kg</v>
          </cell>
        </row>
        <row r="88">
          <cell r="C88" t="str">
            <v>N/A</v>
          </cell>
          <cell r="E88" t="str">
            <v>N/A</v>
          </cell>
          <cell r="F88" t="str">
            <v>Licor Negro</v>
          </cell>
          <cell r="G88">
            <v>1.1974248E-2</v>
          </cell>
          <cell r="I88" t="str">
            <v>GJ</v>
          </cell>
          <cell r="J88" t="str">
            <v>kg</v>
          </cell>
        </row>
        <row r="89">
          <cell r="C89" t="str">
            <v>N/A</v>
          </cell>
          <cell r="E89" t="str">
            <v>N/A</v>
          </cell>
          <cell r="F89" t="str">
            <v>Óleo Combustível Pesado</v>
          </cell>
          <cell r="G89">
            <v>40.151412000000001</v>
          </cell>
          <cell r="I89" t="str">
            <v>GJ</v>
          </cell>
          <cell r="J89" t="str">
            <v>t</v>
          </cell>
        </row>
        <row r="90">
          <cell r="C90" t="str">
            <v>N/A</v>
          </cell>
          <cell r="E90" t="str">
            <v>N/A</v>
          </cell>
          <cell r="F90" t="str">
            <v>Biodiesel</v>
          </cell>
          <cell r="G90">
            <v>37.681199999999997</v>
          </cell>
          <cell r="I90" t="str">
            <v>GJ</v>
          </cell>
          <cell r="J90" t="str">
            <v>t</v>
          </cell>
        </row>
        <row r="91">
          <cell r="C91" t="str">
            <v>N/A</v>
          </cell>
          <cell r="E91" t="str">
            <v>N/A</v>
          </cell>
          <cell r="F91" t="str">
            <v>Etanol Anidro</v>
          </cell>
          <cell r="G91">
            <v>28.260899999999999</v>
          </cell>
          <cell r="I91" t="str">
            <v>GJ</v>
          </cell>
          <cell r="J91" t="str">
            <v>t</v>
          </cell>
        </row>
        <row r="92">
          <cell r="C92" t="str">
            <v>N/A</v>
          </cell>
          <cell r="E92" t="str">
            <v>N/A</v>
          </cell>
          <cell r="F92" t="str">
            <v>Etanol Hidratado</v>
          </cell>
          <cell r="G92">
            <v>26.376840000000001</v>
          </cell>
          <cell r="I92" t="str">
            <v>GJ</v>
          </cell>
          <cell r="J92" t="str">
            <v>t</v>
          </cell>
        </row>
        <row r="93">
          <cell r="C93" t="str">
            <v>N/A</v>
          </cell>
          <cell r="E93" t="str">
            <v>N/A</v>
          </cell>
          <cell r="F93" t="str">
            <v>Biomassa</v>
          </cell>
          <cell r="G93">
            <v>11.6</v>
          </cell>
          <cell r="I93" t="str">
            <v>GJ</v>
          </cell>
          <cell r="J93" t="str">
            <v>t</v>
          </cell>
        </row>
        <row r="94">
          <cell r="C94" t="str">
            <v>N/A</v>
          </cell>
          <cell r="E94" t="str">
            <v>N/A</v>
          </cell>
          <cell r="F94" t="str">
            <v>Diesel B5</v>
          </cell>
          <cell r="G94">
            <v>42.723555093555092</v>
          </cell>
          <cell r="I94" t="str">
            <v>GJ</v>
          </cell>
          <cell r="J94" t="str">
            <v>t</v>
          </cell>
        </row>
        <row r="95">
          <cell r="C95" t="str">
            <v>N/A</v>
          </cell>
          <cell r="E95" t="str">
            <v>N/A</v>
          </cell>
          <cell r="F95" t="str">
            <v>Óleo Diesel</v>
          </cell>
          <cell r="G95">
            <v>43</v>
          </cell>
          <cell r="I95" t="str">
            <v>GJ</v>
          </cell>
          <cell r="J95" t="str">
            <v>t</v>
          </cell>
        </row>
        <row r="96">
          <cell r="C96" t="str">
            <v>N/A</v>
          </cell>
          <cell r="E96" t="str">
            <v>N/A</v>
          </cell>
          <cell r="F96" t="str">
            <v>Gasolina C</v>
          </cell>
          <cell r="G96">
            <v>40.371494833931195</v>
          </cell>
          <cell r="I96" t="str">
            <v>GJ</v>
          </cell>
          <cell r="J96" t="str">
            <v>t</v>
          </cell>
        </row>
        <row r="97">
          <cell r="C97" t="str">
            <v>N/A</v>
          </cell>
          <cell r="E97" t="str">
            <v>N/A</v>
          </cell>
          <cell r="F97" t="str">
            <v>Gasolina A</v>
          </cell>
          <cell r="G97">
            <v>44.3</v>
          </cell>
          <cell r="I97" t="str">
            <v>GJ</v>
          </cell>
          <cell r="J97" t="str">
            <v>t</v>
          </cell>
        </row>
        <row r="98">
          <cell r="C98" t="str">
            <v>N/A</v>
          </cell>
          <cell r="E98" t="str">
            <v>N/A</v>
          </cell>
          <cell r="F98" t="str">
            <v>Gasolina de Aviação</v>
          </cell>
          <cell r="G98">
            <v>44.38008</v>
          </cell>
          <cell r="I98" t="str">
            <v>GJ</v>
          </cell>
          <cell r="J98" t="str">
            <v>t</v>
          </cell>
        </row>
        <row r="99">
          <cell r="C99" t="str">
            <v>N/A</v>
          </cell>
          <cell r="E99" t="str">
            <v>N/A</v>
          </cell>
          <cell r="F99" t="str">
            <v>Querosene de Aviação</v>
          </cell>
          <cell r="G99">
            <v>43.542720000000003</v>
          </cell>
          <cell r="I99" t="str">
            <v>GJ</v>
          </cell>
          <cell r="J99" t="str">
            <v>t</v>
          </cell>
        </row>
        <row r="100">
          <cell r="C100" t="str">
            <v>N/A</v>
          </cell>
          <cell r="E100" t="str">
            <v>N/A</v>
          </cell>
          <cell r="F100" t="str">
            <v>Querosene</v>
          </cell>
          <cell r="G100">
            <v>49.822919999999996</v>
          </cell>
          <cell r="I100" t="str">
            <v>GJ</v>
          </cell>
          <cell r="J100" t="str">
            <v>t</v>
          </cell>
        </row>
        <row r="101">
          <cell r="C101" t="str">
            <v>N/A</v>
          </cell>
          <cell r="E101" t="str">
            <v>N/A</v>
          </cell>
          <cell r="F101" t="str">
            <v>GLP</v>
          </cell>
          <cell r="G101">
            <v>46.473479999999995</v>
          </cell>
          <cell r="I101" t="str">
            <v>GJ</v>
          </cell>
          <cell r="J101" t="str">
            <v>t</v>
          </cell>
        </row>
        <row r="102">
          <cell r="C102" t="str">
            <v>N/A</v>
          </cell>
          <cell r="E102" t="str">
            <v>N/A</v>
          </cell>
          <cell r="F102" t="str">
            <v xml:space="preserve">Carvão Vegetal </v>
          </cell>
          <cell r="G102">
            <v>27.046727999999998</v>
          </cell>
          <cell r="I102" t="str">
            <v>GJ</v>
          </cell>
          <cell r="J102" t="str">
            <v>t</v>
          </cell>
        </row>
        <row r="103">
          <cell r="C103" t="str">
            <v>N/A</v>
          </cell>
          <cell r="E103" t="str">
            <v>N/A</v>
          </cell>
          <cell r="F103" t="str">
            <v>Gás Natural</v>
          </cell>
          <cell r="G103">
            <v>46.054799999999993</v>
          </cell>
          <cell r="I103" t="str">
            <v>GJ</v>
          </cell>
          <cell r="J103" t="str">
            <v>t</v>
          </cell>
        </row>
        <row r="104">
          <cell r="C104" t="str">
            <v>N/A</v>
          </cell>
          <cell r="E104" t="str">
            <v>N/A</v>
          </cell>
          <cell r="F104" t="str">
            <v>Carvão (Sub-Bit)</v>
          </cell>
          <cell r="G104">
            <v>18.899999999999999</v>
          </cell>
          <cell r="I104" t="str">
            <v>GJ</v>
          </cell>
          <cell r="J104" t="str">
            <v>t</v>
          </cell>
        </row>
        <row r="105">
          <cell r="C105" t="str">
            <v>N/A</v>
          </cell>
          <cell r="E105" t="str">
            <v>N/A</v>
          </cell>
          <cell r="F105" t="str">
            <v>Resíduo de madeira</v>
          </cell>
          <cell r="G105">
            <v>390</v>
          </cell>
          <cell r="I105" t="str">
            <v>kg</v>
          </cell>
          <cell r="J105" t="str">
            <v>m³</v>
          </cell>
        </row>
        <row r="106">
          <cell r="C106" t="str">
            <v>N/A</v>
          </cell>
          <cell r="E106" t="str">
            <v>N/A</v>
          </cell>
          <cell r="F106" t="str">
            <v>Resíduo de madeira</v>
          </cell>
          <cell r="G106">
            <v>5.0618411999999999</v>
          </cell>
          <cell r="I106" t="str">
            <v>GJ</v>
          </cell>
          <cell r="J106" t="str">
            <v>m³</v>
          </cell>
        </row>
        <row r="107">
          <cell r="C107" t="str">
            <v>N/A</v>
          </cell>
          <cell r="E107" t="str">
            <v>N/A</v>
          </cell>
          <cell r="F107" t="str">
            <v>Resíduo de madeira</v>
          </cell>
          <cell r="G107">
            <v>12.97908</v>
          </cell>
          <cell r="I107" t="str">
            <v>GJ</v>
          </cell>
          <cell r="J107" t="str">
            <v>t</v>
          </cell>
        </row>
        <row r="108">
          <cell r="C108" t="str">
            <v>N/A</v>
          </cell>
          <cell r="E108" t="str">
            <v>N/A</v>
          </cell>
          <cell r="F108" t="str">
            <v>Licor Negro</v>
          </cell>
          <cell r="G108">
            <v>11.974247999999999</v>
          </cell>
          <cell r="I108" t="str">
            <v>GJ</v>
          </cell>
          <cell r="J108" t="str">
            <v>t</v>
          </cell>
        </row>
        <row r="109">
          <cell r="C109" t="str">
            <v>N/A</v>
          </cell>
          <cell r="E109" t="str">
            <v>N/A</v>
          </cell>
          <cell r="F109" t="str">
            <v>Óleo Combustível Pesado</v>
          </cell>
          <cell r="G109">
            <v>4.0151412000000004E-2</v>
          </cell>
          <cell r="I109" t="str">
            <v>GJ</v>
          </cell>
          <cell r="J109" t="str">
            <v>L</v>
          </cell>
        </row>
        <row r="110">
          <cell r="C110" t="str">
            <v>N/A</v>
          </cell>
          <cell r="E110" t="str">
            <v>N/A</v>
          </cell>
          <cell r="F110" t="str">
            <v>Biodiesel</v>
          </cell>
          <cell r="G110">
            <v>3.2971049999999995E-2</v>
          </cell>
          <cell r="I110" t="str">
            <v>GJ</v>
          </cell>
          <cell r="J110" t="str">
            <v>L</v>
          </cell>
        </row>
        <row r="111">
          <cell r="C111" t="str">
            <v>N/A</v>
          </cell>
          <cell r="E111" t="str">
            <v>N/A</v>
          </cell>
          <cell r="F111" t="str">
            <v>Etanol Anidro</v>
          </cell>
          <cell r="G111">
            <v>2.2354371899999999E-2</v>
          </cell>
          <cell r="I111" t="str">
            <v>GJ</v>
          </cell>
          <cell r="J111" t="str">
            <v>L</v>
          </cell>
        </row>
        <row r="112">
          <cell r="C112" t="str">
            <v>N/A</v>
          </cell>
          <cell r="E112" t="str">
            <v>N/A</v>
          </cell>
          <cell r="F112" t="str">
            <v>Etanol Hidratado</v>
          </cell>
          <cell r="G112">
            <v>2.1338863560000001E-2</v>
          </cell>
          <cell r="I112" t="str">
            <v>GJ</v>
          </cell>
          <cell r="J112" t="str">
            <v>L</v>
          </cell>
        </row>
        <row r="113">
          <cell r="C113" t="str">
            <v>N/A</v>
          </cell>
          <cell r="E113" t="str">
            <v>N/A</v>
          </cell>
          <cell r="F113" t="str">
            <v>Diesel B5</v>
          </cell>
          <cell r="G113">
            <v>3.5962552500000002E-2</v>
          </cell>
          <cell r="I113" t="str">
            <v>GJ</v>
          </cell>
          <cell r="J113" t="str">
            <v>L</v>
          </cell>
        </row>
        <row r="114">
          <cell r="C114" t="str">
            <v>N/A</v>
          </cell>
          <cell r="E114" t="str">
            <v>N/A</v>
          </cell>
          <cell r="F114" t="str">
            <v>Óleo Diesel</v>
          </cell>
          <cell r="G114">
            <v>3.6119999999999999E-2</v>
          </cell>
          <cell r="I114" t="str">
            <v>GJ</v>
          </cell>
          <cell r="J114" t="str">
            <v>L</v>
          </cell>
        </row>
        <row r="115">
          <cell r="C115" t="str">
            <v>N/A</v>
          </cell>
          <cell r="E115" t="str">
            <v>N/A</v>
          </cell>
          <cell r="F115" t="str">
            <v>Gasolina C</v>
          </cell>
          <cell r="G115">
            <v>3.0417163984269996E-2</v>
          </cell>
          <cell r="I115" t="str">
            <v>GJ</v>
          </cell>
          <cell r="J115" t="str">
            <v>L</v>
          </cell>
        </row>
        <row r="116">
          <cell r="C116" t="str">
            <v>N/A</v>
          </cell>
          <cell r="E116" t="str">
            <v>N/A</v>
          </cell>
          <cell r="F116" t="str">
            <v>Gasolina A</v>
          </cell>
          <cell r="G116">
            <v>3.28706E-2</v>
          </cell>
          <cell r="I116" t="str">
            <v>GJ</v>
          </cell>
          <cell r="J116" t="str">
            <v>L</v>
          </cell>
        </row>
        <row r="117">
          <cell r="C117" t="str">
            <v>N/A</v>
          </cell>
          <cell r="E117" t="str">
            <v>N/A</v>
          </cell>
          <cell r="F117" t="str">
            <v>Gasolina de Aviação</v>
          </cell>
          <cell r="G117">
            <v>3.2219938079999996E-2</v>
          </cell>
          <cell r="I117" t="str">
            <v>GJ</v>
          </cell>
          <cell r="J117" t="str">
            <v>L</v>
          </cell>
        </row>
        <row r="118">
          <cell r="C118" t="str">
            <v>N/A</v>
          </cell>
          <cell r="E118" t="str">
            <v>N/A</v>
          </cell>
          <cell r="F118" t="str">
            <v>Querosene de Aviação</v>
          </cell>
          <cell r="G118">
            <v>3.4790633280000004E-2</v>
          </cell>
          <cell r="I118" t="str">
            <v>GJ</v>
          </cell>
          <cell r="J118" t="str">
            <v>L</v>
          </cell>
        </row>
        <row r="119">
          <cell r="C119" t="str">
            <v>N/A</v>
          </cell>
          <cell r="E119" t="str">
            <v>N/A</v>
          </cell>
          <cell r="F119" t="str">
            <v>Querosene</v>
          </cell>
          <cell r="G119">
            <v>3.9808513079999996E-2</v>
          </cell>
          <cell r="I119" t="str">
            <v>GJ</v>
          </cell>
          <cell r="J119" t="str">
            <v>L</v>
          </cell>
        </row>
        <row r="120">
          <cell r="C120" t="str">
            <v>N/A</v>
          </cell>
          <cell r="E120" t="str">
            <v>N/A</v>
          </cell>
          <cell r="F120" t="str">
            <v>GLP</v>
          </cell>
          <cell r="G120">
            <v>2.5653360959999996E-2</v>
          </cell>
          <cell r="I120" t="str">
            <v>GJ</v>
          </cell>
          <cell r="J120" t="str">
            <v>L</v>
          </cell>
        </row>
        <row r="121">
          <cell r="C121" t="str">
            <v>N/A</v>
          </cell>
          <cell r="E121" t="str">
            <v>N/A</v>
          </cell>
          <cell r="F121" t="str">
            <v>GLP</v>
          </cell>
          <cell r="G121">
            <v>25.653360959999997</v>
          </cell>
          <cell r="I121" t="str">
            <v>GJ</v>
          </cell>
          <cell r="J121" t="str">
            <v>m³</v>
          </cell>
        </row>
        <row r="122">
          <cell r="C122" t="str">
            <v>N/A</v>
          </cell>
          <cell r="E122" t="str">
            <v>N/A</v>
          </cell>
          <cell r="F122" t="str">
            <v xml:space="preserve">Carvão Vegetal </v>
          </cell>
          <cell r="G122">
            <v>6.7616819999999998E-3</v>
          </cell>
          <cell r="I122" t="str">
            <v>GJ</v>
          </cell>
          <cell r="J122" t="str">
            <v>L</v>
          </cell>
        </row>
        <row r="123">
          <cell r="C123" t="str">
            <v>N/A</v>
          </cell>
          <cell r="E123" t="str">
            <v>N/A</v>
          </cell>
          <cell r="F123" t="str">
            <v>Lubrificantes</v>
          </cell>
          <cell r="G123">
            <v>3.7289999999999997E-2</v>
          </cell>
          <cell r="I123" t="str">
            <v>GJ</v>
          </cell>
          <cell r="J123" t="str">
            <v>L</v>
          </cell>
        </row>
        <row r="124">
          <cell r="C124" t="str">
            <v>N/A</v>
          </cell>
          <cell r="E124" t="str">
            <v>N/A</v>
          </cell>
          <cell r="F124" t="str">
            <v>Gás Natural</v>
          </cell>
          <cell r="G124">
            <v>3.6843839999999996E-2</v>
          </cell>
          <cell r="I124" t="str">
            <v>GJ</v>
          </cell>
          <cell r="J124" t="str">
            <v>m³</v>
          </cell>
        </row>
        <row r="125">
          <cell r="C125" t="str">
            <v>N/A</v>
          </cell>
          <cell r="E125" t="str">
            <v>N/A</v>
          </cell>
          <cell r="F125" t="str">
            <v>Óleo Combustível Pesado</v>
          </cell>
          <cell r="G125">
            <v>1E-3</v>
          </cell>
          <cell r="I125" t="str">
            <v>t</v>
          </cell>
          <cell r="J125" t="str">
            <v>L</v>
          </cell>
        </row>
        <row r="126">
          <cell r="C126" t="str">
            <v>N/A</v>
          </cell>
          <cell r="E126" t="str">
            <v>N/A</v>
          </cell>
          <cell r="F126" t="str">
            <v>Biodiesel</v>
          </cell>
          <cell r="G126">
            <v>8.7500000000000002E-4</v>
          </cell>
          <cell r="I126" t="str">
            <v>t</v>
          </cell>
          <cell r="J126" t="str">
            <v>L</v>
          </cell>
        </row>
        <row r="127">
          <cell r="C127" t="str">
            <v>N/A</v>
          </cell>
          <cell r="E127" t="str">
            <v>N/A</v>
          </cell>
          <cell r="F127" t="str">
            <v>Etanol Anidro</v>
          </cell>
          <cell r="G127">
            <v>7.9100000000000004E-4</v>
          </cell>
          <cell r="I127" t="str">
            <v>t</v>
          </cell>
          <cell r="J127" t="str">
            <v>L</v>
          </cell>
        </row>
        <row r="128">
          <cell r="C128" t="str">
            <v>N/A</v>
          </cell>
          <cell r="E128" t="str">
            <v>N/A</v>
          </cell>
          <cell r="F128" t="str">
            <v>Etanol Hidratado</v>
          </cell>
          <cell r="G128">
            <v>8.0900000000000004E-4</v>
          </cell>
          <cell r="I128" t="str">
            <v>t</v>
          </cell>
          <cell r="J128" t="str">
            <v>L</v>
          </cell>
        </row>
        <row r="129">
          <cell r="C129" t="str">
            <v>N/A</v>
          </cell>
          <cell r="E129" t="str">
            <v>N/A</v>
          </cell>
          <cell r="F129" t="str">
            <v>Diesel B5</v>
          </cell>
          <cell r="G129">
            <v>8.4175000000000005E-4</v>
          </cell>
          <cell r="I129" t="str">
            <v>t</v>
          </cell>
          <cell r="J129" t="str">
            <v>L</v>
          </cell>
        </row>
        <row r="130">
          <cell r="C130" t="str">
            <v>N/A</v>
          </cell>
          <cell r="E130" t="str">
            <v>N/A</v>
          </cell>
          <cell r="F130" t="str">
            <v>Óleo Diesel</v>
          </cell>
          <cell r="G130">
            <v>8.4000000000000003E-4</v>
          </cell>
          <cell r="I130" t="str">
            <v>t</v>
          </cell>
          <cell r="J130" t="str">
            <v>L</v>
          </cell>
        </row>
        <row r="131">
          <cell r="C131" t="str">
            <v>N/A</v>
          </cell>
          <cell r="E131" t="str">
            <v>N/A</v>
          </cell>
          <cell r="F131" t="str">
            <v>Gasolina C</v>
          </cell>
          <cell r="G131">
            <v>7.5343169999999996E-4</v>
          </cell>
          <cell r="I131" t="str">
            <v>t</v>
          </cell>
          <cell r="J131" t="str">
            <v>L</v>
          </cell>
        </row>
        <row r="132">
          <cell r="C132" t="str">
            <v>N/A</v>
          </cell>
          <cell r="E132" t="str">
            <v>N/A</v>
          </cell>
          <cell r="F132" t="str">
            <v>Gasolina A</v>
          </cell>
          <cell r="G132">
            <v>7.4200000000000004E-4</v>
          </cell>
          <cell r="I132" t="str">
            <v>t</v>
          </cell>
          <cell r="J132" t="str">
            <v>L</v>
          </cell>
        </row>
        <row r="133">
          <cell r="C133" t="str">
            <v>N/A</v>
          </cell>
          <cell r="E133" t="str">
            <v>N/A</v>
          </cell>
          <cell r="F133" t="str">
            <v>Gasolina de Aviação</v>
          </cell>
          <cell r="G133">
            <v>7.2599999999999997E-4</v>
          </cell>
          <cell r="I133" t="str">
            <v>t</v>
          </cell>
          <cell r="J133" t="str">
            <v>L</v>
          </cell>
        </row>
        <row r="134">
          <cell r="C134" t="str">
            <v>N/A</v>
          </cell>
          <cell r="E134" t="str">
            <v>N/A</v>
          </cell>
          <cell r="F134" t="str">
            <v>Querosene de Aviação</v>
          </cell>
          <cell r="G134">
            <v>7.9900000000000001E-4</v>
          </cell>
          <cell r="I134" t="str">
            <v>t</v>
          </cell>
          <cell r="J134" t="str">
            <v>L</v>
          </cell>
        </row>
        <row r="135">
          <cell r="C135" t="str">
            <v>N/A</v>
          </cell>
          <cell r="E135" t="str">
            <v>N/A</v>
          </cell>
          <cell r="F135" t="str">
            <v>Querosene</v>
          </cell>
          <cell r="G135">
            <v>7.9900000000000001E-4</v>
          </cell>
          <cell r="I135" t="str">
            <v>t</v>
          </cell>
          <cell r="J135" t="str">
            <v>L</v>
          </cell>
        </row>
        <row r="136">
          <cell r="C136" t="str">
            <v>N/A</v>
          </cell>
          <cell r="E136" t="str">
            <v>N/A</v>
          </cell>
          <cell r="F136" t="str">
            <v>GLP</v>
          </cell>
          <cell r="G136">
            <v>5.5199999999999997E-4</v>
          </cell>
          <cell r="I136" t="str">
            <v>t</v>
          </cell>
          <cell r="J136" t="str">
            <v>L</v>
          </cell>
        </row>
        <row r="137">
          <cell r="C137" t="str">
            <v>N/A</v>
          </cell>
          <cell r="E137" t="str">
            <v>N/A</v>
          </cell>
          <cell r="F137" t="str">
            <v xml:space="preserve">Carvão Vegetal </v>
          </cell>
          <cell r="G137">
            <v>2.5000000000000001E-4</v>
          </cell>
          <cell r="I137" t="str">
            <v>t</v>
          </cell>
          <cell r="J137" t="str">
            <v>L</v>
          </cell>
        </row>
        <row r="138">
          <cell r="C138" t="str">
            <v>N/A</v>
          </cell>
          <cell r="E138" t="str">
            <v>N/A</v>
          </cell>
          <cell r="F138" t="str">
            <v>Gás Natural</v>
          </cell>
          <cell r="G138">
            <v>8.0000000000000004E-4</v>
          </cell>
          <cell r="I138" t="str">
            <v>t</v>
          </cell>
          <cell r="J138" t="str">
            <v>m3</v>
          </cell>
        </row>
        <row r="139">
          <cell r="C139" t="str">
            <v>N/A</v>
          </cell>
          <cell r="E139" t="str">
            <v>N/A</v>
          </cell>
          <cell r="F139" t="str">
            <v>Acetileno</v>
          </cell>
          <cell r="G139">
            <v>1.1069999999999999E-3</v>
          </cell>
          <cell r="I139" t="str">
            <v>t</v>
          </cell>
          <cell r="J139" t="str">
            <v>m3</v>
          </cell>
        </row>
        <row r="140">
          <cell r="C140" t="str">
            <v>Fontes Estacionárias</v>
          </cell>
          <cell r="E140" t="str">
            <v>N/A</v>
          </cell>
          <cell r="F140" t="str">
            <v>Explosivos</v>
          </cell>
          <cell r="G140">
            <v>0.18</v>
          </cell>
          <cell r="I140" t="str">
            <v>kg CO₂</v>
          </cell>
          <cell r="J140" t="str">
            <v>kg</v>
          </cell>
        </row>
        <row r="141">
          <cell r="C141" t="str">
            <v>Fontes Estacionárias</v>
          </cell>
          <cell r="E141" t="str">
            <v>N/A</v>
          </cell>
          <cell r="F141" t="str">
            <v>Explosivos</v>
          </cell>
          <cell r="G141">
            <v>0</v>
          </cell>
          <cell r="I141" t="str">
            <v>kg CH₄</v>
          </cell>
          <cell r="J141" t="str">
            <v>kg</v>
          </cell>
        </row>
        <row r="142">
          <cell r="C142" t="str">
            <v>Fontes Estacionárias</v>
          </cell>
          <cell r="E142" t="str">
            <v>N/A</v>
          </cell>
          <cell r="F142" t="str">
            <v>Explosivos</v>
          </cell>
          <cell r="G142">
            <v>0</v>
          </cell>
          <cell r="I142" t="str">
            <v>kg N₂O</v>
          </cell>
          <cell r="J142" t="str">
            <v>kg</v>
          </cell>
        </row>
        <row r="143">
          <cell r="C143" t="str">
            <v>Fontes Estacionárias</v>
          </cell>
          <cell r="E143" t="str">
            <v>N/A</v>
          </cell>
          <cell r="F143" t="str">
            <v>Explosivos</v>
          </cell>
          <cell r="G143">
            <v>180</v>
          </cell>
          <cell r="I143" t="str">
            <v>kg CO₂</v>
          </cell>
          <cell r="J143" t="str">
            <v>t</v>
          </cell>
        </row>
        <row r="144">
          <cell r="C144" t="str">
            <v>Fontes Estacionárias</v>
          </cell>
          <cell r="E144" t="str">
            <v>N/A</v>
          </cell>
          <cell r="F144" t="str">
            <v>Explosivos</v>
          </cell>
          <cell r="G144">
            <v>0</v>
          </cell>
          <cell r="I144" t="str">
            <v>kg CH₄</v>
          </cell>
          <cell r="J144" t="str">
            <v>t</v>
          </cell>
        </row>
        <row r="145">
          <cell r="C145" t="str">
            <v>Fontes Estacionárias</v>
          </cell>
          <cell r="E145" t="str">
            <v>N/A</v>
          </cell>
          <cell r="F145" t="str">
            <v>Explosivos</v>
          </cell>
          <cell r="G145">
            <v>0</v>
          </cell>
          <cell r="I145" t="str">
            <v>kg N₂O</v>
          </cell>
          <cell r="J145" t="str">
            <v>t</v>
          </cell>
        </row>
        <row r="146">
          <cell r="C146" t="str">
            <v>Fontes Estacionárias</v>
          </cell>
          <cell r="E146" t="str">
            <v>Geração de Energia</v>
          </cell>
          <cell r="F146" t="str">
            <v>Óleo Combustível Pesado</v>
          </cell>
          <cell r="G146">
            <v>77.400000000000006</v>
          </cell>
          <cell r="I146" t="str">
            <v>kg CO₂</v>
          </cell>
          <cell r="J146" t="str">
            <v>GJ</v>
          </cell>
        </row>
        <row r="147">
          <cell r="C147" t="str">
            <v>Fontes Estacionárias</v>
          </cell>
          <cell r="E147" t="str">
            <v>Geração de Energia</v>
          </cell>
          <cell r="F147" t="str">
            <v>Óleo Combustível Pesado</v>
          </cell>
          <cell r="G147">
            <v>3.0000000000000001E-3</v>
          </cell>
          <cell r="I147" t="str">
            <v>kg CH₄</v>
          </cell>
          <cell r="J147" t="str">
            <v>GJ</v>
          </cell>
        </row>
        <row r="148">
          <cell r="C148" t="str">
            <v>Fontes Estacionárias</v>
          </cell>
          <cell r="E148" t="str">
            <v>Geração de Energia</v>
          </cell>
          <cell r="F148" t="str">
            <v>Óleo Combustível Pesado</v>
          </cell>
          <cell r="G148">
            <v>5.9999999999999995E-4</v>
          </cell>
          <cell r="I148" t="str">
            <v>kg N₂O</v>
          </cell>
          <cell r="J148" t="str">
            <v>GJ</v>
          </cell>
        </row>
        <row r="149">
          <cell r="C149" t="str">
            <v>Fontes Estacionárias</v>
          </cell>
          <cell r="E149" t="str">
            <v>Geração de Energia</v>
          </cell>
          <cell r="F149" t="str">
            <v>Biodiesel</v>
          </cell>
          <cell r="G149">
            <v>70.8</v>
          </cell>
          <cell r="I149" t="str">
            <v>kg CO₂</v>
          </cell>
          <cell r="J149" t="str">
            <v>GJ</v>
          </cell>
        </row>
        <row r="150">
          <cell r="C150" t="str">
            <v>Fontes Estacionárias</v>
          </cell>
          <cell r="E150" t="str">
            <v>Geração de Energia</v>
          </cell>
          <cell r="F150" t="str">
            <v>Biodiesel</v>
          </cell>
          <cell r="G150">
            <v>3.0000000000000001E-3</v>
          </cell>
          <cell r="I150" t="str">
            <v>kg CH₄</v>
          </cell>
          <cell r="J150" t="str">
            <v>GJ</v>
          </cell>
        </row>
        <row r="151">
          <cell r="C151" t="str">
            <v>Fontes Estacionárias</v>
          </cell>
          <cell r="E151" t="str">
            <v>Geração de Energia</v>
          </cell>
          <cell r="F151" t="str">
            <v>Biodiesel</v>
          </cell>
          <cell r="G151">
            <v>5.9999999999999995E-4</v>
          </cell>
          <cell r="I151" t="str">
            <v>kg N₂O</v>
          </cell>
          <cell r="J151" t="str">
            <v>GJ</v>
          </cell>
        </row>
        <row r="152">
          <cell r="C152" t="str">
            <v>Fontes Estacionárias</v>
          </cell>
          <cell r="E152" t="str">
            <v>Geração de Energia</v>
          </cell>
          <cell r="F152" t="str">
            <v>Etanol Anidro</v>
          </cell>
          <cell r="G152">
            <v>79.599999999999994</v>
          </cell>
          <cell r="I152" t="str">
            <v>kg CO₂</v>
          </cell>
          <cell r="J152" t="str">
            <v>GJ</v>
          </cell>
        </row>
        <row r="153">
          <cell r="C153" t="str">
            <v>Fontes Estacionárias</v>
          </cell>
          <cell r="E153" t="str">
            <v>Geração de Energia</v>
          </cell>
          <cell r="F153" t="str">
            <v>Etanol Anidro</v>
          </cell>
          <cell r="G153">
            <v>3.0000000000000001E-3</v>
          </cell>
          <cell r="I153" t="str">
            <v>kg CH₄</v>
          </cell>
          <cell r="J153" t="str">
            <v>GJ</v>
          </cell>
        </row>
        <row r="154">
          <cell r="C154" t="str">
            <v>Fontes Estacionárias</v>
          </cell>
          <cell r="E154" t="str">
            <v>Geração de Energia</v>
          </cell>
          <cell r="F154" t="str">
            <v>Etanol Anidro</v>
          </cell>
          <cell r="G154">
            <v>5.9999999999999995E-4</v>
          </cell>
          <cell r="I154" t="str">
            <v>kg N₂O</v>
          </cell>
          <cell r="J154" t="str">
            <v>GJ</v>
          </cell>
        </row>
        <row r="155">
          <cell r="C155" t="str">
            <v>Fontes Estacionárias</v>
          </cell>
          <cell r="E155" t="str">
            <v>Geração de Energia</v>
          </cell>
          <cell r="F155" t="str">
            <v>Etanol Hidratado</v>
          </cell>
          <cell r="G155">
            <v>79.599999999999994</v>
          </cell>
          <cell r="I155" t="str">
            <v>kg CO₂</v>
          </cell>
          <cell r="J155" t="str">
            <v>GJ</v>
          </cell>
        </row>
        <row r="156">
          <cell r="C156" t="str">
            <v>Fontes Estacionárias</v>
          </cell>
          <cell r="E156" t="str">
            <v>Geração de Energia</v>
          </cell>
          <cell r="F156" t="str">
            <v>Etanol Hidratado</v>
          </cell>
          <cell r="G156">
            <v>3.0000000000000001E-3</v>
          </cell>
          <cell r="I156" t="str">
            <v>kg CH₄</v>
          </cell>
          <cell r="J156" t="str">
            <v>GJ</v>
          </cell>
        </row>
        <row r="157">
          <cell r="C157" t="str">
            <v>Fontes Estacionárias</v>
          </cell>
          <cell r="E157" t="str">
            <v>Geração de Energia</v>
          </cell>
          <cell r="F157" t="str">
            <v>Etanol Hidratado</v>
          </cell>
          <cell r="G157">
            <v>5.9999999999999995E-4</v>
          </cell>
          <cell r="I157" t="str">
            <v>kg N₂O</v>
          </cell>
          <cell r="J157" t="str">
            <v>GJ</v>
          </cell>
        </row>
        <row r="158">
          <cell r="C158" t="str">
            <v>Fontes Estacionárias</v>
          </cell>
          <cell r="E158" t="str">
            <v>Geração de Energia</v>
          </cell>
          <cell r="F158" t="str">
            <v>Biomassa</v>
          </cell>
          <cell r="G158">
            <v>100</v>
          </cell>
          <cell r="I158" t="str">
            <v>kg CO₂</v>
          </cell>
          <cell r="J158" t="str">
            <v>GJ</v>
          </cell>
        </row>
        <row r="159">
          <cell r="C159" t="str">
            <v>Fontes Estacionárias</v>
          </cell>
          <cell r="E159" t="str">
            <v>Geração de Energia</v>
          </cell>
          <cell r="F159" t="str">
            <v>Biomassa</v>
          </cell>
          <cell r="G159">
            <v>0.03</v>
          </cell>
          <cell r="I159" t="str">
            <v>kg CH₄</v>
          </cell>
          <cell r="J159" t="str">
            <v>GJ</v>
          </cell>
        </row>
        <row r="160">
          <cell r="C160" t="str">
            <v>Fontes Estacionárias</v>
          </cell>
          <cell r="E160" t="str">
            <v>Geração de Energia</v>
          </cell>
          <cell r="F160" t="str">
            <v>Biomassa</v>
          </cell>
          <cell r="G160">
            <v>4.0000000000000001E-3</v>
          </cell>
          <cell r="I160" t="str">
            <v>kg N₂O</v>
          </cell>
          <cell r="J160" t="str">
            <v>GJ</v>
          </cell>
        </row>
        <row r="161">
          <cell r="C161" t="str">
            <v>Fontes Estacionárias</v>
          </cell>
          <cell r="E161" t="str">
            <v>Geração de Energia</v>
          </cell>
          <cell r="F161" t="str">
            <v>Diesel B5</v>
          </cell>
          <cell r="G161">
            <v>70.703196053728391</v>
          </cell>
          <cell r="I161" t="str">
            <v>kg CO₂</v>
          </cell>
          <cell r="J161" t="str">
            <v>GJ</v>
          </cell>
        </row>
        <row r="162">
          <cell r="C162" t="str">
            <v>Fontes Estacionárias</v>
          </cell>
          <cell r="E162" t="str">
            <v>Geração de Energia</v>
          </cell>
          <cell r="F162" t="str">
            <v>Diesel B5</v>
          </cell>
          <cell r="G162">
            <v>3.0000000000000005E-3</v>
          </cell>
          <cell r="I162" t="str">
            <v>kg CH₄</v>
          </cell>
          <cell r="J162" t="str">
            <v>GJ</v>
          </cell>
        </row>
        <row r="163">
          <cell r="C163" t="str">
            <v>Fontes Estacionárias</v>
          </cell>
          <cell r="E163" t="str">
            <v>Geração de Energia</v>
          </cell>
          <cell r="F163" t="str">
            <v>Diesel B5</v>
          </cell>
          <cell r="G163">
            <v>5.9999999999999995E-4</v>
          </cell>
          <cell r="I163" t="str">
            <v>kg N₂O</v>
          </cell>
          <cell r="J163" t="str">
            <v>GJ</v>
          </cell>
        </row>
        <row r="164">
          <cell r="C164" t="str">
            <v>Fontes Estacionárias</v>
          </cell>
          <cell r="E164" t="str">
            <v>Geração de Energia</v>
          </cell>
          <cell r="F164" t="str">
            <v>Óleo Diesel</v>
          </cell>
          <cell r="G164">
            <v>74.099999999999994</v>
          </cell>
          <cell r="I164" t="str">
            <v>kg CO₂</v>
          </cell>
          <cell r="J164" t="str">
            <v>GJ</v>
          </cell>
        </row>
        <row r="165">
          <cell r="C165" t="str">
            <v>Fontes Estacionárias</v>
          </cell>
          <cell r="E165" t="str">
            <v>Geração de Energia</v>
          </cell>
          <cell r="F165" t="str">
            <v>Óleo Diesel</v>
          </cell>
          <cell r="G165">
            <v>3.0000000000000001E-3</v>
          </cell>
          <cell r="I165" t="str">
            <v>kg CH₄</v>
          </cell>
          <cell r="J165" t="str">
            <v>GJ</v>
          </cell>
        </row>
        <row r="166">
          <cell r="C166" t="str">
            <v>Fontes Estacionárias</v>
          </cell>
          <cell r="E166" t="str">
            <v>Geração de Energia</v>
          </cell>
          <cell r="F166" t="str">
            <v>Óleo Diesel</v>
          </cell>
          <cell r="G166">
            <v>5.9999999999999995E-4</v>
          </cell>
          <cell r="I166" t="str">
            <v>kg N₂O</v>
          </cell>
          <cell r="J166" t="str">
            <v>GJ</v>
          </cell>
        </row>
        <row r="167">
          <cell r="C167" t="str">
            <v>Fontes Estacionárias</v>
          </cell>
          <cell r="E167" t="str">
            <v>Geração de Energia</v>
          </cell>
          <cell r="F167" t="str">
            <v>Gasolina C</v>
          </cell>
          <cell r="G167">
            <v>57.417940409868059</v>
          </cell>
          <cell r="I167" t="str">
            <v>kg CO₂</v>
          </cell>
          <cell r="J167" t="str">
            <v>GJ</v>
          </cell>
        </row>
        <row r="168">
          <cell r="C168" t="str">
            <v>Fontes Estacionárias</v>
          </cell>
          <cell r="E168" t="str">
            <v>Geração de Energia</v>
          </cell>
          <cell r="F168" t="str">
            <v>Gasolina C</v>
          </cell>
          <cell r="G168">
            <v>3.0000000000000001E-3</v>
          </cell>
          <cell r="I168" t="str">
            <v>kg CH₄</v>
          </cell>
          <cell r="J168" t="str">
            <v>GJ</v>
          </cell>
        </row>
        <row r="169">
          <cell r="C169" t="str">
            <v>Fontes Estacionárias</v>
          </cell>
          <cell r="E169" t="str">
            <v>Geração de Energia</v>
          </cell>
          <cell r="F169" t="str">
            <v>Gasolina C</v>
          </cell>
          <cell r="G169">
            <v>5.9999999999999995E-4</v>
          </cell>
          <cell r="I169" t="str">
            <v>kg N₂O</v>
          </cell>
          <cell r="J169" t="str">
            <v>GJ</v>
          </cell>
        </row>
        <row r="170">
          <cell r="C170" t="str">
            <v>Fontes Estacionárias</v>
          </cell>
          <cell r="E170" t="str">
            <v>Geração de Energia</v>
          </cell>
          <cell r="F170" t="str">
            <v>Gasolina A</v>
          </cell>
          <cell r="G170">
            <v>69.3</v>
          </cell>
          <cell r="I170" t="str">
            <v>kg CO₂</v>
          </cell>
          <cell r="J170" t="str">
            <v>GJ</v>
          </cell>
        </row>
        <row r="171">
          <cell r="C171" t="str">
            <v>Fontes Estacionárias</v>
          </cell>
          <cell r="E171" t="str">
            <v>Geração de Energia</v>
          </cell>
          <cell r="F171" t="str">
            <v>Gasolina A</v>
          </cell>
          <cell r="G171">
            <v>3.0000000000000001E-3</v>
          </cell>
          <cell r="I171" t="str">
            <v>kg CH₄</v>
          </cell>
          <cell r="J171" t="str">
            <v>GJ</v>
          </cell>
        </row>
        <row r="172">
          <cell r="C172" t="str">
            <v>Fontes Estacionárias</v>
          </cell>
          <cell r="E172" t="str">
            <v>Geração de Energia</v>
          </cell>
          <cell r="F172" t="str">
            <v>Gasolina A</v>
          </cell>
          <cell r="G172">
            <v>5.9999999999999995E-4</v>
          </cell>
          <cell r="I172" t="str">
            <v>kg N₂O</v>
          </cell>
          <cell r="J172" t="str">
            <v>GJ</v>
          </cell>
        </row>
        <row r="173">
          <cell r="C173" t="str">
            <v>Fontes Estacionárias</v>
          </cell>
          <cell r="E173" t="str">
            <v>Geração de Energia</v>
          </cell>
          <cell r="F173" t="str">
            <v>GLP</v>
          </cell>
          <cell r="G173">
            <v>63.1</v>
          </cell>
          <cell r="I173" t="str">
            <v>kg CO₂</v>
          </cell>
          <cell r="J173" t="str">
            <v>GJ</v>
          </cell>
        </row>
        <row r="174">
          <cell r="C174" t="str">
            <v>Fontes Estacionárias</v>
          </cell>
          <cell r="E174" t="str">
            <v>Geração de Energia</v>
          </cell>
          <cell r="F174" t="str">
            <v>GLP</v>
          </cell>
          <cell r="G174">
            <v>1E-3</v>
          </cell>
          <cell r="I174" t="str">
            <v>kg CH₄</v>
          </cell>
          <cell r="J174" t="str">
            <v>GJ</v>
          </cell>
        </row>
        <row r="175">
          <cell r="C175" t="str">
            <v>Fontes Estacionárias</v>
          </cell>
          <cell r="E175" t="str">
            <v>Geração de Energia</v>
          </cell>
          <cell r="F175" t="str">
            <v>GLP</v>
          </cell>
          <cell r="G175">
            <v>1E-4</v>
          </cell>
          <cell r="I175" t="str">
            <v>kg N₂O</v>
          </cell>
          <cell r="J175" t="str">
            <v>GJ</v>
          </cell>
        </row>
        <row r="176">
          <cell r="C176" t="str">
            <v>Fontes Estacionárias</v>
          </cell>
          <cell r="E176" t="str">
            <v>Geração de Energia</v>
          </cell>
          <cell r="F176" t="str">
            <v>Carvão Vegetal</v>
          </cell>
          <cell r="G176">
            <v>112</v>
          </cell>
          <cell r="I176" t="str">
            <v>kg CO₂</v>
          </cell>
          <cell r="J176" t="str">
            <v>GJ</v>
          </cell>
        </row>
        <row r="177">
          <cell r="C177" t="str">
            <v>Fontes Estacionárias</v>
          </cell>
          <cell r="E177" t="str">
            <v>Geração de Energia</v>
          </cell>
          <cell r="F177" t="str">
            <v>Carvão Vegetal</v>
          </cell>
          <cell r="G177">
            <v>0.2</v>
          </cell>
          <cell r="I177" t="str">
            <v>kg CH₄</v>
          </cell>
          <cell r="J177" t="str">
            <v>GJ</v>
          </cell>
        </row>
        <row r="178">
          <cell r="C178" t="str">
            <v>Fontes Estacionárias</v>
          </cell>
          <cell r="E178" t="str">
            <v>Geração de Energia</v>
          </cell>
          <cell r="F178" t="str">
            <v>Carvão Vegetal</v>
          </cell>
          <cell r="G178">
            <v>4.0000000000000001E-3</v>
          </cell>
          <cell r="I178" t="str">
            <v>kg N₂O</v>
          </cell>
          <cell r="J178" t="str">
            <v>GJ</v>
          </cell>
        </row>
        <row r="179">
          <cell r="C179" t="str">
            <v>Fontes Estacionárias</v>
          </cell>
          <cell r="E179" t="str">
            <v>Geração de Energia</v>
          </cell>
          <cell r="F179" t="str">
            <v>Gás Natural</v>
          </cell>
          <cell r="G179">
            <v>56.1</v>
          </cell>
          <cell r="I179" t="str">
            <v>kg CO₂</v>
          </cell>
          <cell r="J179" t="str">
            <v>GJ</v>
          </cell>
        </row>
        <row r="180">
          <cell r="C180" t="str">
            <v>Fontes Estacionárias</v>
          </cell>
          <cell r="E180" t="str">
            <v>Geração de Energia</v>
          </cell>
          <cell r="F180" t="str">
            <v>Gás Natural</v>
          </cell>
          <cell r="G180">
            <v>1E-3</v>
          </cell>
          <cell r="I180" t="str">
            <v>kg CH₄</v>
          </cell>
          <cell r="J180" t="str">
            <v>GJ</v>
          </cell>
        </row>
        <row r="181">
          <cell r="C181" t="str">
            <v>Fontes Estacionárias</v>
          </cell>
          <cell r="E181" t="str">
            <v>Geração de Energia</v>
          </cell>
          <cell r="F181" t="str">
            <v>Gás Natural</v>
          </cell>
          <cell r="G181">
            <v>1E-4</v>
          </cell>
          <cell r="I181" t="str">
            <v>kg N₂O</v>
          </cell>
          <cell r="J181" t="str">
            <v>GJ</v>
          </cell>
        </row>
        <row r="182">
          <cell r="C182" t="str">
            <v>Fontes Estacionárias</v>
          </cell>
          <cell r="E182" t="str">
            <v>Geração de Energia</v>
          </cell>
          <cell r="F182" t="str">
            <v>Carvão (Sub-Bit)</v>
          </cell>
          <cell r="G182">
            <v>96.1</v>
          </cell>
          <cell r="I182" t="str">
            <v>kg CO₂</v>
          </cell>
          <cell r="J182" t="str">
            <v>GJ</v>
          </cell>
        </row>
        <row r="183">
          <cell r="C183" t="str">
            <v>Fontes Estacionárias</v>
          </cell>
          <cell r="E183" t="str">
            <v>Geração de Energia</v>
          </cell>
          <cell r="F183" t="str">
            <v>Carvão (Sub-Bit)</v>
          </cell>
          <cell r="G183">
            <v>1E-3</v>
          </cell>
          <cell r="I183" t="str">
            <v>kg CH₄</v>
          </cell>
          <cell r="J183" t="str">
            <v>GJ</v>
          </cell>
        </row>
        <row r="184">
          <cell r="C184" t="str">
            <v>Fontes Estacionárias</v>
          </cell>
          <cell r="E184" t="str">
            <v>Geração de Energia</v>
          </cell>
          <cell r="F184" t="str">
            <v>Carvão (Sub-Bit)</v>
          </cell>
          <cell r="G184">
            <v>1.5E-3</v>
          </cell>
          <cell r="I184" t="str">
            <v>kg N₂O</v>
          </cell>
          <cell r="J184" t="str">
            <v>GJ</v>
          </cell>
        </row>
        <row r="185">
          <cell r="C185" t="str">
            <v>Fontes Estacionárias</v>
          </cell>
          <cell r="E185" t="str">
            <v>Geração de Energia</v>
          </cell>
          <cell r="F185" t="str">
            <v>Licor Negro</v>
          </cell>
          <cell r="G185">
            <v>95.3</v>
          </cell>
          <cell r="I185" t="str">
            <v>kg CO₂</v>
          </cell>
          <cell r="J185" t="str">
            <v>GJ</v>
          </cell>
        </row>
        <row r="186">
          <cell r="C186" t="str">
            <v>Fontes Estacionárias</v>
          </cell>
          <cell r="E186" t="str">
            <v>Geração de Energia</v>
          </cell>
          <cell r="F186" t="str">
            <v>Licor Negro</v>
          </cell>
          <cell r="G186">
            <v>3.0000000000000001E-3</v>
          </cell>
          <cell r="I186" t="str">
            <v>kg CH₄</v>
          </cell>
          <cell r="J186" t="str">
            <v>GJ</v>
          </cell>
        </row>
        <row r="187">
          <cell r="C187" t="str">
            <v>Fontes Estacionárias</v>
          </cell>
          <cell r="E187" t="str">
            <v>Geração de Energia</v>
          </cell>
          <cell r="F187" t="str">
            <v>Licor Negro</v>
          </cell>
          <cell r="G187">
            <v>2E-3</v>
          </cell>
          <cell r="I187" t="str">
            <v>kg N₂O</v>
          </cell>
          <cell r="J187" t="str">
            <v>GJ</v>
          </cell>
        </row>
        <row r="188">
          <cell r="C188" t="str">
            <v>Fontes Estacionárias</v>
          </cell>
          <cell r="E188" t="str">
            <v>Geração de Energia</v>
          </cell>
          <cell r="F188" t="str">
            <v>Resíduo de madeira</v>
          </cell>
          <cell r="G188">
            <v>112</v>
          </cell>
          <cell r="I188" t="str">
            <v>kg CO₂</v>
          </cell>
          <cell r="J188" t="str">
            <v>GJ</v>
          </cell>
        </row>
        <row r="189">
          <cell r="C189" t="str">
            <v>Fontes Estacionárias</v>
          </cell>
          <cell r="E189" t="str">
            <v>Geração de Energia</v>
          </cell>
          <cell r="F189" t="str">
            <v>Resíduo de madeira</v>
          </cell>
          <cell r="G189">
            <v>0.03</v>
          </cell>
          <cell r="I189" t="str">
            <v>kg CH₄</v>
          </cell>
          <cell r="J189" t="str">
            <v>GJ</v>
          </cell>
        </row>
        <row r="190">
          <cell r="C190" t="str">
            <v>Fontes Estacionárias</v>
          </cell>
          <cell r="E190" t="str">
            <v>Geração de Energia</v>
          </cell>
          <cell r="F190" t="str">
            <v>Resíduo de madeira</v>
          </cell>
          <cell r="G190">
            <v>4.0000000000000001E-3</v>
          </cell>
          <cell r="I190" t="str">
            <v>kg N₂O</v>
          </cell>
          <cell r="J190" t="str">
            <v>GJ</v>
          </cell>
        </row>
        <row r="191">
          <cell r="C191" t="str">
            <v>Fontes Estacionárias</v>
          </cell>
          <cell r="E191" t="str">
            <v>Geração de Energia</v>
          </cell>
          <cell r="F191" t="str">
            <v>Lubrificantes</v>
          </cell>
          <cell r="G191">
            <v>73.3</v>
          </cell>
          <cell r="I191" t="str">
            <v>kg CO₂</v>
          </cell>
          <cell r="J191" t="str">
            <v>GJ</v>
          </cell>
        </row>
        <row r="192">
          <cell r="C192" t="str">
            <v>Fontes Estacionárias</v>
          </cell>
          <cell r="E192" t="str">
            <v>Geração de Energia</v>
          </cell>
          <cell r="F192" t="str">
            <v>Lubrificantes</v>
          </cell>
          <cell r="G192">
            <v>3.0000000000000001E-3</v>
          </cell>
          <cell r="I192" t="str">
            <v>kg CH₄</v>
          </cell>
          <cell r="J192" t="str">
            <v>GJ</v>
          </cell>
        </row>
        <row r="193">
          <cell r="C193" t="str">
            <v>Fontes Estacionárias</v>
          </cell>
          <cell r="E193" t="str">
            <v>Geração de Energia</v>
          </cell>
          <cell r="F193" t="str">
            <v>Lubrificantes</v>
          </cell>
          <cell r="G193">
            <v>5.9999999999999995E-4</v>
          </cell>
          <cell r="I193" t="str">
            <v>kg N₂O</v>
          </cell>
          <cell r="J193" t="str">
            <v>GJ</v>
          </cell>
        </row>
        <row r="194">
          <cell r="C194" t="str">
            <v>Fontes Estacionárias</v>
          </cell>
          <cell r="E194" t="str">
            <v>Geração de Energia</v>
          </cell>
          <cell r="F194" t="str">
            <v>Querosene</v>
          </cell>
          <cell r="G194">
            <v>71.900000000000006</v>
          </cell>
          <cell r="I194" t="str">
            <v>kg CO₂</v>
          </cell>
          <cell r="J194" t="str">
            <v>GJ</v>
          </cell>
        </row>
        <row r="195">
          <cell r="C195" t="str">
            <v>Fontes Estacionárias</v>
          </cell>
          <cell r="E195" t="str">
            <v>Geração de Energia</v>
          </cell>
          <cell r="F195" t="str">
            <v>Querosene</v>
          </cell>
          <cell r="G195">
            <v>3.0000000000000001E-3</v>
          </cell>
          <cell r="I195" t="str">
            <v>kg CH₄</v>
          </cell>
          <cell r="J195" t="str">
            <v>GJ</v>
          </cell>
        </row>
        <row r="196">
          <cell r="C196" t="str">
            <v>Fontes Estacionárias</v>
          </cell>
          <cell r="E196" t="str">
            <v>Geração de Energia</v>
          </cell>
          <cell r="F196" t="str">
            <v>Querosene</v>
          </cell>
          <cell r="G196">
            <v>5.9999999999999995E-4</v>
          </cell>
          <cell r="I196" t="str">
            <v>kg N₂O</v>
          </cell>
          <cell r="J196" t="str">
            <v>GJ</v>
          </cell>
        </row>
        <row r="197">
          <cell r="C197" t="str">
            <v>Fontes Estacionárias</v>
          </cell>
          <cell r="E197" t="str">
            <v>Construção e Manufatura</v>
          </cell>
          <cell r="F197" t="str">
            <v>Óleo Combustível Pesado</v>
          </cell>
          <cell r="G197">
            <v>77.400000000000006</v>
          </cell>
          <cell r="I197" t="str">
            <v>kg CO₂</v>
          </cell>
          <cell r="J197" t="str">
            <v>GJ</v>
          </cell>
        </row>
        <row r="198">
          <cell r="C198" t="str">
            <v>Fontes Estacionárias</v>
          </cell>
          <cell r="E198" t="str">
            <v>Construção e Manufatura</v>
          </cell>
          <cell r="F198" t="str">
            <v>Óleo Combustível Pesado</v>
          </cell>
          <cell r="G198">
            <v>3.0000000000000001E-3</v>
          </cell>
          <cell r="I198" t="str">
            <v>kg CH₄</v>
          </cell>
          <cell r="J198" t="str">
            <v>GJ</v>
          </cell>
        </row>
        <row r="199">
          <cell r="C199" t="str">
            <v>Fontes Estacionárias</v>
          </cell>
          <cell r="E199" t="str">
            <v>Construção e Manufatura</v>
          </cell>
          <cell r="F199" t="str">
            <v>Óleo Combustível Pesado</v>
          </cell>
          <cell r="G199">
            <v>5.9999999999999995E-4</v>
          </cell>
          <cell r="I199" t="str">
            <v>kg N₂O</v>
          </cell>
          <cell r="J199" t="str">
            <v>GJ</v>
          </cell>
        </row>
        <row r="200">
          <cell r="C200" t="str">
            <v>Fontes Estacionárias</v>
          </cell>
          <cell r="E200" t="str">
            <v>Construção e Manufatura</v>
          </cell>
          <cell r="F200" t="str">
            <v>Biodiesel</v>
          </cell>
          <cell r="G200">
            <v>70.8</v>
          </cell>
          <cell r="I200" t="str">
            <v>kg CO₂</v>
          </cell>
          <cell r="J200" t="str">
            <v>GJ</v>
          </cell>
        </row>
        <row r="201">
          <cell r="C201" t="str">
            <v>Fontes Estacionárias</v>
          </cell>
          <cell r="E201" t="str">
            <v>Construção e Manufatura</v>
          </cell>
          <cell r="F201" t="str">
            <v>Biodiesel</v>
          </cell>
          <cell r="G201">
            <v>3.0000000000000001E-3</v>
          </cell>
          <cell r="I201" t="str">
            <v>kg CH₄</v>
          </cell>
          <cell r="J201" t="str">
            <v>GJ</v>
          </cell>
        </row>
        <row r="202">
          <cell r="C202" t="str">
            <v>Fontes Estacionárias</v>
          </cell>
          <cell r="E202" t="str">
            <v>Construção e Manufatura</v>
          </cell>
          <cell r="F202" t="str">
            <v>Biodiesel</v>
          </cell>
          <cell r="G202">
            <v>5.9999999999999995E-4</v>
          </cell>
          <cell r="I202" t="str">
            <v>kg N₂O</v>
          </cell>
          <cell r="J202" t="str">
            <v>GJ</v>
          </cell>
        </row>
        <row r="203">
          <cell r="C203" t="str">
            <v>Fontes Estacionárias</v>
          </cell>
          <cell r="E203" t="str">
            <v>Construção e Manufatura</v>
          </cell>
          <cell r="F203" t="str">
            <v>Etanol Anidro</v>
          </cell>
          <cell r="G203">
            <v>79.599999999999994</v>
          </cell>
          <cell r="I203" t="str">
            <v>kg CO₂</v>
          </cell>
          <cell r="J203" t="str">
            <v>GJ</v>
          </cell>
        </row>
        <row r="204">
          <cell r="C204" t="str">
            <v>Fontes Estacionárias</v>
          </cell>
          <cell r="E204" t="str">
            <v>Construção e Manufatura</v>
          </cell>
          <cell r="F204" t="str">
            <v>Etanol Anidro</v>
          </cell>
          <cell r="G204">
            <v>3.0000000000000001E-3</v>
          </cell>
          <cell r="I204" t="str">
            <v>kg CH₄</v>
          </cell>
          <cell r="J204" t="str">
            <v>GJ</v>
          </cell>
        </row>
        <row r="205">
          <cell r="C205" t="str">
            <v>Fontes Estacionárias</v>
          </cell>
          <cell r="E205" t="str">
            <v>Construção e Manufatura</v>
          </cell>
          <cell r="F205" t="str">
            <v>Etanol Anidro</v>
          </cell>
          <cell r="G205">
            <v>5.9999999999999995E-4</v>
          </cell>
          <cell r="I205" t="str">
            <v>kg N₂O</v>
          </cell>
          <cell r="J205" t="str">
            <v>GJ</v>
          </cell>
        </row>
        <row r="206">
          <cell r="C206" t="str">
            <v>Fontes Estacionárias</v>
          </cell>
          <cell r="E206" t="str">
            <v>Construção e Manufatura</v>
          </cell>
          <cell r="F206" t="str">
            <v>Etanol Hidratado</v>
          </cell>
          <cell r="G206">
            <v>79.599999999999994</v>
          </cell>
          <cell r="I206" t="str">
            <v>kg CO₂</v>
          </cell>
          <cell r="J206" t="str">
            <v>GJ</v>
          </cell>
        </row>
        <row r="207">
          <cell r="C207" t="str">
            <v>Fontes Estacionárias</v>
          </cell>
          <cell r="E207" t="str">
            <v>Construção e Manufatura</v>
          </cell>
          <cell r="F207" t="str">
            <v>Etanol Hidratado</v>
          </cell>
          <cell r="G207">
            <v>3.0000000000000001E-3</v>
          </cell>
          <cell r="I207" t="str">
            <v>kg CH₄</v>
          </cell>
          <cell r="J207" t="str">
            <v>GJ</v>
          </cell>
        </row>
        <row r="208">
          <cell r="C208" t="str">
            <v>Fontes Estacionárias</v>
          </cell>
          <cell r="E208" t="str">
            <v>Construção e Manufatura</v>
          </cell>
          <cell r="F208" t="str">
            <v>Etanol Hidratado</v>
          </cell>
          <cell r="G208">
            <v>5.9999999999999995E-4</v>
          </cell>
          <cell r="I208" t="str">
            <v>kg N₂O</v>
          </cell>
          <cell r="J208" t="str">
            <v>GJ</v>
          </cell>
        </row>
        <row r="209">
          <cell r="C209" t="str">
            <v>Fontes Estacionárias</v>
          </cell>
          <cell r="E209" t="str">
            <v>Construção e Manufatura</v>
          </cell>
          <cell r="F209" t="str">
            <v>Biomassa</v>
          </cell>
          <cell r="G209">
            <v>100</v>
          </cell>
          <cell r="I209" t="str">
            <v>kg CO₂</v>
          </cell>
          <cell r="J209" t="str">
            <v>GJ</v>
          </cell>
        </row>
        <row r="210">
          <cell r="C210" t="str">
            <v>Fontes Estacionárias</v>
          </cell>
          <cell r="E210" t="str">
            <v>Construção e Manufatura</v>
          </cell>
          <cell r="F210" t="str">
            <v>Biomassa</v>
          </cell>
          <cell r="G210">
            <v>0.03</v>
          </cell>
          <cell r="I210" t="str">
            <v>kg CH₄</v>
          </cell>
          <cell r="J210" t="str">
            <v>GJ</v>
          </cell>
        </row>
        <row r="211">
          <cell r="C211" t="str">
            <v>Fontes Estacionárias</v>
          </cell>
          <cell r="E211" t="str">
            <v>Construção e Manufatura</v>
          </cell>
          <cell r="F211" t="str">
            <v>Biomassa</v>
          </cell>
          <cell r="G211">
            <v>4.0000000000000001E-3</v>
          </cell>
          <cell r="I211" t="str">
            <v>kg N₂O</v>
          </cell>
          <cell r="J211" t="str">
            <v>GJ</v>
          </cell>
        </row>
        <row r="212">
          <cell r="C212" t="str">
            <v>Fontes Estacionárias</v>
          </cell>
          <cell r="E212" t="str">
            <v>Construção e Manufatura</v>
          </cell>
          <cell r="F212" t="str">
            <v>Diesel B5</v>
          </cell>
          <cell r="G212">
            <v>70.703196053728391</v>
          </cell>
          <cell r="I212" t="str">
            <v>kg CO₂</v>
          </cell>
          <cell r="J212" t="str">
            <v>GJ</v>
          </cell>
        </row>
        <row r="213">
          <cell r="C213" t="str">
            <v>Fontes Estacionárias</v>
          </cell>
          <cell r="E213" t="str">
            <v>Construção e Manufatura</v>
          </cell>
          <cell r="F213" t="str">
            <v>Diesel B5</v>
          </cell>
          <cell r="G213">
            <v>3.0000000000000005E-3</v>
          </cell>
          <cell r="I213" t="str">
            <v>kg CH₄</v>
          </cell>
          <cell r="J213" t="str">
            <v>GJ</v>
          </cell>
        </row>
        <row r="214">
          <cell r="C214" t="str">
            <v>Fontes Estacionárias</v>
          </cell>
          <cell r="E214" t="str">
            <v>Construção e Manufatura</v>
          </cell>
          <cell r="F214" t="str">
            <v>Diesel B5</v>
          </cell>
          <cell r="G214">
            <v>5.9999999999999995E-4</v>
          </cell>
          <cell r="I214" t="str">
            <v>kg N₂O</v>
          </cell>
          <cell r="J214" t="str">
            <v>GJ</v>
          </cell>
        </row>
        <row r="215">
          <cell r="C215" t="str">
            <v>Fontes Estacionárias</v>
          </cell>
          <cell r="E215" t="str">
            <v>Construção e Manufatura</v>
          </cell>
          <cell r="F215" t="str">
            <v>Óleo Diesel</v>
          </cell>
          <cell r="G215">
            <v>74.099999999999994</v>
          </cell>
          <cell r="I215" t="str">
            <v>kg CO₂</v>
          </cell>
          <cell r="J215" t="str">
            <v>GJ</v>
          </cell>
        </row>
        <row r="216">
          <cell r="C216" t="str">
            <v>Fontes Estacionárias</v>
          </cell>
          <cell r="E216" t="str">
            <v>Construção e Manufatura</v>
          </cell>
          <cell r="F216" t="str">
            <v>Óleo Diesel</v>
          </cell>
          <cell r="G216">
            <v>3.0000000000000001E-3</v>
          </cell>
          <cell r="I216" t="str">
            <v>kg CH₄</v>
          </cell>
          <cell r="J216" t="str">
            <v>GJ</v>
          </cell>
        </row>
        <row r="217">
          <cell r="C217" t="str">
            <v>Fontes Estacionárias</v>
          </cell>
          <cell r="E217" t="str">
            <v>Construção e Manufatura</v>
          </cell>
          <cell r="F217" t="str">
            <v>Óleo Diesel</v>
          </cell>
          <cell r="G217">
            <v>5.9999999999999995E-4</v>
          </cell>
          <cell r="I217" t="str">
            <v>kg N₂O</v>
          </cell>
          <cell r="J217" t="str">
            <v>GJ</v>
          </cell>
        </row>
        <row r="218">
          <cell r="C218" t="str">
            <v>Fontes Estacionárias</v>
          </cell>
          <cell r="E218" t="str">
            <v>Construção e Manufatura</v>
          </cell>
          <cell r="F218" t="str">
            <v>Gasolina C</v>
          </cell>
          <cell r="G218">
            <v>57.417940409868059</v>
          </cell>
          <cell r="I218" t="str">
            <v>kg CO₂</v>
          </cell>
          <cell r="J218" t="str">
            <v>GJ</v>
          </cell>
        </row>
        <row r="219">
          <cell r="C219" t="str">
            <v>Fontes Estacionárias</v>
          </cell>
          <cell r="E219" t="str">
            <v>Construção e Manufatura</v>
          </cell>
          <cell r="F219" t="str">
            <v>Gasolina C</v>
          </cell>
          <cell r="G219">
            <v>3.0000000000000001E-3</v>
          </cell>
          <cell r="I219" t="str">
            <v>kg CH₄</v>
          </cell>
          <cell r="J219" t="str">
            <v>GJ</v>
          </cell>
        </row>
        <row r="220">
          <cell r="C220" t="str">
            <v>Fontes Estacionárias</v>
          </cell>
          <cell r="E220" t="str">
            <v>Construção e Manufatura</v>
          </cell>
          <cell r="F220" t="str">
            <v>Gasolina C</v>
          </cell>
          <cell r="G220">
            <v>5.9999999999999995E-4</v>
          </cell>
          <cell r="I220" t="str">
            <v>kg N₂O</v>
          </cell>
          <cell r="J220" t="str">
            <v>GJ</v>
          </cell>
        </row>
        <row r="221">
          <cell r="C221" t="str">
            <v>Fontes Estacionárias</v>
          </cell>
          <cell r="E221" t="str">
            <v>Construção e Manufatura</v>
          </cell>
          <cell r="F221" t="str">
            <v>Gasolina A</v>
          </cell>
          <cell r="G221">
            <v>69.3</v>
          </cell>
          <cell r="I221" t="str">
            <v>kg CO₂</v>
          </cell>
          <cell r="J221" t="str">
            <v>GJ</v>
          </cell>
        </row>
        <row r="222">
          <cell r="C222" t="str">
            <v>Fontes Estacionárias</v>
          </cell>
          <cell r="E222" t="str">
            <v>Construção e Manufatura</v>
          </cell>
          <cell r="F222" t="str">
            <v>Gasolina A</v>
          </cell>
          <cell r="G222">
            <v>3.0000000000000001E-3</v>
          </cell>
          <cell r="I222" t="str">
            <v>kg CH₄</v>
          </cell>
          <cell r="J222" t="str">
            <v>GJ</v>
          </cell>
        </row>
        <row r="223">
          <cell r="C223" t="str">
            <v>Fontes Estacionárias</v>
          </cell>
          <cell r="E223" t="str">
            <v>Construção e Manufatura</v>
          </cell>
          <cell r="F223" t="str">
            <v>Gasolina A</v>
          </cell>
          <cell r="G223">
            <v>5.9999999999999995E-4</v>
          </cell>
          <cell r="I223" t="str">
            <v>kg N₂O</v>
          </cell>
          <cell r="J223" t="str">
            <v>GJ</v>
          </cell>
        </row>
        <row r="224">
          <cell r="C224" t="str">
            <v>Fontes Estacionárias</v>
          </cell>
          <cell r="E224" t="str">
            <v>Construção e Manufatura</v>
          </cell>
          <cell r="F224" t="str">
            <v>GLP</v>
          </cell>
          <cell r="G224">
            <v>63.1</v>
          </cell>
          <cell r="I224" t="str">
            <v>kg CO₂</v>
          </cell>
          <cell r="J224" t="str">
            <v>GJ</v>
          </cell>
        </row>
        <row r="225">
          <cell r="C225" t="str">
            <v>Fontes Estacionárias</v>
          </cell>
          <cell r="E225" t="str">
            <v>Construção e Manufatura</v>
          </cell>
          <cell r="F225" t="str">
            <v>GLP</v>
          </cell>
          <cell r="G225">
            <v>1E-3</v>
          </cell>
          <cell r="I225" t="str">
            <v>kg CH₄</v>
          </cell>
          <cell r="J225" t="str">
            <v>GJ</v>
          </cell>
        </row>
        <row r="226">
          <cell r="C226" t="str">
            <v>Fontes Estacionárias</v>
          </cell>
          <cell r="E226" t="str">
            <v>Construção e Manufatura</v>
          </cell>
          <cell r="F226" t="str">
            <v>GLP</v>
          </cell>
          <cell r="G226">
            <v>1E-4</v>
          </cell>
          <cell r="I226" t="str">
            <v>kg N₂O</v>
          </cell>
          <cell r="J226" t="str">
            <v>GJ</v>
          </cell>
        </row>
        <row r="227">
          <cell r="C227" t="str">
            <v>Fontes Estacionárias</v>
          </cell>
          <cell r="E227" t="str">
            <v>Construção e Manufatura</v>
          </cell>
          <cell r="F227" t="str">
            <v>Carvão Vegetal</v>
          </cell>
          <cell r="G227">
            <v>112</v>
          </cell>
          <cell r="I227" t="str">
            <v>kg CO₂</v>
          </cell>
          <cell r="J227" t="str">
            <v>GJ</v>
          </cell>
        </row>
        <row r="228">
          <cell r="C228" t="str">
            <v>Fontes Estacionárias</v>
          </cell>
          <cell r="E228" t="str">
            <v>Construção e Manufatura</v>
          </cell>
          <cell r="F228" t="str">
            <v>Carvão Vegetal</v>
          </cell>
          <cell r="G228">
            <v>0.2</v>
          </cell>
          <cell r="I228" t="str">
            <v>kg CH₄</v>
          </cell>
          <cell r="J228" t="str">
            <v>GJ</v>
          </cell>
        </row>
        <row r="229">
          <cell r="C229" t="str">
            <v>Fontes Estacionárias</v>
          </cell>
          <cell r="E229" t="str">
            <v>Construção e Manufatura</v>
          </cell>
          <cell r="F229" t="str">
            <v>Carvão Vegetal</v>
          </cell>
          <cell r="G229">
            <v>4.0000000000000001E-3</v>
          </cell>
          <cell r="I229" t="str">
            <v>kg N₂O</v>
          </cell>
          <cell r="J229" t="str">
            <v>GJ</v>
          </cell>
        </row>
        <row r="230">
          <cell r="C230" t="str">
            <v>Fontes Estacionárias</v>
          </cell>
          <cell r="E230" t="str">
            <v>Construção e Manufatura</v>
          </cell>
          <cell r="F230" t="str">
            <v>Gás Natural</v>
          </cell>
          <cell r="G230">
            <v>56.1</v>
          </cell>
          <cell r="I230" t="str">
            <v>kg CO₂</v>
          </cell>
          <cell r="J230" t="str">
            <v>GJ</v>
          </cell>
        </row>
        <row r="231">
          <cell r="C231" t="str">
            <v>Fontes Estacionárias</v>
          </cell>
          <cell r="E231" t="str">
            <v>Construção e Manufatura</v>
          </cell>
          <cell r="F231" t="str">
            <v>Gás Natural</v>
          </cell>
          <cell r="G231">
            <v>1E-3</v>
          </cell>
          <cell r="I231" t="str">
            <v>kg CH₄</v>
          </cell>
          <cell r="J231" t="str">
            <v>GJ</v>
          </cell>
        </row>
        <row r="232">
          <cell r="C232" t="str">
            <v>Fontes Estacionárias</v>
          </cell>
          <cell r="E232" t="str">
            <v>Construção e Manufatura</v>
          </cell>
          <cell r="F232" t="str">
            <v>Gás Natural</v>
          </cell>
          <cell r="G232">
            <v>1E-4</v>
          </cell>
          <cell r="I232" t="str">
            <v>kg N₂O</v>
          </cell>
          <cell r="J232" t="str">
            <v>GJ</v>
          </cell>
        </row>
        <row r="233">
          <cell r="C233" t="str">
            <v>Fontes Estacionárias</v>
          </cell>
          <cell r="E233" t="str">
            <v>Construção e Manufatura</v>
          </cell>
          <cell r="F233" t="str">
            <v>Carvão (Sub-Bit)</v>
          </cell>
          <cell r="G233">
            <v>96.1</v>
          </cell>
          <cell r="I233" t="str">
            <v>kg CO₂</v>
          </cell>
          <cell r="J233" t="str">
            <v>GJ</v>
          </cell>
        </row>
        <row r="234">
          <cell r="C234" t="str">
            <v>Fontes Estacionárias</v>
          </cell>
          <cell r="E234" t="str">
            <v>Construção e Manufatura</v>
          </cell>
          <cell r="F234" t="str">
            <v>Carvão (Sub-Bit)</v>
          </cell>
          <cell r="G234">
            <v>0.01</v>
          </cell>
          <cell r="I234" t="str">
            <v>kg CH₄</v>
          </cell>
          <cell r="J234" t="str">
            <v>GJ</v>
          </cell>
        </row>
        <row r="235">
          <cell r="C235" t="str">
            <v>Fontes Estacionárias</v>
          </cell>
          <cell r="E235" t="str">
            <v>Construção e Manufatura</v>
          </cell>
          <cell r="F235" t="str">
            <v>Carvão (Sub-Bit)</v>
          </cell>
          <cell r="G235">
            <v>1.5E-3</v>
          </cell>
          <cell r="I235" t="str">
            <v>kg N₂O</v>
          </cell>
          <cell r="J235" t="str">
            <v>GJ</v>
          </cell>
        </row>
        <row r="236">
          <cell r="C236" t="str">
            <v>Fontes Estacionárias</v>
          </cell>
          <cell r="E236" t="str">
            <v>Construção e Manufatura</v>
          </cell>
          <cell r="F236" t="str">
            <v>Licor Negro</v>
          </cell>
          <cell r="G236">
            <v>95.3</v>
          </cell>
          <cell r="I236" t="str">
            <v>kg CO₂</v>
          </cell>
          <cell r="J236" t="str">
            <v>GJ</v>
          </cell>
        </row>
        <row r="237">
          <cell r="C237" t="str">
            <v>Fontes Estacionárias</v>
          </cell>
          <cell r="E237" t="str">
            <v>Construção e Manufatura</v>
          </cell>
          <cell r="F237" t="str">
            <v>Licor Negro</v>
          </cell>
          <cell r="G237">
            <v>3.0000000000000001E-3</v>
          </cell>
          <cell r="I237" t="str">
            <v>kg CH₄</v>
          </cell>
          <cell r="J237" t="str">
            <v>GJ</v>
          </cell>
        </row>
        <row r="238">
          <cell r="C238" t="str">
            <v>Fontes Estacionárias</v>
          </cell>
          <cell r="E238" t="str">
            <v>Construção e Manufatura</v>
          </cell>
          <cell r="F238" t="str">
            <v>Licor Negro</v>
          </cell>
          <cell r="G238">
            <v>2E-3</v>
          </cell>
          <cell r="I238" t="str">
            <v>kg N₂O</v>
          </cell>
          <cell r="J238" t="str">
            <v>GJ</v>
          </cell>
        </row>
        <row r="239">
          <cell r="C239" t="str">
            <v>Fontes Estacionárias</v>
          </cell>
          <cell r="E239" t="str">
            <v>Construção e Manufatura</v>
          </cell>
          <cell r="F239" t="str">
            <v>Resíduo de madeira</v>
          </cell>
          <cell r="G239">
            <v>112</v>
          </cell>
          <cell r="I239" t="str">
            <v>kg CO₂</v>
          </cell>
          <cell r="J239" t="str">
            <v>GJ</v>
          </cell>
        </row>
        <row r="240">
          <cell r="C240" t="str">
            <v>Fontes Estacionárias</v>
          </cell>
          <cell r="E240" t="str">
            <v>Construção e Manufatura</v>
          </cell>
          <cell r="F240" t="str">
            <v>Resíduo de madeira</v>
          </cell>
          <cell r="G240">
            <v>0.03</v>
          </cell>
          <cell r="I240" t="str">
            <v>kg CH₄</v>
          </cell>
          <cell r="J240" t="str">
            <v>GJ</v>
          </cell>
        </row>
        <row r="241">
          <cell r="C241" t="str">
            <v>Fontes Estacionárias</v>
          </cell>
          <cell r="E241" t="str">
            <v>Construção e Manufatura</v>
          </cell>
          <cell r="F241" t="str">
            <v>Resíduo de madeira</v>
          </cell>
          <cell r="G241">
            <v>4.0000000000000001E-3</v>
          </cell>
          <cell r="I241" t="str">
            <v>kg N₂O</v>
          </cell>
          <cell r="J241" t="str">
            <v>GJ</v>
          </cell>
        </row>
        <row r="242">
          <cell r="C242" t="str">
            <v>Fontes Estacionárias</v>
          </cell>
          <cell r="E242" t="str">
            <v>Construção e Manufatura</v>
          </cell>
          <cell r="F242" t="str">
            <v>Querosene</v>
          </cell>
          <cell r="G242">
            <v>71.900000000000006</v>
          </cell>
          <cell r="I242" t="str">
            <v>kg CO₂</v>
          </cell>
          <cell r="J242" t="str">
            <v>GJ</v>
          </cell>
        </row>
        <row r="243">
          <cell r="C243" t="str">
            <v>Fontes Estacionárias</v>
          </cell>
          <cell r="E243" t="str">
            <v>Construção e Manufatura</v>
          </cell>
          <cell r="F243" t="str">
            <v>Querosene</v>
          </cell>
          <cell r="G243">
            <v>3.0000000000000001E-3</v>
          </cell>
          <cell r="I243" t="str">
            <v>kg CH₄</v>
          </cell>
          <cell r="J243" t="str">
            <v>GJ</v>
          </cell>
        </row>
        <row r="244">
          <cell r="C244" t="str">
            <v>Fontes Estacionárias</v>
          </cell>
          <cell r="E244" t="str">
            <v>Construção e Manufatura</v>
          </cell>
          <cell r="F244" t="str">
            <v>Querosene</v>
          </cell>
          <cell r="G244">
            <v>5.9999999999999995E-4</v>
          </cell>
          <cell r="I244" t="str">
            <v>kg N₂O</v>
          </cell>
          <cell r="J244" t="str">
            <v>GJ</v>
          </cell>
        </row>
        <row r="245">
          <cell r="C245" t="str">
            <v>Fontes Estacionárias</v>
          </cell>
          <cell r="E245" t="str">
            <v>Comercial e Institucional</v>
          </cell>
          <cell r="F245" t="str">
            <v>Óleo Combustível Pesado</v>
          </cell>
          <cell r="G245">
            <v>77.400000000000006</v>
          </cell>
          <cell r="I245" t="str">
            <v>kg CO₂</v>
          </cell>
          <cell r="J245" t="str">
            <v>GJ</v>
          </cell>
        </row>
        <row r="246">
          <cell r="C246" t="str">
            <v>Fontes Estacionárias</v>
          </cell>
          <cell r="E246" t="str">
            <v>Comercial e Institucional</v>
          </cell>
          <cell r="F246" t="str">
            <v>Óleo Combustível Pesado</v>
          </cell>
          <cell r="G246">
            <v>0.01</v>
          </cell>
          <cell r="I246" t="str">
            <v>kg CH₄</v>
          </cell>
          <cell r="J246" t="str">
            <v>GJ</v>
          </cell>
        </row>
        <row r="247">
          <cell r="C247" t="str">
            <v>Fontes Estacionárias</v>
          </cell>
          <cell r="E247" t="str">
            <v>Comercial e Institucional</v>
          </cell>
          <cell r="F247" t="str">
            <v>Óleo Combustível Pesado</v>
          </cell>
          <cell r="G247">
            <v>5.9999999999999995E-4</v>
          </cell>
          <cell r="I247" t="str">
            <v>kg N₂O</v>
          </cell>
          <cell r="J247" t="str">
            <v>GJ</v>
          </cell>
        </row>
        <row r="248">
          <cell r="C248" t="str">
            <v>Fontes Estacionárias</v>
          </cell>
          <cell r="E248" t="str">
            <v>Comercial e Institucional</v>
          </cell>
          <cell r="F248" t="str">
            <v>Biodiesel</v>
          </cell>
          <cell r="G248">
            <v>70.8</v>
          </cell>
          <cell r="I248" t="str">
            <v>kg CO₂</v>
          </cell>
          <cell r="J248" t="str">
            <v>GJ</v>
          </cell>
        </row>
        <row r="249">
          <cell r="C249" t="str">
            <v>Fontes Estacionárias</v>
          </cell>
          <cell r="E249" t="str">
            <v>Comercial e Institucional</v>
          </cell>
          <cell r="F249" t="str">
            <v>Biodiesel</v>
          </cell>
          <cell r="G249">
            <v>0.01</v>
          </cell>
          <cell r="I249" t="str">
            <v>kg CH₄</v>
          </cell>
          <cell r="J249" t="str">
            <v>GJ</v>
          </cell>
        </row>
        <row r="250">
          <cell r="C250" t="str">
            <v>Fontes Estacionárias</v>
          </cell>
          <cell r="E250" t="str">
            <v>Comercial e Institucional</v>
          </cell>
          <cell r="F250" t="str">
            <v>Biodiesel</v>
          </cell>
          <cell r="G250">
            <v>5.9999999999999995E-4</v>
          </cell>
          <cell r="I250" t="str">
            <v>kg N₂O</v>
          </cell>
          <cell r="J250" t="str">
            <v>GJ</v>
          </cell>
        </row>
        <row r="251">
          <cell r="C251" t="str">
            <v>Fontes Estacionárias</v>
          </cell>
          <cell r="E251" t="str">
            <v>Comercial e Institucional</v>
          </cell>
          <cell r="F251" t="str">
            <v>Etanol Anidro</v>
          </cell>
          <cell r="G251">
            <v>79.599999999999994</v>
          </cell>
          <cell r="I251" t="str">
            <v>kg CO₂</v>
          </cell>
          <cell r="J251" t="str">
            <v>GJ</v>
          </cell>
        </row>
        <row r="252">
          <cell r="C252" t="str">
            <v>Fontes Estacionárias</v>
          </cell>
          <cell r="E252" t="str">
            <v>Comercial e Institucional</v>
          </cell>
          <cell r="F252" t="str">
            <v>Etanol Anidro</v>
          </cell>
          <cell r="G252">
            <v>0.01</v>
          </cell>
          <cell r="I252" t="str">
            <v>kg CH₄</v>
          </cell>
          <cell r="J252" t="str">
            <v>GJ</v>
          </cell>
        </row>
        <row r="253">
          <cell r="C253" t="str">
            <v>Fontes Estacionárias</v>
          </cell>
          <cell r="E253" t="str">
            <v>Comercial e Institucional</v>
          </cell>
          <cell r="F253" t="str">
            <v>Etanol Anidro</v>
          </cell>
          <cell r="G253">
            <v>5.9999999999999995E-4</v>
          </cell>
          <cell r="I253" t="str">
            <v>kg N₂O</v>
          </cell>
          <cell r="J253" t="str">
            <v>GJ</v>
          </cell>
        </row>
        <row r="254">
          <cell r="C254" t="str">
            <v>Fontes Estacionárias</v>
          </cell>
          <cell r="E254" t="str">
            <v>Comercial e Institucional</v>
          </cell>
          <cell r="F254" t="str">
            <v>Etanol Hidratado</v>
          </cell>
          <cell r="G254">
            <v>79.599999999999994</v>
          </cell>
          <cell r="I254" t="str">
            <v>kg CO₂</v>
          </cell>
          <cell r="J254" t="str">
            <v>GJ</v>
          </cell>
        </row>
        <row r="255">
          <cell r="C255" t="str">
            <v>Fontes Estacionárias</v>
          </cell>
          <cell r="E255" t="str">
            <v>Comercial e Institucional</v>
          </cell>
          <cell r="F255" t="str">
            <v>Etanol Hidratado</v>
          </cell>
          <cell r="G255">
            <v>0.01</v>
          </cell>
          <cell r="I255" t="str">
            <v>kg CH₄</v>
          </cell>
          <cell r="J255" t="str">
            <v>GJ</v>
          </cell>
        </row>
        <row r="256">
          <cell r="C256" t="str">
            <v>Fontes Estacionárias</v>
          </cell>
          <cell r="E256" t="str">
            <v>Comercial e Institucional</v>
          </cell>
          <cell r="F256" t="str">
            <v>Etanol Hidratado</v>
          </cell>
          <cell r="G256">
            <v>5.9999999999999995E-4</v>
          </cell>
          <cell r="I256" t="str">
            <v>kg N₂O</v>
          </cell>
          <cell r="J256" t="str">
            <v>GJ</v>
          </cell>
        </row>
        <row r="257">
          <cell r="C257" t="str">
            <v>Fontes Estacionárias</v>
          </cell>
          <cell r="E257" t="str">
            <v>Comercial e Institucional</v>
          </cell>
          <cell r="F257" t="str">
            <v>Biomassa</v>
          </cell>
          <cell r="G257">
            <v>100</v>
          </cell>
          <cell r="I257" t="str">
            <v>kg CO₂</v>
          </cell>
          <cell r="J257" t="str">
            <v>GJ</v>
          </cell>
        </row>
        <row r="258">
          <cell r="C258" t="str">
            <v>Fontes Estacionárias</v>
          </cell>
          <cell r="E258" t="str">
            <v>Comercial e Institucional</v>
          </cell>
          <cell r="F258" t="str">
            <v>Biomassa</v>
          </cell>
          <cell r="G258">
            <v>0.3</v>
          </cell>
          <cell r="I258" t="str">
            <v>kg CH₄</v>
          </cell>
          <cell r="J258" t="str">
            <v>GJ</v>
          </cell>
        </row>
        <row r="259">
          <cell r="C259" t="str">
            <v>Fontes Estacionárias</v>
          </cell>
          <cell r="E259" t="str">
            <v>Comercial e Institucional</v>
          </cell>
          <cell r="F259" t="str">
            <v>Biomassa</v>
          </cell>
          <cell r="G259">
            <v>4.0000000000000001E-3</v>
          </cell>
          <cell r="I259" t="str">
            <v>kg N₂O</v>
          </cell>
          <cell r="J259" t="str">
            <v>GJ</v>
          </cell>
        </row>
        <row r="260">
          <cell r="C260" t="str">
            <v>Fontes Estacionárias</v>
          </cell>
          <cell r="E260" t="str">
            <v>Comercial e Institucional</v>
          </cell>
          <cell r="F260" t="str">
            <v>Diesel B5</v>
          </cell>
          <cell r="G260">
            <v>70.703196053728391</v>
          </cell>
          <cell r="I260" t="str">
            <v>kg CO₂</v>
          </cell>
          <cell r="J260" t="str">
            <v>GJ</v>
          </cell>
        </row>
        <row r="261">
          <cell r="C261" t="str">
            <v>Fontes Estacionárias</v>
          </cell>
          <cell r="E261" t="str">
            <v>Comercial e Institucional</v>
          </cell>
          <cell r="F261" t="str">
            <v>Diesel B5</v>
          </cell>
          <cell r="G261">
            <v>1.0000000000000002E-2</v>
          </cell>
          <cell r="I261" t="str">
            <v>kg CH₄</v>
          </cell>
          <cell r="J261" t="str">
            <v>GJ</v>
          </cell>
        </row>
        <row r="262">
          <cell r="C262" t="str">
            <v>Fontes Estacionárias</v>
          </cell>
          <cell r="E262" t="str">
            <v>Comercial e Institucional</v>
          </cell>
          <cell r="F262" t="str">
            <v>Diesel B5</v>
          </cell>
          <cell r="G262">
            <v>5.9999999999999995E-4</v>
          </cell>
          <cell r="I262" t="str">
            <v>kg N₂O</v>
          </cell>
          <cell r="J262" t="str">
            <v>GJ</v>
          </cell>
        </row>
        <row r="263">
          <cell r="C263" t="str">
            <v>Fontes Estacionárias</v>
          </cell>
          <cell r="E263" t="str">
            <v>Comercial e Institucional</v>
          </cell>
          <cell r="F263" t="str">
            <v>Óleo Diesel</v>
          </cell>
          <cell r="G263">
            <v>74.099999999999994</v>
          </cell>
          <cell r="I263" t="str">
            <v>kg CO₂</v>
          </cell>
          <cell r="J263" t="str">
            <v>GJ</v>
          </cell>
        </row>
        <row r="264">
          <cell r="C264" t="str">
            <v>Fontes Estacionárias</v>
          </cell>
          <cell r="E264" t="str">
            <v>Comercial e Institucional</v>
          </cell>
          <cell r="F264" t="str">
            <v>Óleo Diesel</v>
          </cell>
          <cell r="G264">
            <v>0.01</v>
          </cell>
          <cell r="I264" t="str">
            <v>kg CH₄</v>
          </cell>
          <cell r="J264" t="str">
            <v>GJ</v>
          </cell>
        </row>
        <row r="265">
          <cell r="C265" t="str">
            <v>Fontes Estacionárias</v>
          </cell>
          <cell r="E265" t="str">
            <v>Comercial e Institucional</v>
          </cell>
          <cell r="F265" t="str">
            <v>Óleo Diesel</v>
          </cell>
          <cell r="G265">
            <v>5.9999999999999995E-4</v>
          </cell>
          <cell r="I265" t="str">
            <v>kg N₂O</v>
          </cell>
          <cell r="J265" t="str">
            <v>GJ</v>
          </cell>
        </row>
        <row r="266">
          <cell r="C266" t="str">
            <v>Fontes Estacionárias</v>
          </cell>
          <cell r="E266" t="str">
            <v>Comercial e Institucional</v>
          </cell>
          <cell r="F266" t="str">
            <v>Gasolina C</v>
          </cell>
          <cell r="G266">
            <v>57.417940409868059</v>
          </cell>
          <cell r="I266" t="str">
            <v>kg CO₂</v>
          </cell>
          <cell r="J266" t="str">
            <v>GJ</v>
          </cell>
        </row>
        <row r="267">
          <cell r="C267" t="str">
            <v>Fontes Estacionárias</v>
          </cell>
          <cell r="E267" t="str">
            <v>Comercial e Institucional</v>
          </cell>
          <cell r="F267" t="str">
            <v>Gasolina C</v>
          </cell>
          <cell r="G267">
            <v>3.0000000000000001E-3</v>
          </cell>
          <cell r="I267" t="str">
            <v>kg CH₄</v>
          </cell>
          <cell r="J267" t="str">
            <v>GJ</v>
          </cell>
        </row>
        <row r="268">
          <cell r="C268" t="str">
            <v>Fontes Estacionárias</v>
          </cell>
          <cell r="E268" t="str">
            <v>Comercial e Institucional</v>
          </cell>
          <cell r="F268" t="str">
            <v>Gasolina C</v>
          </cell>
          <cell r="G268">
            <v>5.9999999999999995E-4</v>
          </cell>
          <cell r="I268" t="str">
            <v>kg N₂O</v>
          </cell>
          <cell r="J268" t="str">
            <v>GJ</v>
          </cell>
        </row>
        <row r="269">
          <cell r="C269" t="str">
            <v>Fontes Estacionárias</v>
          </cell>
          <cell r="E269" t="str">
            <v>Comercial e Institucional</v>
          </cell>
          <cell r="F269" t="str">
            <v>Gasolina A</v>
          </cell>
          <cell r="G269">
            <v>69.3</v>
          </cell>
          <cell r="I269" t="str">
            <v>kg CO₂</v>
          </cell>
          <cell r="J269" t="str">
            <v>GJ</v>
          </cell>
        </row>
        <row r="270">
          <cell r="C270" t="str">
            <v>Fontes Estacionárias</v>
          </cell>
          <cell r="E270" t="str">
            <v>Comercial e Institucional</v>
          </cell>
          <cell r="F270" t="str">
            <v>Gasolina A</v>
          </cell>
          <cell r="G270">
            <v>0.01</v>
          </cell>
          <cell r="I270" t="str">
            <v>kg CH₄</v>
          </cell>
          <cell r="J270" t="str">
            <v>GJ</v>
          </cell>
        </row>
        <row r="271">
          <cell r="C271" t="str">
            <v>Fontes Estacionárias</v>
          </cell>
          <cell r="E271" t="str">
            <v>Comercial e Institucional</v>
          </cell>
          <cell r="F271" t="str">
            <v>Gasolina A</v>
          </cell>
          <cell r="G271">
            <v>5.9999999999999995E-4</v>
          </cell>
          <cell r="I271" t="str">
            <v>kg N₂O</v>
          </cell>
          <cell r="J271" t="str">
            <v>GJ</v>
          </cell>
        </row>
        <row r="272">
          <cell r="C272" t="str">
            <v>Fontes Estacionárias</v>
          </cell>
          <cell r="E272" t="str">
            <v>Comercial e Institucional</v>
          </cell>
          <cell r="F272" t="str">
            <v>GLP</v>
          </cell>
          <cell r="G272">
            <v>63.1</v>
          </cell>
          <cell r="I272" t="str">
            <v>kg CO₂</v>
          </cell>
          <cell r="J272" t="str">
            <v>GJ</v>
          </cell>
        </row>
        <row r="273">
          <cell r="C273" t="str">
            <v>Fontes Estacionárias</v>
          </cell>
          <cell r="E273" t="str">
            <v>Comercial e Institucional</v>
          </cell>
          <cell r="F273" t="str">
            <v>GLP</v>
          </cell>
          <cell r="G273">
            <v>5.0000000000000001E-3</v>
          </cell>
          <cell r="I273" t="str">
            <v>kg CH₄</v>
          </cell>
          <cell r="J273" t="str">
            <v>GJ</v>
          </cell>
        </row>
        <row r="274">
          <cell r="C274" t="str">
            <v>Fontes Estacionárias</v>
          </cell>
          <cell r="E274" t="str">
            <v>Comercial e Institucional</v>
          </cell>
          <cell r="F274" t="str">
            <v>GLP</v>
          </cell>
          <cell r="G274">
            <v>1E-4</v>
          </cell>
          <cell r="I274" t="str">
            <v>kg N₂O</v>
          </cell>
          <cell r="J274" t="str">
            <v>GJ</v>
          </cell>
        </row>
        <row r="275">
          <cell r="C275" t="str">
            <v>Fontes Estacionárias</v>
          </cell>
          <cell r="E275" t="str">
            <v>Comercial e Institucional</v>
          </cell>
          <cell r="F275" t="str">
            <v>Carvão Vegetal</v>
          </cell>
          <cell r="G275">
            <v>112</v>
          </cell>
          <cell r="I275" t="str">
            <v>kg CO₂</v>
          </cell>
          <cell r="J275" t="str">
            <v>GJ</v>
          </cell>
        </row>
        <row r="276">
          <cell r="C276" t="str">
            <v>Fontes Estacionárias</v>
          </cell>
          <cell r="E276" t="str">
            <v>Comercial e Institucional</v>
          </cell>
          <cell r="F276" t="str">
            <v>Carvão Vegetal</v>
          </cell>
          <cell r="G276">
            <v>0.2</v>
          </cell>
          <cell r="I276" t="str">
            <v>kg CH₄</v>
          </cell>
          <cell r="J276" t="str">
            <v>GJ</v>
          </cell>
        </row>
        <row r="277">
          <cell r="C277" t="str">
            <v>Fontes Estacionárias</v>
          </cell>
          <cell r="E277" t="str">
            <v>Comercial e Institucional</v>
          </cell>
          <cell r="F277" t="str">
            <v>Carvão Vegetal</v>
          </cell>
          <cell r="G277">
            <v>1E-3</v>
          </cell>
          <cell r="I277" t="str">
            <v>kg N₂O</v>
          </cell>
          <cell r="J277" t="str">
            <v>GJ</v>
          </cell>
        </row>
        <row r="278">
          <cell r="C278" t="str">
            <v>Fontes Estacionárias</v>
          </cell>
          <cell r="E278" t="str">
            <v>Comercial e Institucional</v>
          </cell>
          <cell r="F278" t="str">
            <v>Gás Natural</v>
          </cell>
          <cell r="G278">
            <v>56.1</v>
          </cell>
          <cell r="I278" t="str">
            <v>kg CO₂</v>
          </cell>
          <cell r="J278" t="str">
            <v>GJ</v>
          </cell>
        </row>
        <row r="279">
          <cell r="C279" t="str">
            <v>Fontes Estacionárias</v>
          </cell>
          <cell r="E279" t="str">
            <v>Comercial e Institucional</v>
          </cell>
          <cell r="F279" t="str">
            <v>Gás Natural</v>
          </cell>
          <cell r="G279">
            <v>5.0000000000000001E-3</v>
          </cell>
          <cell r="I279" t="str">
            <v>kg CH₄</v>
          </cell>
          <cell r="J279" t="str">
            <v>GJ</v>
          </cell>
        </row>
        <row r="280">
          <cell r="C280" t="str">
            <v>Fontes Estacionárias</v>
          </cell>
          <cell r="E280" t="str">
            <v>Comercial e Institucional</v>
          </cell>
          <cell r="F280" t="str">
            <v>Gás Natural</v>
          </cell>
          <cell r="G280">
            <v>1E-4</v>
          </cell>
          <cell r="I280" t="str">
            <v>kg N₂O</v>
          </cell>
          <cell r="J280" t="str">
            <v>GJ</v>
          </cell>
        </row>
        <row r="281">
          <cell r="C281" t="str">
            <v>Fontes Estacionárias</v>
          </cell>
          <cell r="E281" t="str">
            <v>Comercial e Institucional</v>
          </cell>
          <cell r="F281" t="str">
            <v>Carvão (Sub-Bit)</v>
          </cell>
          <cell r="G281">
            <v>96.1</v>
          </cell>
          <cell r="I281" t="str">
            <v>kg CO₂</v>
          </cell>
          <cell r="J281" t="str">
            <v>GJ</v>
          </cell>
        </row>
        <row r="282">
          <cell r="C282" t="str">
            <v>Fontes Estacionárias</v>
          </cell>
          <cell r="E282" t="str">
            <v>Comercial e Institucional</v>
          </cell>
          <cell r="F282" t="str">
            <v>Carvão (Sub-Bit)</v>
          </cell>
          <cell r="G282">
            <v>0.01</v>
          </cell>
          <cell r="I282" t="str">
            <v>kg CH₄</v>
          </cell>
          <cell r="J282" t="str">
            <v>GJ</v>
          </cell>
        </row>
        <row r="283">
          <cell r="C283" t="str">
            <v>Fontes Estacionárias</v>
          </cell>
          <cell r="E283" t="str">
            <v>Comercial e Institucional</v>
          </cell>
          <cell r="F283" t="str">
            <v>Carvão (Sub-Bit)</v>
          </cell>
          <cell r="G283">
            <v>1.5E-3</v>
          </cell>
          <cell r="I283" t="str">
            <v>kg N₂O</v>
          </cell>
          <cell r="J283" t="str">
            <v>GJ</v>
          </cell>
        </row>
        <row r="284">
          <cell r="C284" t="str">
            <v>Fontes Estacionárias</v>
          </cell>
          <cell r="E284" t="str">
            <v>Comercial e Institucional</v>
          </cell>
          <cell r="F284" t="str">
            <v>Licor Negro</v>
          </cell>
          <cell r="G284">
            <v>95.3</v>
          </cell>
          <cell r="I284" t="str">
            <v>kg CO₂</v>
          </cell>
          <cell r="J284" t="str">
            <v>GJ</v>
          </cell>
        </row>
        <row r="285">
          <cell r="C285" t="str">
            <v>Fontes Estacionárias</v>
          </cell>
          <cell r="E285" t="str">
            <v>Comercial e Institucional</v>
          </cell>
          <cell r="F285" t="str">
            <v>Licor Negro</v>
          </cell>
          <cell r="G285">
            <v>3.0000000000000001E-3</v>
          </cell>
          <cell r="I285" t="str">
            <v>kg CH₄</v>
          </cell>
          <cell r="J285" t="str">
            <v>GJ</v>
          </cell>
        </row>
        <row r="286">
          <cell r="C286" t="str">
            <v>Fontes Estacionárias</v>
          </cell>
          <cell r="E286" t="str">
            <v>Comercial e Institucional</v>
          </cell>
          <cell r="F286" t="str">
            <v>Licor Negro</v>
          </cell>
          <cell r="G286">
            <v>2E-3</v>
          </cell>
          <cell r="I286" t="str">
            <v>kg N₂O</v>
          </cell>
          <cell r="J286" t="str">
            <v>GJ</v>
          </cell>
        </row>
        <row r="287">
          <cell r="C287" t="str">
            <v>Fontes Estacionárias</v>
          </cell>
          <cell r="E287" t="str">
            <v>Comercial e Institucional</v>
          </cell>
          <cell r="F287" t="str">
            <v>Resíduo de madeira</v>
          </cell>
          <cell r="G287">
            <v>112</v>
          </cell>
          <cell r="I287" t="str">
            <v>kg CO₂</v>
          </cell>
          <cell r="J287" t="str">
            <v>GJ</v>
          </cell>
        </row>
        <row r="288">
          <cell r="C288" t="str">
            <v>Fontes Estacionárias</v>
          </cell>
          <cell r="E288" t="str">
            <v>Comercial e Institucional</v>
          </cell>
          <cell r="F288" t="str">
            <v>Resíduo de madeira</v>
          </cell>
          <cell r="G288">
            <v>0.3</v>
          </cell>
          <cell r="I288" t="str">
            <v>kg CH₄</v>
          </cell>
          <cell r="J288" t="str">
            <v>GJ</v>
          </cell>
        </row>
        <row r="289">
          <cell r="C289" t="str">
            <v>Fontes Estacionárias</v>
          </cell>
          <cell r="E289" t="str">
            <v>Comercial e Institucional</v>
          </cell>
          <cell r="F289" t="str">
            <v>Resíduo de madeira</v>
          </cell>
          <cell r="G289">
            <v>4.0000000000000001E-3</v>
          </cell>
          <cell r="I289" t="str">
            <v>kg N₂O</v>
          </cell>
          <cell r="J289" t="str">
            <v>GJ</v>
          </cell>
        </row>
        <row r="290">
          <cell r="C290" t="str">
            <v>Fontes Estacionárias</v>
          </cell>
          <cell r="E290" t="str">
            <v>Comercial e Institucional</v>
          </cell>
          <cell r="F290" t="str">
            <v>Querosene</v>
          </cell>
          <cell r="G290">
            <v>71.900000000000006</v>
          </cell>
          <cell r="I290" t="str">
            <v>kg CO₂</v>
          </cell>
          <cell r="J290" t="str">
            <v>GJ</v>
          </cell>
        </row>
        <row r="291">
          <cell r="C291" t="str">
            <v>Fontes Estacionárias</v>
          </cell>
          <cell r="E291" t="str">
            <v>Comercial e Institucional</v>
          </cell>
          <cell r="F291" t="str">
            <v>Querosene</v>
          </cell>
          <cell r="G291">
            <v>0.01</v>
          </cell>
          <cell r="I291" t="str">
            <v>kg CH₄</v>
          </cell>
          <cell r="J291" t="str">
            <v>GJ</v>
          </cell>
        </row>
        <row r="292">
          <cell r="C292" t="str">
            <v>Fontes Estacionárias</v>
          </cell>
          <cell r="E292" t="str">
            <v>Comercial e Institucional</v>
          </cell>
          <cell r="F292" t="str">
            <v>Querosene</v>
          </cell>
          <cell r="G292">
            <v>5.9999999999999995E-4</v>
          </cell>
          <cell r="I292" t="str">
            <v>kg N₂O</v>
          </cell>
          <cell r="J292" t="str">
            <v>GJ</v>
          </cell>
        </row>
        <row r="293">
          <cell r="C293" t="str">
            <v>Fontes Estacionárias</v>
          </cell>
          <cell r="E293" t="str">
            <v>Residencial e Agricultura</v>
          </cell>
          <cell r="F293" t="str">
            <v>Óleo Combustível Pesado</v>
          </cell>
          <cell r="G293">
            <v>77.400000000000006</v>
          </cell>
          <cell r="I293" t="str">
            <v>kg CO₂</v>
          </cell>
          <cell r="J293" t="str">
            <v>GJ</v>
          </cell>
        </row>
        <row r="294">
          <cell r="C294" t="str">
            <v>Fontes Estacionárias</v>
          </cell>
          <cell r="E294" t="str">
            <v>Residencial e Agricultura</v>
          </cell>
          <cell r="F294" t="str">
            <v>Óleo Combustível Pesado</v>
          </cell>
          <cell r="G294">
            <v>0.01</v>
          </cell>
          <cell r="I294" t="str">
            <v>kg CH₄</v>
          </cell>
          <cell r="J294" t="str">
            <v>GJ</v>
          </cell>
        </row>
        <row r="295">
          <cell r="C295" t="str">
            <v>Fontes Estacionárias</v>
          </cell>
          <cell r="E295" t="str">
            <v>Residencial e Agricultura</v>
          </cell>
          <cell r="F295" t="str">
            <v>Óleo Combustível Pesado</v>
          </cell>
          <cell r="G295">
            <v>5.9999999999999995E-4</v>
          </cell>
          <cell r="I295" t="str">
            <v>kg N₂O</v>
          </cell>
          <cell r="J295" t="str">
            <v>GJ</v>
          </cell>
        </row>
        <row r="296">
          <cell r="C296" t="str">
            <v>Fontes Estacionárias</v>
          </cell>
          <cell r="E296" t="str">
            <v>Residencial e Agricultura</v>
          </cell>
          <cell r="F296" t="str">
            <v>Biodiesel</v>
          </cell>
          <cell r="G296">
            <v>70.8</v>
          </cell>
          <cell r="I296" t="str">
            <v>kg CO₂</v>
          </cell>
          <cell r="J296" t="str">
            <v>GJ</v>
          </cell>
        </row>
        <row r="297">
          <cell r="C297" t="str">
            <v>Fontes Estacionárias</v>
          </cell>
          <cell r="E297" t="str">
            <v>Residencial e Agricultura</v>
          </cell>
          <cell r="F297" t="str">
            <v>Biodiesel</v>
          </cell>
          <cell r="G297">
            <v>0.01</v>
          </cell>
          <cell r="I297" t="str">
            <v>kg CH₄</v>
          </cell>
          <cell r="J297" t="str">
            <v>GJ</v>
          </cell>
        </row>
        <row r="298">
          <cell r="C298" t="str">
            <v>Fontes Estacionárias</v>
          </cell>
          <cell r="E298" t="str">
            <v>Residencial e Agricultura</v>
          </cell>
          <cell r="F298" t="str">
            <v>Biodiesel</v>
          </cell>
          <cell r="G298">
            <v>5.9999999999999995E-4</v>
          </cell>
          <cell r="I298" t="str">
            <v>kg N₂O</v>
          </cell>
          <cell r="J298" t="str">
            <v>GJ</v>
          </cell>
        </row>
        <row r="299">
          <cell r="C299" t="str">
            <v>Fontes Estacionárias</v>
          </cell>
          <cell r="E299" t="str">
            <v>Residencial e Agricultura</v>
          </cell>
          <cell r="F299" t="str">
            <v>Etanol Anidro</v>
          </cell>
          <cell r="G299">
            <v>79.599999999999994</v>
          </cell>
          <cell r="I299" t="str">
            <v>kg CO₂</v>
          </cell>
          <cell r="J299" t="str">
            <v>GJ</v>
          </cell>
        </row>
        <row r="300">
          <cell r="C300" t="str">
            <v>Fontes Estacionárias</v>
          </cell>
          <cell r="E300" t="str">
            <v>Residencial e Agricultura</v>
          </cell>
          <cell r="F300" t="str">
            <v>Etanol Anidro</v>
          </cell>
          <cell r="G300">
            <v>0.01</v>
          </cell>
          <cell r="I300" t="str">
            <v>kg CH₄</v>
          </cell>
          <cell r="J300" t="str">
            <v>GJ</v>
          </cell>
        </row>
        <row r="301">
          <cell r="C301" t="str">
            <v>Fontes Estacionárias</v>
          </cell>
          <cell r="E301" t="str">
            <v>Residencial e Agricultura</v>
          </cell>
          <cell r="F301" t="str">
            <v>Etanol Anidro</v>
          </cell>
          <cell r="G301">
            <v>5.9999999999999995E-4</v>
          </cell>
          <cell r="I301" t="str">
            <v>kg N₂O</v>
          </cell>
          <cell r="J301" t="str">
            <v>GJ</v>
          </cell>
        </row>
        <row r="302">
          <cell r="C302" t="str">
            <v>Fontes Estacionárias</v>
          </cell>
          <cell r="E302" t="str">
            <v>Residencial e Agricultura</v>
          </cell>
          <cell r="F302" t="str">
            <v>Etanol Hidratado</v>
          </cell>
          <cell r="G302">
            <v>79.599999999999994</v>
          </cell>
          <cell r="I302" t="str">
            <v>kg CO₂</v>
          </cell>
          <cell r="J302" t="str">
            <v>GJ</v>
          </cell>
        </row>
        <row r="303">
          <cell r="C303" t="str">
            <v>Fontes Estacionárias</v>
          </cell>
          <cell r="E303" t="str">
            <v>Residencial e Agricultura</v>
          </cell>
          <cell r="F303" t="str">
            <v>Etanol Hidratado</v>
          </cell>
          <cell r="G303">
            <v>0.01</v>
          </cell>
          <cell r="I303" t="str">
            <v>kg CH₄</v>
          </cell>
          <cell r="J303" t="str">
            <v>GJ</v>
          </cell>
        </row>
        <row r="304">
          <cell r="C304" t="str">
            <v>Fontes Estacionárias</v>
          </cell>
          <cell r="E304" t="str">
            <v>Residencial e Agricultura</v>
          </cell>
          <cell r="F304" t="str">
            <v>Etanol Hidratado</v>
          </cell>
          <cell r="G304">
            <v>5.9999999999999995E-4</v>
          </cell>
          <cell r="I304" t="str">
            <v>kg N₂O</v>
          </cell>
          <cell r="J304" t="str">
            <v>GJ</v>
          </cell>
        </row>
        <row r="305">
          <cell r="C305" t="str">
            <v>Fontes Estacionárias</v>
          </cell>
          <cell r="E305" t="str">
            <v>Residencial e Agricultura</v>
          </cell>
          <cell r="F305" t="str">
            <v>Biomassa</v>
          </cell>
          <cell r="G305">
            <v>100</v>
          </cell>
          <cell r="I305" t="str">
            <v>kg CO₂</v>
          </cell>
          <cell r="J305" t="str">
            <v>GJ</v>
          </cell>
        </row>
        <row r="306">
          <cell r="C306" t="str">
            <v>Fontes Estacionárias</v>
          </cell>
          <cell r="E306" t="str">
            <v>Residencial e Agricultura</v>
          </cell>
          <cell r="F306" t="str">
            <v>Biomassa</v>
          </cell>
          <cell r="G306">
            <v>0.3</v>
          </cell>
          <cell r="I306" t="str">
            <v>kg CH₄</v>
          </cell>
          <cell r="J306" t="str">
            <v>GJ</v>
          </cell>
        </row>
        <row r="307">
          <cell r="C307" t="str">
            <v>Fontes Estacionárias</v>
          </cell>
          <cell r="E307" t="str">
            <v>Residencial e Agricultura</v>
          </cell>
          <cell r="F307" t="str">
            <v>Biomassa</v>
          </cell>
          <cell r="G307">
            <v>4.0000000000000001E-3</v>
          </cell>
          <cell r="I307" t="str">
            <v>kg N₂O</v>
          </cell>
          <cell r="J307" t="str">
            <v>GJ</v>
          </cell>
        </row>
        <row r="308">
          <cell r="C308" t="str">
            <v>Fontes Estacionárias</v>
          </cell>
          <cell r="E308" t="str">
            <v>Residencial e Agricultura</v>
          </cell>
          <cell r="F308" t="str">
            <v>Diesel B5</v>
          </cell>
          <cell r="G308">
            <v>70.703196053728391</v>
          </cell>
          <cell r="I308" t="str">
            <v>kg CO₂</v>
          </cell>
          <cell r="J308" t="str">
            <v>GJ</v>
          </cell>
        </row>
        <row r="309">
          <cell r="C309" t="str">
            <v>Fontes Estacionárias</v>
          </cell>
          <cell r="E309" t="str">
            <v>Residencial e Agricultura</v>
          </cell>
          <cell r="F309" t="str">
            <v>Diesel B5</v>
          </cell>
          <cell r="G309">
            <v>1.0000000000000002E-2</v>
          </cell>
          <cell r="I309" t="str">
            <v>kg CH₄</v>
          </cell>
          <cell r="J309" t="str">
            <v>GJ</v>
          </cell>
        </row>
        <row r="310">
          <cell r="C310" t="str">
            <v>Fontes Estacionárias</v>
          </cell>
          <cell r="E310" t="str">
            <v>Residencial e Agricultura</v>
          </cell>
          <cell r="F310" t="str">
            <v>Diesel B5</v>
          </cell>
          <cell r="G310">
            <v>5.9999999999999995E-4</v>
          </cell>
          <cell r="I310" t="str">
            <v>kg N₂O</v>
          </cell>
          <cell r="J310" t="str">
            <v>GJ</v>
          </cell>
        </row>
        <row r="311">
          <cell r="C311" t="str">
            <v>Fontes Estacionárias</v>
          </cell>
          <cell r="E311" t="str">
            <v>Residencial e Agricultura</v>
          </cell>
          <cell r="F311" t="str">
            <v>Óleo Diesel</v>
          </cell>
          <cell r="G311">
            <v>74.099999999999994</v>
          </cell>
          <cell r="I311" t="str">
            <v>kg CO₂</v>
          </cell>
          <cell r="J311" t="str">
            <v>GJ</v>
          </cell>
        </row>
        <row r="312">
          <cell r="C312" t="str">
            <v>Fontes Estacionárias</v>
          </cell>
          <cell r="E312" t="str">
            <v>Residencial e Agricultura</v>
          </cell>
          <cell r="F312" t="str">
            <v>Óleo Diesel</v>
          </cell>
          <cell r="G312">
            <v>0.01</v>
          </cell>
          <cell r="I312" t="str">
            <v>kg CH₄</v>
          </cell>
          <cell r="J312" t="str">
            <v>GJ</v>
          </cell>
        </row>
        <row r="313">
          <cell r="C313" t="str">
            <v>Fontes Estacionárias</v>
          </cell>
          <cell r="E313" t="str">
            <v>Residencial e Agricultura</v>
          </cell>
          <cell r="F313" t="str">
            <v>Óleo Diesel</v>
          </cell>
          <cell r="G313">
            <v>5.9999999999999995E-4</v>
          </cell>
          <cell r="I313" t="str">
            <v>kg N₂O</v>
          </cell>
          <cell r="J313" t="str">
            <v>GJ</v>
          </cell>
        </row>
        <row r="314">
          <cell r="C314" t="str">
            <v>Fontes Estacionárias</v>
          </cell>
          <cell r="E314" t="str">
            <v>Residencial e Agricultura</v>
          </cell>
          <cell r="F314" t="str">
            <v>Gasolina C</v>
          </cell>
          <cell r="G314">
            <v>57.417940409868059</v>
          </cell>
          <cell r="I314" t="str">
            <v>kg CO₂</v>
          </cell>
          <cell r="J314" t="str">
            <v>GJ</v>
          </cell>
        </row>
        <row r="315">
          <cell r="C315" t="str">
            <v>Fontes Estacionárias</v>
          </cell>
          <cell r="E315" t="str">
            <v>Residencial e Agricultura</v>
          </cell>
          <cell r="F315" t="str">
            <v>Gasolina C</v>
          </cell>
          <cell r="G315">
            <v>3.0000000000000001E-3</v>
          </cell>
          <cell r="I315" t="str">
            <v>kg CH₄</v>
          </cell>
          <cell r="J315" t="str">
            <v>GJ</v>
          </cell>
        </row>
        <row r="316">
          <cell r="C316" t="str">
            <v>Fontes Estacionárias</v>
          </cell>
          <cell r="E316" t="str">
            <v>Residencial e Agricultura</v>
          </cell>
          <cell r="F316" t="str">
            <v>Gasolina C</v>
          </cell>
          <cell r="G316">
            <v>5.9999999999999995E-4</v>
          </cell>
          <cell r="I316" t="str">
            <v>kg N₂O</v>
          </cell>
          <cell r="J316" t="str">
            <v>GJ</v>
          </cell>
        </row>
        <row r="317">
          <cell r="C317" t="str">
            <v>Fontes Estacionárias</v>
          </cell>
          <cell r="E317" t="str">
            <v>Residencial e Agricultura</v>
          </cell>
          <cell r="F317" t="str">
            <v>Gasolina A</v>
          </cell>
          <cell r="G317">
            <v>69.3</v>
          </cell>
          <cell r="I317" t="str">
            <v>kg CO₂</v>
          </cell>
          <cell r="J317" t="str">
            <v>GJ</v>
          </cell>
        </row>
        <row r="318">
          <cell r="C318" t="str">
            <v>Fontes Estacionárias</v>
          </cell>
          <cell r="E318" t="str">
            <v>Residencial e Agricultura</v>
          </cell>
          <cell r="F318" t="str">
            <v>Gasolina A</v>
          </cell>
          <cell r="G318">
            <v>0.01</v>
          </cell>
          <cell r="I318" t="str">
            <v>kg CH₄</v>
          </cell>
          <cell r="J318" t="str">
            <v>GJ</v>
          </cell>
        </row>
        <row r="319">
          <cell r="C319" t="str">
            <v>Fontes Estacionárias</v>
          </cell>
          <cell r="E319" t="str">
            <v>Residencial e Agricultura</v>
          </cell>
          <cell r="F319" t="str">
            <v>Gasolina A</v>
          </cell>
          <cell r="G319">
            <v>5.9999999999999995E-4</v>
          </cell>
          <cell r="I319" t="str">
            <v>kg N₂O</v>
          </cell>
          <cell r="J319" t="str">
            <v>GJ</v>
          </cell>
        </row>
        <row r="320">
          <cell r="C320" t="str">
            <v>Fontes Estacionárias</v>
          </cell>
          <cell r="E320" t="str">
            <v>Residencial e Agricultura</v>
          </cell>
          <cell r="F320" t="str">
            <v>GLP</v>
          </cell>
          <cell r="G320">
            <v>63.1</v>
          </cell>
          <cell r="I320" t="str">
            <v>kg CO₂</v>
          </cell>
          <cell r="J320" t="str">
            <v>GJ</v>
          </cell>
        </row>
        <row r="321">
          <cell r="C321" t="str">
            <v>Fontes Estacionárias</v>
          </cell>
          <cell r="E321" t="str">
            <v>Residencial e Agricultura</v>
          </cell>
          <cell r="F321" t="str">
            <v>GLP</v>
          </cell>
          <cell r="G321">
            <v>5.0000000000000001E-3</v>
          </cell>
          <cell r="I321" t="str">
            <v>kg CH₄</v>
          </cell>
          <cell r="J321" t="str">
            <v>GJ</v>
          </cell>
        </row>
        <row r="322">
          <cell r="C322" t="str">
            <v>Fontes Estacionárias</v>
          </cell>
          <cell r="E322" t="str">
            <v>Residencial e Agricultura</v>
          </cell>
          <cell r="F322" t="str">
            <v>GLP</v>
          </cell>
          <cell r="G322">
            <v>1E-4</v>
          </cell>
          <cell r="I322" t="str">
            <v>kg N₂O</v>
          </cell>
          <cell r="J322" t="str">
            <v>GJ</v>
          </cell>
        </row>
        <row r="323">
          <cell r="C323" t="str">
            <v>Fontes Estacionárias</v>
          </cell>
          <cell r="E323" t="str">
            <v>Residencial e Agricultura</v>
          </cell>
          <cell r="F323" t="str">
            <v>Carvão Vegetal</v>
          </cell>
          <cell r="G323">
            <v>112</v>
          </cell>
          <cell r="I323" t="str">
            <v>kg CO₂</v>
          </cell>
          <cell r="J323" t="str">
            <v>GJ</v>
          </cell>
        </row>
        <row r="324">
          <cell r="C324" t="str">
            <v>Fontes Estacionárias</v>
          </cell>
          <cell r="E324" t="str">
            <v>Residencial e Agricultura</v>
          </cell>
          <cell r="F324" t="str">
            <v>Carvão Vegetal</v>
          </cell>
          <cell r="G324">
            <v>0.2</v>
          </cell>
          <cell r="I324" t="str">
            <v>kg CH₄</v>
          </cell>
          <cell r="J324" t="str">
            <v>GJ</v>
          </cell>
        </row>
        <row r="325">
          <cell r="C325" t="str">
            <v>Fontes Estacionárias</v>
          </cell>
          <cell r="E325" t="str">
            <v>Residencial e Agricultura</v>
          </cell>
          <cell r="F325" t="str">
            <v>Carvão Vegetal</v>
          </cell>
          <cell r="G325">
            <v>1E-3</v>
          </cell>
          <cell r="I325" t="str">
            <v>kg N₂O</v>
          </cell>
          <cell r="J325" t="str">
            <v>GJ</v>
          </cell>
        </row>
        <row r="326">
          <cell r="C326" t="str">
            <v>Fontes Estacionárias</v>
          </cell>
          <cell r="E326" t="str">
            <v>Residencial e Agricultura</v>
          </cell>
          <cell r="F326" t="str">
            <v>Gás Natural</v>
          </cell>
          <cell r="G326">
            <v>56.1</v>
          </cell>
          <cell r="I326" t="str">
            <v>kg CO₂</v>
          </cell>
          <cell r="J326" t="str">
            <v>GJ</v>
          </cell>
        </row>
        <row r="327">
          <cell r="C327" t="str">
            <v>Fontes Estacionárias</v>
          </cell>
          <cell r="E327" t="str">
            <v>Residencial e Agricultura</v>
          </cell>
          <cell r="F327" t="str">
            <v>Gás Natural</v>
          </cell>
          <cell r="G327">
            <v>5.0000000000000001E-3</v>
          </cell>
          <cell r="I327" t="str">
            <v>kg CH₄</v>
          </cell>
          <cell r="J327" t="str">
            <v>GJ</v>
          </cell>
        </row>
        <row r="328">
          <cell r="C328" t="str">
            <v>Fontes Estacionárias</v>
          </cell>
          <cell r="E328" t="str">
            <v>Residencial e Agricultura</v>
          </cell>
          <cell r="F328" t="str">
            <v>Gás Natural</v>
          </cell>
          <cell r="G328">
            <v>1E-4</v>
          </cell>
          <cell r="I328" t="str">
            <v>kg N₂O</v>
          </cell>
          <cell r="J328" t="str">
            <v>GJ</v>
          </cell>
        </row>
        <row r="329">
          <cell r="C329" t="str">
            <v>Fontes Estacionárias</v>
          </cell>
          <cell r="E329" t="str">
            <v>Residencial e Agricultura</v>
          </cell>
          <cell r="F329" t="str">
            <v>Carvão (Sub-Bit)</v>
          </cell>
          <cell r="G329">
            <v>96.1</v>
          </cell>
          <cell r="I329" t="str">
            <v>kg CO₂</v>
          </cell>
          <cell r="J329" t="str">
            <v>GJ</v>
          </cell>
        </row>
        <row r="330">
          <cell r="C330" t="str">
            <v>Fontes Estacionárias</v>
          </cell>
          <cell r="E330" t="str">
            <v>Residencial e Agricultura</v>
          </cell>
          <cell r="F330" t="str">
            <v>Carvão (Sub-Bit)</v>
          </cell>
          <cell r="G330">
            <v>0.01</v>
          </cell>
          <cell r="I330" t="str">
            <v>kg CH₄</v>
          </cell>
          <cell r="J330" t="str">
            <v>GJ</v>
          </cell>
        </row>
        <row r="331">
          <cell r="C331" t="str">
            <v>Fontes Estacionárias</v>
          </cell>
          <cell r="E331" t="str">
            <v>Residencial e Agricultura</v>
          </cell>
          <cell r="F331" t="str">
            <v>Carvão (Sub-Bit)</v>
          </cell>
          <cell r="G331">
            <v>1.5E-3</v>
          </cell>
          <cell r="I331" t="str">
            <v>kg N₂O</v>
          </cell>
          <cell r="J331" t="str">
            <v>GJ</v>
          </cell>
        </row>
        <row r="332">
          <cell r="C332" t="str">
            <v>Fontes Estacionárias</v>
          </cell>
          <cell r="E332" t="str">
            <v>Residencial e Agricultura</v>
          </cell>
          <cell r="F332" t="str">
            <v>Licor Negro</v>
          </cell>
          <cell r="G332">
            <v>95.3</v>
          </cell>
          <cell r="I332" t="str">
            <v>kg CO₂</v>
          </cell>
          <cell r="J332" t="str">
            <v>GJ</v>
          </cell>
        </row>
        <row r="333">
          <cell r="C333" t="str">
            <v>Fontes Estacionárias</v>
          </cell>
          <cell r="E333" t="str">
            <v>Residencial e Agricultura</v>
          </cell>
          <cell r="F333" t="str">
            <v>Licor Negro</v>
          </cell>
          <cell r="G333">
            <v>3.0000000000000001E-3</v>
          </cell>
          <cell r="I333" t="str">
            <v>kg CH₄</v>
          </cell>
          <cell r="J333" t="str">
            <v>GJ</v>
          </cell>
        </row>
        <row r="334">
          <cell r="C334" t="str">
            <v>Fontes Estacionárias</v>
          </cell>
          <cell r="E334" t="str">
            <v>Residencial e Agricultura</v>
          </cell>
          <cell r="F334" t="str">
            <v>Licor Negro</v>
          </cell>
          <cell r="G334">
            <v>2E-3</v>
          </cell>
          <cell r="I334" t="str">
            <v>kg N₂O</v>
          </cell>
          <cell r="J334" t="str">
            <v>GJ</v>
          </cell>
        </row>
        <row r="335">
          <cell r="C335" t="str">
            <v>Fontes Estacionárias</v>
          </cell>
          <cell r="E335" t="str">
            <v>Residencial e Agricultura</v>
          </cell>
          <cell r="F335" t="str">
            <v>Resíduo de madeira</v>
          </cell>
          <cell r="G335">
            <v>112</v>
          </cell>
          <cell r="I335" t="str">
            <v>kg CO₂</v>
          </cell>
          <cell r="J335" t="str">
            <v>GJ</v>
          </cell>
        </row>
        <row r="336">
          <cell r="C336" t="str">
            <v>Fontes Estacionárias</v>
          </cell>
          <cell r="E336" t="str">
            <v>Residencial e Agricultura</v>
          </cell>
          <cell r="F336" t="str">
            <v>Resíduo de madeira</v>
          </cell>
          <cell r="G336">
            <v>0.3</v>
          </cell>
          <cell r="I336" t="str">
            <v>kg CH₄</v>
          </cell>
          <cell r="J336" t="str">
            <v>GJ</v>
          </cell>
        </row>
        <row r="337">
          <cell r="C337" t="str">
            <v>Fontes Estacionárias</v>
          </cell>
          <cell r="E337" t="str">
            <v>Residencial e Agricultura</v>
          </cell>
          <cell r="F337" t="str">
            <v>Resíduo de madeira</v>
          </cell>
          <cell r="G337">
            <v>4.0000000000000001E-3</v>
          </cell>
          <cell r="I337" t="str">
            <v>kg N₂O</v>
          </cell>
          <cell r="J337" t="str">
            <v>GJ</v>
          </cell>
        </row>
        <row r="338">
          <cell r="C338" t="str">
            <v>Fontes Estacionárias</v>
          </cell>
          <cell r="E338" t="str">
            <v>Residencial e Agricultura</v>
          </cell>
          <cell r="F338" t="str">
            <v>Querosene</v>
          </cell>
          <cell r="G338">
            <v>71.900000000000006</v>
          </cell>
          <cell r="I338" t="str">
            <v>kg CO₂</v>
          </cell>
          <cell r="J338" t="str">
            <v>GJ</v>
          </cell>
        </row>
        <row r="339">
          <cell r="C339" t="str">
            <v>Fontes Estacionárias</v>
          </cell>
          <cell r="E339" t="str">
            <v>Residencial e Agricultura</v>
          </cell>
          <cell r="F339" t="str">
            <v>Querosene</v>
          </cell>
          <cell r="G339">
            <v>0.01</v>
          </cell>
          <cell r="I339" t="str">
            <v>kg CH₄</v>
          </cell>
          <cell r="J339" t="str">
            <v>GJ</v>
          </cell>
        </row>
        <row r="340">
          <cell r="C340" t="str">
            <v>Fontes Estacionárias</v>
          </cell>
          <cell r="E340" t="str">
            <v>Residencial e Agricultura</v>
          </cell>
          <cell r="F340" t="str">
            <v>Querosene</v>
          </cell>
          <cell r="G340">
            <v>5.9999999999999995E-4</v>
          </cell>
          <cell r="I340" t="str">
            <v>kg N₂O</v>
          </cell>
          <cell r="J340" t="str">
            <v>GJ</v>
          </cell>
        </row>
        <row r="341">
          <cell r="C341" t="str">
            <v>Fontes Estacionárias</v>
          </cell>
          <cell r="E341" t="str">
            <v>N/A</v>
          </cell>
          <cell r="F341" t="str">
            <v>Acetileno</v>
          </cell>
          <cell r="G341">
            <v>3.3846153846153846</v>
          </cell>
          <cell r="I341" t="str">
            <v>kg CO₂</v>
          </cell>
          <cell r="J341" t="str">
            <v>kg</v>
          </cell>
        </row>
        <row r="342">
          <cell r="C342" t="str">
            <v>Fontes Estacionárias</v>
          </cell>
          <cell r="E342" t="str">
            <v>N/A</v>
          </cell>
          <cell r="F342" t="str">
            <v>Acetileno</v>
          </cell>
          <cell r="G342">
            <v>0</v>
          </cell>
          <cell r="I342" t="str">
            <v>kg CH₄</v>
          </cell>
          <cell r="J342" t="str">
            <v>kg</v>
          </cell>
        </row>
        <row r="343">
          <cell r="C343" t="str">
            <v>Fontes Estacionárias</v>
          </cell>
          <cell r="E343" t="str">
            <v>N/A</v>
          </cell>
          <cell r="F343" t="str">
            <v>Acetileno</v>
          </cell>
          <cell r="G343">
            <v>0</v>
          </cell>
          <cell r="I343" t="str">
            <v>kg N₂O</v>
          </cell>
          <cell r="J343" t="str">
            <v>kg</v>
          </cell>
        </row>
        <row r="344">
          <cell r="C344" t="str">
            <v>Fontes Estacionárias</v>
          </cell>
          <cell r="E344" t="str">
            <v>N/A</v>
          </cell>
          <cell r="F344" t="str">
            <v>Acetileno</v>
          </cell>
          <cell r="G344">
            <v>3384.6153846153848</v>
          </cell>
          <cell r="I344" t="str">
            <v>kg CO₂</v>
          </cell>
          <cell r="J344" t="str">
            <v>t</v>
          </cell>
        </row>
        <row r="345">
          <cell r="C345" t="str">
            <v>Fontes Estacionárias</v>
          </cell>
          <cell r="E345" t="str">
            <v>N/A</v>
          </cell>
          <cell r="F345" t="str">
            <v>Acetileno</v>
          </cell>
          <cell r="G345">
            <v>0</v>
          </cell>
          <cell r="I345" t="str">
            <v>kg CH₄</v>
          </cell>
          <cell r="J345" t="str">
            <v>t</v>
          </cell>
        </row>
        <row r="346">
          <cell r="C346" t="str">
            <v>Fontes Estacionárias</v>
          </cell>
          <cell r="E346" t="str">
            <v>N/A</v>
          </cell>
          <cell r="F346" t="str">
            <v>Acetileno</v>
          </cell>
          <cell r="G346">
            <v>0</v>
          </cell>
          <cell r="I346" t="str">
            <v>kg N₂O</v>
          </cell>
          <cell r="J346" t="str">
            <v>t</v>
          </cell>
        </row>
        <row r="347">
          <cell r="C347" t="str">
            <v>Fontes Estacionárias</v>
          </cell>
          <cell r="E347" t="str">
            <v>N/A</v>
          </cell>
          <cell r="F347" t="str">
            <v>Acetileno</v>
          </cell>
          <cell r="G347">
            <v>3.7467692307692304</v>
          </cell>
          <cell r="I347" t="str">
            <v>kg CO₂</v>
          </cell>
          <cell r="J347" t="str">
            <v>m3</v>
          </cell>
        </row>
        <row r="348">
          <cell r="C348" t="str">
            <v>Fontes Estacionárias</v>
          </cell>
          <cell r="E348" t="str">
            <v>N/A</v>
          </cell>
          <cell r="F348" t="str">
            <v>Acetileno</v>
          </cell>
          <cell r="G348">
            <v>0</v>
          </cell>
          <cell r="I348" t="str">
            <v>kg CH₄</v>
          </cell>
          <cell r="J348" t="str">
            <v>m3</v>
          </cell>
        </row>
        <row r="349">
          <cell r="C349" t="str">
            <v>Fontes Estacionárias</v>
          </cell>
          <cell r="E349" t="str">
            <v>N/A</v>
          </cell>
          <cell r="F349" t="str">
            <v>Acetileno</v>
          </cell>
          <cell r="G349">
            <v>0</v>
          </cell>
          <cell r="I349" t="str">
            <v>kg N₂O</v>
          </cell>
          <cell r="J349" t="str">
            <v>m3</v>
          </cell>
        </row>
        <row r="350">
          <cell r="C350" t="str">
            <v>Fontes Estacionárias</v>
          </cell>
          <cell r="E350" t="str">
            <v>Residencial e Agricultura</v>
          </cell>
          <cell r="F350" t="str">
            <v>Eletricidade Comprada Janeiro</v>
          </cell>
          <cell r="G350">
            <v>31.972222222222221</v>
          </cell>
          <cell r="I350" t="str">
            <v>kg CO₂</v>
          </cell>
          <cell r="J350" t="str">
            <v>GJ</v>
          </cell>
        </row>
        <row r="351">
          <cell r="C351" t="str">
            <v>Fontes Estacionárias</v>
          </cell>
          <cell r="E351" t="str">
            <v>Residencial e Agricultura</v>
          </cell>
          <cell r="F351" t="str">
            <v>Eletricidade Comprada Fevereiro</v>
          </cell>
          <cell r="G351">
            <v>30.277777777777779</v>
          </cell>
          <cell r="I351" t="str">
            <v>kg CO₂</v>
          </cell>
          <cell r="J351" t="str">
            <v>GJ</v>
          </cell>
        </row>
        <row r="352">
          <cell r="C352" t="str">
            <v>Fontes Estacionárias</v>
          </cell>
          <cell r="E352" t="str">
            <v>Residencial e Agricultura</v>
          </cell>
          <cell r="F352" t="str">
            <v>Eletricidade Comprada Março</v>
          </cell>
          <cell r="G352">
            <v>27.25</v>
          </cell>
          <cell r="I352" t="str">
            <v>kg CO₂</v>
          </cell>
          <cell r="J352" t="str">
            <v>GJ</v>
          </cell>
        </row>
        <row r="353">
          <cell r="C353" t="str">
            <v>Fontes Estacionárias</v>
          </cell>
          <cell r="E353" t="str">
            <v>Residencial e Agricultura</v>
          </cell>
          <cell r="F353" t="str">
            <v>Eletricidade Comprada Abril</v>
          </cell>
          <cell r="G353">
            <v>26.638888888888889</v>
          </cell>
          <cell r="I353" t="str">
            <v>kg CO₂</v>
          </cell>
          <cell r="J353" t="str">
            <v>GJ</v>
          </cell>
        </row>
        <row r="354">
          <cell r="C354" t="str">
            <v>Fontes Estacionárias</v>
          </cell>
          <cell r="E354" t="str">
            <v>Residencial e Agricultura</v>
          </cell>
          <cell r="F354" t="str">
            <v>Eletricidade Comprada Maio</v>
          </cell>
          <cell r="G354">
            <v>31.972222222222221</v>
          </cell>
          <cell r="I354" t="str">
            <v>kg CO₂</v>
          </cell>
          <cell r="J354" t="str">
            <v>GJ</v>
          </cell>
        </row>
        <row r="355">
          <cell r="C355" t="str">
            <v>Fontes Estacionárias</v>
          </cell>
          <cell r="E355" t="str">
            <v>Residencial e Agricultura</v>
          </cell>
          <cell r="F355" t="str">
            <v>Eletricidade Comprada Junho</v>
          </cell>
          <cell r="G355">
            <v>29.972222222222218</v>
          </cell>
          <cell r="I355" t="str">
            <v>kg CO₂</v>
          </cell>
          <cell r="J355" t="str">
            <v>GJ</v>
          </cell>
        </row>
        <row r="356">
          <cell r="C356" t="str">
            <v>Fontes Estacionárias</v>
          </cell>
          <cell r="E356" t="str">
            <v>Residencial e Agricultura</v>
          </cell>
          <cell r="F356" t="str">
            <v>Eletricidade Comprada Julho</v>
          </cell>
          <cell r="G356">
            <v>23.277777777777775</v>
          </cell>
          <cell r="I356" t="str">
            <v>kg CO₂</v>
          </cell>
          <cell r="J356" t="str">
            <v>GJ</v>
          </cell>
        </row>
        <row r="357">
          <cell r="C357" t="str">
            <v>Fontes Estacionárias</v>
          </cell>
          <cell r="E357" t="str">
            <v>Residencial e Agricultura</v>
          </cell>
          <cell r="F357" t="str">
            <v>Eletricidade Comprada Agosto</v>
          </cell>
          <cell r="G357">
            <v>23.138888888888889</v>
          </cell>
          <cell r="I357" t="str">
            <v>kg CO₂</v>
          </cell>
          <cell r="J357" t="str">
            <v>GJ</v>
          </cell>
        </row>
        <row r="358">
          <cell r="C358" t="str">
            <v>Fontes Estacionárias</v>
          </cell>
          <cell r="E358" t="str">
            <v>Residencial e Agricultura</v>
          </cell>
          <cell r="F358" t="str">
            <v>Eletricidade Comprada Setembro</v>
          </cell>
          <cell r="G358">
            <v>23.333333333333332</v>
          </cell>
          <cell r="I358" t="str">
            <v>kg CO₂</v>
          </cell>
          <cell r="J358" t="str">
            <v>GJ</v>
          </cell>
        </row>
        <row r="359">
          <cell r="C359" t="str">
            <v>Fontes Estacionárias</v>
          </cell>
          <cell r="E359" t="str">
            <v>Residencial e Agricultura</v>
          </cell>
          <cell r="F359" t="str">
            <v>Eletricidade Comprada Outubro</v>
          </cell>
          <cell r="G359">
            <v>23.083333333333332</v>
          </cell>
          <cell r="I359" t="str">
            <v>kg CO₂</v>
          </cell>
          <cell r="J359" t="str">
            <v>GJ</v>
          </cell>
        </row>
        <row r="360">
          <cell r="C360" t="str">
            <v>Fontes Estacionárias</v>
          </cell>
          <cell r="E360" t="str">
            <v>Residencial e Agricultura</v>
          </cell>
          <cell r="F360" t="str">
            <v>Eletricidade Comprada Novembro</v>
          </cell>
          <cell r="G360">
            <v>25.833333333333332</v>
          </cell>
          <cell r="I360" t="str">
            <v>kg CO₂</v>
          </cell>
          <cell r="J360" t="str">
            <v>GJ</v>
          </cell>
        </row>
        <row r="361">
          <cell r="C361" t="str">
            <v>Fontes Estacionárias</v>
          </cell>
          <cell r="E361" t="str">
            <v>Residencial e Agricultura</v>
          </cell>
          <cell r="F361" t="str">
            <v>Eletricidade Comprada Dezembro</v>
          </cell>
          <cell r="G361">
            <v>23.361111111111111</v>
          </cell>
          <cell r="I361" t="str">
            <v>kg CO₂</v>
          </cell>
          <cell r="J361" t="str">
            <v>GJ</v>
          </cell>
        </row>
        <row r="362">
          <cell r="C362" t="str">
            <v>Fontes Estacionárias</v>
          </cell>
          <cell r="E362" t="str">
            <v>Residencial e Agricultura</v>
          </cell>
          <cell r="F362" t="str">
            <v>Eletricidade Comprada</v>
          </cell>
          <cell r="G362">
            <v>26.675925925925927</v>
          </cell>
          <cell r="I362" t="str">
            <v>kg CO₂</v>
          </cell>
          <cell r="J362" t="str">
            <v>GJ</v>
          </cell>
        </row>
        <row r="363">
          <cell r="C363" t="str">
            <v>Fontes Estacionárias</v>
          </cell>
          <cell r="E363" t="str">
            <v>Residencial e Agricultura</v>
          </cell>
          <cell r="F363" t="str">
            <v>Eletricidade Comprada</v>
          </cell>
          <cell r="G363">
            <v>0</v>
          </cell>
          <cell r="I363" t="str">
            <v>kg CH₄</v>
          </cell>
          <cell r="J363" t="str">
            <v>GJ</v>
          </cell>
        </row>
        <row r="364">
          <cell r="C364" t="str">
            <v>Fontes Estacionárias</v>
          </cell>
          <cell r="E364" t="str">
            <v>Residencial e Agricultura</v>
          </cell>
          <cell r="F364" t="str">
            <v>Eletricidade Comprada</v>
          </cell>
          <cell r="G364">
            <v>0</v>
          </cell>
          <cell r="I364" t="str">
            <v>kg N₂O</v>
          </cell>
          <cell r="J364" t="str">
            <v>GJ</v>
          </cell>
        </row>
        <row r="365">
          <cell r="C365" t="str">
            <v>Fontes Estacionárias</v>
          </cell>
          <cell r="E365" t="str">
            <v>Comercial e Institucional</v>
          </cell>
          <cell r="F365" t="str">
            <v>Eletricidade Comprada Janeiro</v>
          </cell>
          <cell r="G365">
            <v>31.972222222222221</v>
          </cell>
          <cell r="I365" t="str">
            <v>kg CO₂</v>
          </cell>
          <cell r="J365" t="str">
            <v>GJ</v>
          </cell>
        </row>
        <row r="366">
          <cell r="C366" t="str">
            <v>Fontes Estacionárias</v>
          </cell>
          <cell r="E366" t="str">
            <v>Comercial e Institucional</v>
          </cell>
          <cell r="F366" t="str">
            <v>Eletricidade Comprada Fevereiro</v>
          </cell>
          <cell r="G366">
            <v>30.277777777777779</v>
          </cell>
          <cell r="I366" t="str">
            <v>kg CO₂</v>
          </cell>
          <cell r="J366" t="str">
            <v>GJ</v>
          </cell>
        </row>
        <row r="367">
          <cell r="C367" t="str">
            <v>Fontes Estacionárias</v>
          </cell>
          <cell r="E367" t="str">
            <v>Comercial e Institucional</v>
          </cell>
          <cell r="F367" t="str">
            <v>Eletricidade Comprada Março</v>
          </cell>
          <cell r="G367">
            <v>27.25</v>
          </cell>
          <cell r="I367" t="str">
            <v>kg CO₂</v>
          </cell>
          <cell r="J367" t="str">
            <v>GJ</v>
          </cell>
        </row>
        <row r="368">
          <cell r="C368" t="str">
            <v>Fontes Estacionárias</v>
          </cell>
          <cell r="E368" t="str">
            <v>Comercial e Institucional</v>
          </cell>
          <cell r="F368" t="str">
            <v>Eletricidade Comprada Abril</v>
          </cell>
          <cell r="G368">
            <v>26.638888888888889</v>
          </cell>
          <cell r="I368" t="str">
            <v>kg CO₂</v>
          </cell>
          <cell r="J368" t="str">
            <v>GJ</v>
          </cell>
        </row>
        <row r="369">
          <cell r="C369" t="str">
            <v>Fontes Estacionárias</v>
          </cell>
          <cell r="E369" t="str">
            <v>Comercial e Institucional</v>
          </cell>
          <cell r="F369" t="str">
            <v>Eletricidade Comprada Maio</v>
          </cell>
          <cell r="G369">
            <v>31.972222222222221</v>
          </cell>
          <cell r="I369" t="str">
            <v>kg CO₂</v>
          </cell>
          <cell r="J369" t="str">
            <v>GJ</v>
          </cell>
        </row>
        <row r="370">
          <cell r="C370" t="str">
            <v>Fontes Estacionárias</v>
          </cell>
          <cell r="E370" t="str">
            <v>Comercial e Institucional</v>
          </cell>
          <cell r="F370" t="str">
            <v>Eletricidade Comprada Junho</v>
          </cell>
          <cell r="G370">
            <v>29.972222222222218</v>
          </cell>
          <cell r="I370" t="str">
            <v>kg CO₂</v>
          </cell>
          <cell r="J370" t="str">
            <v>GJ</v>
          </cell>
        </row>
        <row r="371">
          <cell r="C371" t="str">
            <v>Fontes Estacionárias</v>
          </cell>
          <cell r="E371" t="str">
            <v>Comercial e Institucional</v>
          </cell>
          <cell r="F371" t="str">
            <v>Eletricidade Comprada Julho</v>
          </cell>
          <cell r="G371">
            <v>23.277777777777775</v>
          </cell>
          <cell r="I371" t="str">
            <v>kg CO₂</v>
          </cell>
          <cell r="J371" t="str">
            <v>GJ</v>
          </cell>
        </row>
        <row r="372">
          <cell r="C372" t="str">
            <v>Fontes Estacionárias</v>
          </cell>
          <cell r="E372" t="str">
            <v>Comercial e Institucional</v>
          </cell>
          <cell r="F372" t="str">
            <v>Eletricidade Comprada Agosto</v>
          </cell>
          <cell r="G372">
            <v>23.138888888888889</v>
          </cell>
          <cell r="I372" t="str">
            <v>kg CO₂</v>
          </cell>
          <cell r="J372" t="str">
            <v>GJ</v>
          </cell>
        </row>
        <row r="373">
          <cell r="C373" t="str">
            <v>Fontes Estacionárias</v>
          </cell>
          <cell r="E373" t="str">
            <v>Comercial e Institucional</v>
          </cell>
          <cell r="F373" t="str">
            <v>Eletricidade Comprada Setembro</v>
          </cell>
          <cell r="G373">
            <v>23.333333333333332</v>
          </cell>
          <cell r="I373" t="str">
            <v>kg CO₂</v>
          </cell>
          <cell r="J373" t="str">
            <v>GJ</v>
          </cell>
        </row>
        <row r="374">
          <cell r="C374" t="str">
            <v>Fontes Estacionárias</v>
          </cell>
          <cell r="E374" t="str">
            <v>Comercial e Institucional</v>
          </cell>
          <cell r="F374" t="str">
            <v>Eletricidade Comprada Outubro</v>
          </cell>
          <cell r="G374">
            <v>23.083333333333332</v>
          </cell>
          <cell r="I374" t="str">
            <v>kg CO₂</v>
          </cell>
          <cell r="J374" t="str">
            <v>GJ</v>
          </cell>
        </row>
        <row r="375">
          <cell r="C375" t="str">
            <v>Fontes Estacionárias</v>
          </cell>
          <cell r="E375" t="str">
            <v>Comercial e Institucional</v>
          </cell>
          <cell r="F375" t="str">
            <v>Eletricidade Comprada Novembro</v>
          </cell>
          <cell r="G375">
            <v>25.833333333333332</v>
          </cell>
          <cell r="I375" t="str">
            <v>kg CO₂</v>
          </cell>
          <cell r="J375" t="str">
            <v>GJ</v>
          </cell>
        </row>
        <row r="376">
          <cell r="C376" t="str">
            <v>Fontes Estacionárias</v>
          </cell>
          <cell r="E376" t="str">
            <v>Comercial e Institucional</v>
          </cell>
          <cell r="F376" t="str">
            <v>Eletricidade Comprada Dezembro</v>
          </cell>
          <cell r="G376">
            <v>23.361111111111111</v>
          </cell>
          <cell r="I376" t="str">
            <v>kg CO₂</v>
          </cell>
          <cell r="J376" t="str">
            <v>GJ</v>
          </cell>
        </row>
        <row r="377">
          <cell r="C377" t="str">
            <v>Fontes Estacionárias</v>
          </cell>
          <cell r="E377" t="str">
            <v>Comercial e Institucional</v>
          </cell>
          <cell r="F377" t="str">
            <v>Eletricidade Comprada</v>
          </cell>
          <cell r="G377">
            <v>26.675925925925927</v>
          </cell>
          <cell r="I377" t="str">
            <v>kg CO₂</v>
          </cell>
          <cell r="J377" t="str">
            <v>GJ</v>
          </cell>
        </row>
        <row r="378">
          <cell r="C378" t="str">
            <v>Fontes Estacionárias</v>
          </cell>
          <cell r="E378" t="str">
            <v>Comercial e Institucional</v>
          </cell>
          <cell r="F378" t="str">
            <v>Eletricidade Comprada</v>
          </cell>
          <cell r="G378">
            <v>0</v>
          </cell>
          <cell r="I378" t="str">
            <v>kg CH₄</v>
          </cell>
          <cell r="J378" t="str">
            <v>GJ</v>
          </cell>
        </row>
        <row r="379">
          <cell r="C379" t="str">
            <v>Fontes Estacionárias</v>
          </cell>
          <cell r="E379" t="str">
            <v>Comercial e Institucional</v>
          </cell>
          <cell r="F379" t="str">
            <v>Eletricidade Comprada</v>
          </cell>
          <cell r="G379">
            <v>0</v>
          </cell>
          <cell r="I379" t="str">
            <v>kg N₂O</v>
          </cell>
          <cell r="J379" t="str">
            <v>GJ</v>
          </cell>
        </row>
        <row r="380">
          <cell r="C380" t="str">
            <v>Fontes Estacionárias</v>
          </cell>
          <cell r="E380" t="str">
            <v>Construção e Manufatura</v>
          </cell>
          <cell r="F380" t="str">
            <v>Eletricidade Comprada Janeiro</v>
          </cell>
          <cell r="G380">
            <v>31.972222222222221</v>
          </cell>
          <cell r="I380" t="str">
            <v>kg CO₂</v>
          </cell>
          <cell r="J380" t="str">
            <v>GJ</v>
          </cell>
        </row>
        <row r="381">
          <cell r="C381" t="str">
            <v>Fontes Estacionárias</v>
          </cell>
          <cell r="E381" t="str">
            <v>Construção e Manufatura</v>
          </cell>
          <cell r="F381" t="str">
            <v>Eletricidade Comprada Fevereiro</v>
          </cell>
          <cell r="G381">
            <v>30.277777777777779</v>
          </cell>
          <cell r="I381" t="str">
            <v>kg CO₂</v>
          </cell>
          <cell r="J381" t="str">
            <v>GJ</v>
          </cell>
        </row>
        <row r="382">
          <cell r="C382" t="str">
            <v>Fontes Estacionárias</v>
          </cell>
          <cell r="E382" t="str">
            <v>Construção e Manufatura</v>
          </cell>
          <cell r="F382" t="str">
            <v>Eletricidade Comprada Março</v>
          </cell>
          <cell r="G382">
            <v>27.25</v>
          </cell>
          <cell r="I382" t="str">
            <v>kg CO₂</v>
          </cell>
          <cell r="J382" t="str">
            <v>GJ</v>
          </cell>
        </row>
        <row r="383">
          <cell r="C383" t="str">
            <v>Fontes Estacionárias</v>
          </cell>
          <cell r="E383" t="str">
            <v>Construção e Manufatura</v>
          </cell>
          <cell r="F383" t="str">
            <v>Eletricidade Comprada Abril</v>
          </cell>
          <cell r="G383">
            <v>26.638888888888889</v>
          </cell>
          <cell r="I383" t="str">
            <v>kg CO₂</v>
          </cell>
          <cell r="J383" t="str">
            <v>GJ</v>
          </cell>
        </row>
        <row r="384">
          <cell r="C384" t="str">
            <v>Fontes Estacionárias</v>
          </cell>
          <cell r="E384" t="str">
            <v>Construção e Manufatura</v>
          </cell>
          <cell r="F384" t="str">
            <v>Eletricidade Comprada Maio</v>
          </cell>
          <cell r="G384">
            <v>31.972222222222221</v>
          </cell>
          <cell r="I384" t="str">
            <v>kg CO₂</v>
          </cell>
          <cell r="J384" t="str">
            <v>GJ</v>
          </cell>
        </row>
        <row r="385">
          <cell r="C385" t="str">
            <v>Fontes Estacionárias</v>
          </cell>
          <cell r="E385" t="str">
            <v>Construção e Manufatura</v>
          </cell>
          <cell r="F385" t="str">
            <v>Eletricidade Comprada Junho</v>
          </cell>
          <cell r="G385">
            <v>29.972222222222218</v>
          </cell>
          <cell r="I385" t="str">
            <v>kg CO₂</v>
          </cell>
          <cell r="J385" t="str">
            <v>GJ</v>
          </cell>
        </row>
        <row r="386">
          <cell r="C386" t="str">
            <v>Fontes Estacionárias</v>
          </cell>
          <cell r="E386" t="str">
            <v>Construção e Manufatura</v>
          </cell>
          <cell r="F386" t="str">
            <v>Eletricidade Comprada Julho</v>
          </cell>
          <cell r="G386">
            <v>23.277777777777775</v>
          </cell>
          <cell r="I386" t="str">
            <v>kg CO₂</v>
          </cell>
          <cell r="J386" t="str">
            <v>GJ</v>
          </cell>
        </row>
        <row r="387">
          <cell r="C387" t="str">
            <v>Fontes Estacionárias</v>
          </cell>
          <cell r="E387" t="str">
            <v>Construção e Manufatura</v>
          </cell>
          <cell r="F387" t="str">
            <v>Eletricidade Comprada Agosto</v>
          </cell>
          <cell r="G387">
            <v>23.138888888888889</v>
          </cell>
          <cell r="I387" t="str">
            <v>kg CO₂</v>
          </cell>
          <cell r="J387" t="str">
            <v>GJ</v>
          </cell>
        </row>
        <row r="388">
          <cell r="C388" t="str">
            <v>Fontes Estacionárias</v>
          </cell>
          <cell r="E388" t="str">
            <v>Construção e Manufatura</v>
          </cell>
          <cell r="F388" t="str">
            <v>Eletricidade Comprada Setembro</v>
          </cell>
          <cell r="G388">
            <v>23.333333333333332</v>
          </cell>
          <cell r="I388" t="str">
            <v>kg CO₂</v>
          </cell>
          <cell r="J388" t="str">
            <v>GJ</v>
          </cell>
        </row>
        <row r="389">
          <cell r="C389" t="str">
            <v>Fontes Estacionárias</v>
          </cell>
          <cell r="E389" t="str">
            <v>Construção e Manufatura</v>
          </cell>
          <cell r="F389" t="str">
            <v>Eletricidade Comprada Outubro</v>
          </cell>
          <cell r="G389">
            <v>23.083333333333332</v>
          </cell>
          <cell r="I389" t="str">
            <v>kg CO₂</v>
          </cell>
          <cell r="J389" t="str">
            <v>GJ</v>
          </cell>
        </row>
        <row r="390">
          <cell r="C390" t="str">
            <v>Fontes Estacionárias</v>
          </cell>
          <cell r="E390" t="str">
            <v>Construção e Manufatura</v>
          </cell>
          <cell r="F390" t="str">
            <v>Eletricidade Comprada Novembro</v>
          </cell>
          <cell r="G390">
            <v>25.833333333333332</v>
          </cell>
          <cell r="I390" t="str">
            <v>kg CO₂</v>
          </cell>
          <cell r="J390" t="str">
            <v>GJ</v>
          </cell>
        </row>
        <row r="391">
          <cell r="C391" t="str">
            <v>Fontes Estacionárias</v>
          </cell>
          <cell r="E391" t="str">
            <v>Construção e Manufatura</v>
          </cell>
          <cell r="F391" t="str">
            <v>Eletricidade Comprada Dezembro</v>
          </cell>
          <cell r="G391">
            <v>23.361111111111111</v>
          </cell>
          <cell r="I391" t="str">
            <v>kg CO₂</v>
          </cell>
          <cell r="J391" t="str">
            <v>GJ</v>
          </cell>
        </row>
        <row r="392">
          <cell r="C392" t="str">
            <v>Fontes Estacionárias</v>
          </cell>
          <cell r="E392" t="str">
            <v>Construção e Manufatura</v>
          </cell>
          <cell r="F392" t="str">
            <v>Eletricidade Comprada</v>
          </cell>
          <cell r="G392">
            <v>26.675925925925927</v>
          </cell>
          <cell r="I392" t="str">
            <v>kg CO₂</v>
          </cell>
          <cell r="J392" t="str">
            <v>GJ</v>
          </cell>
        </row>
        <row r="393">
          <cell r="C393" t="str">
            <v>Fontes Estacionárias</v>
          </cell>
          <cell r="E393" t="str">
            <v>Construção e Manufatura</v>
          </cell>
          <cell r="F393" t="str">
            <v>Eletricidade Comprada</v>
          </cell>
          <cell r="G393">
            <v>0</v>
          </cell>
          <cell r="I393" t="str">
            <v>kg CH₄</v>
          </cell>
          <cell r="J393" t="str">
            <v>GJ</v>
          </cell>
        </row>
        <row r="394">
          <cell r="C394" t="str">
            <v>Fontes Estacionárias</v>
          </cell>
          <cell r="E394" t="str">
            <v>Construção e Manufatura</v>
          </cell>
          <cell r="F394" t="str">
            <v>Eletricidade Comprada</v>
          </cell>
          <cell r="G394">
            <v>0</v>
          </cell>
          <cell r="I394" t="str">
            <v>kg N₂O</v>
          </cell>
          <cell r="J394" t="str">
            <v>GJ</v>
          </cell>
        </row>
        <row r="395">
          <cell r="C395" t="str">
            <v>Fontes Estacionárias</v>
          </cell>
          <cell r="E395" t="str">
            <v>Geração de Energia</v>
          </cell>
          <cell r="F395" t="str">
            <v>Eletricidade Comprada Janeiro</v>
          </cell>
          <cell r="G395">
            <v>31.972222222222221</v>
          </cell>
          <cell r="I395" t="str">
            <v>kg CO₂</v>
          </cell>
          <cell r="J395" t="str">
            <v>GJ</v>
          </cell>
        </row>
        <row r="396">
          <cell r="C396" t="str">
            <v>Fontes Estacionárias</v>
          </cell>
          <cell r="E396" t="str">
            <v>Geração de Energia</v>
          </cell>
          <cell r="F396" t="str">
            <v>Eletricidade Comprada Fevereiro</v>
          </cell>
          <cell r="G396">
            <v>30.277777777777779</v>
          </cell>
          <cell r="I396" t="str">
            <v>kg CO₂</v>
          </cell>
          <cell r="J396" t="str">
            <v>GJ</v>
          </cell>
        </row>
        <row r="397">
          <cell r="C397" t="str">
            <v>Fontes Estacionárias</v>
          </cell>
          <cell r="E397" t="str">
            <v>Geração de Energia</v>
          </cell>
          <cell r="F397" t="str">
            <v>Eletricidade Comprada Março</v>
          </cell>
          <cell r="G397">
            <v>27.25</v>
          </cell>
          <cell r="I397" t="str">
            <v>kg CO₂</v>
          </cell>
          <cell r="J397" t="str">
            <v>GJ</v>
          </cell>
        </row>
        <row r="398">
          <cell r="C398" t="str">
            <v>Fontes Estacionárias</v>
          </cell>
          <cell r="E398" t="str">
            <v>Geração de Energia</v>
          </cell>
          <cell r="F398" t="str">
            <v>Eletricidade Comprada Abril</v>
          </cell>
          <cell r="G398">
            <v>26.638888888888889</v>
          </cell>
          <cell r="I398" t="str">
            <v>kg CO₂</v>
          </cell>
          <cell r="J398" t="str">
            <v>GJ</v>
          </cell>
        </row>
        <row r="399">
          <cell r="C399" t="str">
            <v>Fontes Estacionárias</v>
          </cell>
          <cell r="E399" t="str">
            <v>Geração de Energia</v>
          </cell>
          <cell r="F399" t="str">
            <v>Eletricidade Comprada Maio</v>
          </cell>
          <cell r="G399">
            <v>31.972222222222221</v>
          </cell>
          <cell r="I399" t="str">
            <v>kg CO₂</v>
          </cell>
          <cell r="J399" t="str">
            <v>GJ</v>
          </cell>
        </row>
        <row r="400">
          <cell r="C400" t="str">
            <v>Fontes Estacionárias</v>
          </cell>
          <cell r="E400" t="str">
            <v>Geração de Energia</v>
          </cell>
          <cell r="F400" t="str">
            <v>Eletricidade Comprada Junho</v>
          </cell>
          <cell r="G400">
            <v>29.972222222222218</v>
          </cell>
          <cell r="I400" t="str">
            <v>kg CO₂</v>
          </cell>
          <cell r="J400" t="str">
            <v>GJ</v>
          </cell>
        </row>
        <row r="401">
          <cell r="C401" t="str">
            <v>Fontes Estacionárias</v>
          </cell>
          <cell r="E401" t="str">
            <v>Geração de Energia</v>
          </cell>
          <cell r="F401" t="str">
            <v>Eletricidade Comprada Julho</v>
          </cell>
          <cell r="G401">
            <v>23.277777777777775</v>
          </cell>
          <cell r="I401" t="str">
            <v>kg CO₂</v>
          </cell>
          <cell r="J401" t="str">
            <v>GJ</v>
          </cell>
        </row>
        <row r="402">
          <cell r="C402" t="str">
            <v>Fontes Estacionárias</v>
          </cell>
          <cell r="E402" t="str">
            <v>Geração de Energia</v>
          </cell>
          <cell r="F402" t="str">
            <v>Eletricidade Comprada Agosto</v>
          </cell>
          <cell r="G402">
            <v>23.138888888888889</v>
          </cell>
          <cell r="I402" t="str">
            <v>kg CO₂</v>
          </cell>
          <cell r="J402" t="str">
            <v>GJ</v>
          </cell>
        </row>
        <row r="403">
          <cell r="C403" t="str">
            <v>Fontes Estacionárias</v>
          </cell>
          <cell r="E403" t="str">
            <v>Geração de Energia</v>
          </cell>
          <cell r="F403" t="str">
            <v>Eletricidade Comprada Setembro</v>
          </cell>
          <cell r="G403">
            <v>23.333333333333332</v>
          </cell>
          <cell r="I403" t="str">
            <v>kg CO₂</v>
          </cell>
          <cell r="J403" t="str">
            <v>GJ</v>
          </cell>
        </row>
        <row r="404">
          <cell r="C404" t="str">
            <v>Fontes Estacionárias</v>
          </cell>
          <cell r="E404" t="str">
            <v>Geração de Energia</v>
          </cell>
          <cell r="F404" t="str">
            <v>Eletricidade Comprada Outubro</v>
          </cell>
          <cell r="G404">
            <v>23.083333333333332</v>
          </cell>
          <cell r="I404" t="str">
            <v>kg CO₂</v>
          </cell>
          <cell r="J404" t="str">
            <v>GJ</v>
          </cell>
        </row>
        <row r="405">
          <cell r="C405" t="str">
            <v>Fontes Estacionárias</v>
          </cell>
          <cell r="E405" t="str">
            <v>Geração de Energia</v>
          </cell>
          <cell r="F405" t="str">
            <v>Eletricidade Comprada Novembro</v>
          </cell>
          <cell r="G405">
            <v>25.833333333333332</v>
          </cell>
          <cell r="I405" t="str">
            <v>kg CO₂</v>
          </cell>
          <cell r="J405" t="str">
            <v>GJ</v>
          </cell>
        </row>
        <row r="406">
          <cell r="C406" t="str">
            <v>Fontes Estacionárias</v>
          </cell>
          <cell r="E406" t="str">
            <v>Geração de Energia</v>
          </cell>
          <cell r="F406" t="str">
            <v>Eletricidade Comprada Dezembro</v>
          </cell>
          <cell r="G406">
            <v>23.361111111111111</v>
          </cell>
          <cell r="I406" t="str">
            <v>kg CO₂</v>
          </cell>
          <cell r="J406" t="str">
            <v>GJ</v>
          </cell>
        </row>
        <row r="407">
          <cell r="C407" t="str">
            <v>Fontes Estacionárias</v>
          </cell>
          <cell r="E407" t="str">
            <v>Geração de Energia</v>
          </cell>
          <cell r="F407" t="str">
            <v>Eletricidade Comprada</v>
          </cell>
          <cell r="G407">
            <v>26.675925925925927</v>
          </cell>
          <cell r="I407" t="str">
            <v>kg CO₂</v>
          </cell>
          <cell r="J407" t="str">
            <v>GJ</v>
          </cell>
        </row>
        <row r="408">
          <cell r="C408" t="str">
            <v>Fontes Estacionárias</v>
          </cell>
          <cell r="E408" t="str">
            <v>Geração de Energia</v>
          </cell>
          <cell r="F408" t="str">
            <v>Eletricidade Comprada</v>
          </cell>
          <cell r="G408">
            <v>0</v>
          </cell>
          <cell r="I408" t="str">
            <v>kg CH₄</v>
          </cell>
          <cell r="J408" t="str">
            <v>GJ</v>
          </cell>
        </row>
        <row r="409">
          <cell r="C409" t="str">
            <v>Fontes Estacionárias</v>
          </cell>
          <cell r="E409" t="str">
            <v>Geração de Energia</v>
          </cell>
          <cell r="F409" t="str">
            <v>Eletricidade Comprada</v>
          </cell>
          <cell r="G409">
            <v>0</v>
          </cell>
          <cell r="I409" t="str">
            <v>kg N₂O</v>
          </cell>
          <cell r="J409" t="str">
            <v>GJ</v>
          </cell>
        </row>
        <row r="410">
          <cell r="C410" t="str">
            <v>Fontes Estacionárias</v>
          </cell>
          <cell r="E410" t="str">
            <v>N/A</v>
          </cell>
          <cell r="F410" t="str">
            <v>Eletricidade Comprada Janeiro</v>
          </cell>
          <cell r="G410">
            <v>0.11509999999999999</v>
          </cell>
          <cell r="I410" t="str">
            <v>t CO₂</v>
          </cell>
          <cell r="J410" t="str">
            <v>MWh</v>
          </cell>
        </row>
        <row r="411">
          <cell r="C411" t="str">
            <v>Fontes Estacionárias</v>
          </cell>
          <cell r="E411" t="str">
            <v>N/A</v>
          </cell>
          <cell r="F411" t="str">
            <v>Eletricidade Comprada Fevereiro</v>
          </cell>
          <cell r="G411">
            <v>0.109</v>
          </cell>
          <cell r="I411" t="str">
            <v>t CO₂</v>
          </cell>
          <cell r="J411" t="str">
            <v>MWh</v>
          </cell>
        </row>
        <row r="412">
          <cell r="C412" t="str">
            <v>Fontes Estacionárias</v>
          </cell>
          <cell r="E412" t="str">
            <v>N/A</v>
          </cell>
          <cell r="F412" t="str">
            <v>Eletricidade Comprada Março</v>
          </cell>
          <cell r="G412">
            <v>9.8100000000000007E-2</v>
          </cell>
          <cell r="I412" t="str">
            <v>t CO₂</v>
          </cell>
          <cell r="J412" t="str">
            <v>MWh</v>
          </cell>
        </row>
        <row r="413">
          <cell r="C413" t="str">
            <v>Fontes Estacionárias</v>
          </cell>
          <cell r="E413" t="str">
            <v>N/A</v>
          </cell>
          <cell r="F413" t="str">
            <v>Eletricidade Comprada Abril</v>
          </cell>
          <cell r="G413">
            <v>9.5899999999999999E-2</v>
          </cell>
          <cell r="I413" t="str">
            <v>t CO₂</v>
          </cell>
          <cell r="J413" t="str">
            <v>MWh</v>
          </cell>
        </row>
        <row r="414">
          <cell r="C414" t="str">
            <v>Fontes Estacionárias</v>
          </cell>
          <cell r="E414" t="str">
            <v>N/A</v>
          </cell>
          <cell r="F414" t="str">
            <v>Eletricidade Comprada Maio</v>
          </cell>
          <cell r="G414">
            <v>0.11509999999999999</v>
          </cell>
          <cell r="I414" t="str">
            <v>t CO₂</v>
          </cell>
          <cell r="J414" t="str">
            <v>MWh</v>
          </cell>
        </row>
        <row r="415">
          <cell r="C415" t="str">
            <v>Fontes Estacionárias</v>
          </cell>
          <cell r="E415" t="str">
            <v>N/A</v>
          </cell>
          <cell r="F415" t="str">
            <v>Eletricidade Comprada Junho</v>
          </cell>
          <cell r="G415">
            <v>0.1079</v>
          </cell>
          <cell r="I415" t="str">
            <v>t CO₂</v>
          </cell>
          <cell r="J415" t="str">
            <v>MWh</v>
          </cell>
        </row>
        <row r="416">
          <cell r="C416" t="str">
            <v>Fontes Estacionárias</v>
          </cell>
          <cell r="E416" t="str">
            <v>N/A</v>
          </cell>
          <cell r="F416" t="str">
            <v>Eletricidade Comprada Julho</v>
          </cell>
          <cell r="G416">
            <v>8.3799999999999999E-2</v>
          </cell>
          <cell r="I416" t="str">
            <v>t CO₂</v>
          </cell>
          <cell r="J416" t="str">
            <v>MWh</v>
          </cell>
        </row>
        <row r="417">
          <cell r="C417" t="str">
            <v>Fontes Estacionárias</v>
          </cell>
          <cell r="E417" t="str">
            <v>N/A</v>
          </cell>
          <cell r="F417" t="str">
            <v>Eletricidade Comprada Agosto</v>
          </cell>
          <cell r="G417">
            <v>8.3299999999999999E-2</v>
          </cell>
          <cell r="I417" t="str">
            <v>t CO₂</v>
          </cell>
          <cell r="J417" t="str">
            <v>MWh</v>
          </cell>
        </row>
        <row r="418">
          <cell r="C418" t="str">
            <v>Fontes Estacionárias</v>
          </cell>
          <cell r="E418" t="str">
            <v>N/A</v>
          </cell>
          <cell r="F418" t="str">
            <v>Eletricidade Comprada Setembro</v>
          </cell>
          <cell r="G418">
            <v>8.4000000000000005E-2</v>
          </cell>
          <cell r="I418" t="str">
            <v>t CO₂</v>
          </cell>
          <cell r="J418" t="str">
            <v>MWh</v>
          </cell>
        </row>
        <row r="419">
          <cell r="C419" t="str">
            <v>Fontes Estacionárias</v>
          </cell>
          <cell r="E419" t="str">
            <v>N/A</v>
          </cell>
          <cell r="F419" t="str">
            <v>Eletricidade Comprada Outubro</v>
          </cell>
          <cell r="G419">
            <v>8.3099999999999993E-2</v>
          </cell>
          <cell r="I419" t="str">
            <v>t CO₂</v>
          </cell>
          <cell r="J419" t="str">
            <v>MWh</v>
          </cell>
        </row>
        <row r="420">
          <cell r="C420" t="str">
            <v>Fontes Estacionárias</v>
          </cell>
          <cell r="E420" t="str">
            <v>N/A</v>
          </cell>
          <cell r="F420" t="str">
            <v>Eletricidade Comprada Novembro</v>
          </cell>
          <cell r="G420">
            <v>9.2999999999999999E-2</v>
          </cell>
          <cell r="I420" t="str">
            <v>t CO₂</v>
          </cell>
          <cell r="J420" t="str">
            <v>MWh</v>
          </cell>
        </row>
        <row r="421">
          <cell r="C421" t="str">
            <v>Fontes Estacionárias</v>
          </cell>
          <cell r="E421" t="str">
            <v>N/A</v>
          </cell>
          <cell r="F421" t="str">
            <v>Eletricidade Comprada Dezembro</v>
          </cell>
          <cell r="G421">
            <v>8.4099999999999994E-2</v>
          </cell>
          <cell r="I421" t="str">
            <v>t CO₂</v>
          </cell>
          <cell r="J421" t="str">
            <v>MWh</v>
          </cell>
        </row>
        <row r="422">
          <cell r="C422" t="str">
            <v>Fontes Estacionárias</v>
          </cell>
          <cell r="E422" t="str">
            <v>N/A</v>
          </cell>
          <cell r="F422" t="str">
            <v>Eletricidade Comprada</v>
          </cell>
          <cell r="G422">
            <v>9.6033333333333346E-2</v>
          </cell>
          <cell r="I422" t="str">
            <v>t CO₂</v>
          </cell>
          <cell r="J422" t="str">
            <v>MWh</v>
          </cell>
        </row>
        <row r="423">
          <cell r="C423" t="str">
            <v>Fontes Estacionárias</v>
          </cell>
          <cell r="E423" t="str">
            <v>N/A</v>
          </cell>
          <cell r="F423" t="str">
            <v>Eletricidade Comprada</v>
          </cell>
          <cell r="G423">
            <v>0</v>
          </cell>
          <cell r="I423" t="str">
            <v>kg CH₄</v>
          </cell>
          <cell r="J423" t="str">
            <v>GJ</v>
          </cell>
        </row>
        <row r="424">
          <cell r="C424" t="str">
            <v>Fontes Estacionárias</v>
          </cell>
          <cell r="E424" t="str">
            <v>N/A</v>
          </cell>
          <cell r="F424" t="str">
            <v>Eletricidade Comprada</v>
          </cell>
          <cell r="G424">
            <v>0</v>
          </cell>
          <cell r="I424" t="str">
            <v>kg N₂O</v>
          </cell>
          <cell r="J424" t="str">
            <v>GJ</v>
          </cell>
        </row>
        <row r="425">
          <cell r="C425" t="str">
            <v>Emissões de Processo</v>
          </cell>
          <cell r="E425" t="str">
            <v>N/A</v>
          </cell>
          <cell r="F425" t="str">
            <v>CO₂</v>
          </cell>
          <cell r="G425">
            <v>1</v>
          </cell>
          <cell r="I425" t="str">
            <v>kg CO₂</v>
          </cell>
          <cell r="J425" t="str">
            <v>kg</v>
          </cell>
        </row>
        <row r="426">
          <cell r="C426" t="str">
            <v>Emissões de Processo</v>
          </cell>
          <cell r="E426" t="str">
            <v>N/A</v>
          </cell>
          <cell r="F426" t="str">
            <v>CO₂</v>
          </cell>
          <cell r="G426">
            <v>0</v>
          </cell>
          <cell r="I426" t="str">
            <v>kg CH₄</v>
          </cell>
          <cell r="J426" t="str">
            <v>kg</v>
          </cell>
        </row>
        <row r="427">
          <cell r="C427" t="str">
            <v>Emissões de Processo</v>
          </cell>
          <cell r="E427" t="str">
            <v>N/A</v>
          </cell>
          <cell r="F427" t="str">
            <v>CO₂</v>
          </cell>
          <cell r="G427">
            <v>0</v>
          </cell>
          <cell r="I427" t="str">
            <v>kg N₂O</v>
          </cell>
          <cell r="J427" t="str">
            <v>kg</v>
          </cell>
        </row>
        <row r="428">
          <cell r="C428" t="str">
            <v>Emissões de Processo</v>
          </cell>
          <cell r="E428" t="str">
            <v>N/A</v>
          </cell>
          <cell r="F428" t="str">
            <v>CO₂</v>
          </cell>
          <cell r="G428">
            <v>1000</v>
          </cell>
          <cell r="I428" t="str">
            <v>kg CO₂</v>
          </cell>
          <cell r="J428" t="str">
            <v>t</v>
          </cell>
        </row>
        <row r="429">
          <cell r="C429" t="str">
            <v>Emissões de Processo</v>
          </cell>
          <cell r="E429" t="str">
            <v>N/A</v>
          </cell>
          <cell r="F429" t="str">
            <v>CO₂</v>
          </cell>
          <cell r="G429">
            <v>0</v>
          </cell>
          <cell r="I429" t="str">
            <v>kg CH₄</v>
          </cell>
          <cell r="J429" t="str">
            <v>t</v>
          </cell>
        </row>
        <row r="430">
          <cell r="C430" t="str">
            <v>Emissões de Processo</v>
          </cell>
          <cell r="E430" t="str">
            <v>N/A</v>
          </cell>
          <cell r="F430" t="str">
            <v>CO₂</v>
          </cell>
          <cell r="G430">
            <v>0</v>
          </cell>
          <cell r="I430" t="str">
            <v>kg N₂O</v>
          </cell>
          <cell r="J430" t="str">
            <v>t</v>
          </cell>
        </row>
        <row r="431">
          <cell r="C431" t="str">
            <v>Emissões de Processo</v>
          </cell>
          <cell r="E431" t="str">
            <v>Construção e Manufatura</v>
          </cell>
          <cell r="F431" t="str">
            <v>Gás Natural</v>
          </cell>
          <cell r="G431">
            <v>56.1</v>
          </cell>
          <cell r="I431" t="str">
            <v>kg CO₂</v>
          </cell>
          <cell r="J431" t="str">
            <v>GJ</v>
          </cell>
        </row>
        <row r="432">
          <cell r="C432" t="str">
            <v>Emissões de Processo</v>
          </cell>
          <cell r="E432" t="str">
            <v>Construção e Manufatura</v>
          </cell>
          <cell r="F432" t="str">
            <v>Gás Natural</v>
          </cell>
          <cell r="G432">
            <v>5.0000000000000001E-3</v>
          </cell>
          <cell r="I432" t="str">
            <v>kg CH₄</v>
          </cell>
          <cell r="J432" t="str">
            <v>GJ</v>
          </cell>
        </row>
        <row r="433">
          <cell r="C433" t="str">
            <v>Emissões de Processo</v>
          </cell>
          <cell r="E433" t="str">
            <v>Construção e Manufatura</v>
          </cell>
          <cell r="F433" t="str">
            <v>Gás Natural</v>
          </cell>
          <cell r="G433">
            <v>1E-4</v>
          </cell>
          <cell r="I433" t="str">
            <v>kg N₂O</v>
          </cell>
          <cell r="J433" t="str">
            <v>GJ</v>
          </cell>
        </row>
        <row r="434">
          <cell r="C434" t="str">
            <v>Fontes Móveis</v>
          </cell>
          <cell r="E434" t="str">
            <v>On-Road</v>
          </cell>
          <cell r="F434" t="str">
            <v>Gasolina C</v>
          </cell>
          <cell r="G434">
            <v>57.417940409868059</v>
          </cell>
          <cell r="I434" t="str">
            <v>kg CO₂</v>
          </cell>
          <cell r="J434" t="str">
            <v>GJ</v>
          </cell>
        </row>
        <row r="435">
          <cell r="C435" t="str">
            <v>Fontes Móveis</v>
          </cell>
          <cell r="E435" t="str">
            <v>On-Road</v>
          </cell>
          <cell r="F435" t="str">
            <v>Gasolina C</v>
          </cell>
          <cell r="G435">
            <v>2.0713542716402619E-2</v>
          </cell>
          <cell r="I435" t="str">
            <v>kg CH₄</v>
          </cell>
          <cell r="J435" t="str">
            <v>GJ</v>
          </cell>
        </row>
        <row r="436">
          <cell r="C436" t="str">
            <v>Fontes Móveis</v>
          </cell>
          <cell r="E436" t="str">
            <v>On-Road</v>
          </cell>
          <cell r="F436" t="str">
            <v>Gasolina C</v>
          </cell>
          <cell r="G436">
            <v>6.6283336692488396E-3</v>
          </cell>
          <cell r="I436" t="str">
            <v>kg N₂O</v>
          </cell>
          <cell r="J436" t="str">
            <v>GJ</v>
          </cell>
        </row>
        <row r="437">
          <cell r="C437" t="str">
            <v>Fontes Móveis</v>
          </cell>
          <cell r="E437" t="str">
            <v>On-Road</v>
          </cell>
          <cell r="F437" t="str">
            <v>Gasolina A</v>
          </cell>
          <cell r="G437">
            <v>69.3</v>
          </cell>
          <cell r="I437" t="str">
            <v>kg CO₂</v>
          </cell>
          <cell r="J437" t="str">
            <v>GJ</v>
          </cell>
        </row>
        <row r="438">
          <cell r="C438" t="str">
            <v>Fontes Móveis</v>
          </cell>
          <cell r="E438" t="str">
            <v>On-Road</v>
          </cell>
          <cell r="F438" t="str">
            <v>Gasolina A</v>
          </cell>
          <cell r="G438">
            <v>2.5000000000000001E-2</v>
          </cell>
          <cell r="I438" t="str">
            <v>kg CH₄</v>
          </cell>
          <cell r="J438" t="str">
            <v>GJ</v>
          </cell>
        </row>
        <row r="439">
          <cell r="C439" t="str">
            <v>Fontes Móveis</v>
          </cell>
          <cell r="E439" t="str">
            <v>On-Road</v>
          </cell>
          <cell r="F439" t="str">
            <v>Gasolina A</v>
          </cell>
          <cell r="G439">
            <v>8.0000000000000002E-3</v>
          </cell>
          <cell r="I439" t="str">
            <v>kg N₂O</v>
          </cell>
          <cell r="J439" t="str">
            <v>GJ</v>
          </cell>
        </row>
        <row r="440">
          <cell r="C440" t="str">
            <v>Fontes Móveis</v>
          </cell>
          <cell r="E440" t="str">
            <v>On-Road</v>
          </cell>
          <cell r="F440" t="str">
            <v>Etanol Anidro</v>
          </cell>
          <cell r="G440">
            <v>79.599999999999994</v>
          </cell>
          <cell r="I440" t="str">
            <v>kg CO₂</v>
          </cell>
          <cell r="J440" t="str">
            <v>GJ</v>
          </cell>
        </row>
        <row r="441">
          <cell r="C441" t="str">
            <v>Fontes Móveis</v>
          </cell>
          <cell r="E441" t="str">
            <v>On-Road</v>
          </cell>
          <cell r="F441" t="str">
            <v>Etanol Anidro</v>
          </cell>
          <cell r="G441">
            <v>1.7999999999999999E-2</v>
          </cell>
          <cell r="I441" t="str">
            <v>kg CH₄</v>
          </cell>
          <cell r="J441" t="str">
            <v>GJ</v>
          </cell>
        </row>
        <row r="442">
          <cell r="C442" t="str">
            <v>Fontes Móveis</v>
          </cell>
          <cell r="E442" t="str">
            <v>On-Road</v>
          </cell>
          <cell r="F442" t="str">
            <v>Etanol Anidro</v>
          </cell>
          <cell r="G442">
            <v>5.9999999999999995E-4</v>
          </cell>
          <cell r="I442" t="str">
            <v>kg N₂O</v>
          </cell>
          <cell r="J442" t="str">
            <v>GJ</v>
          </cell>
        </row>
        <row r="443">
          <cell r="C443" t="str">
            <v>Fontes Móveis</v>
          </cell>
          <cell r="E443" t="str">
            <v>On-Road</v>
          </cell>
          <cell r="F443" t="str">
            <v>Etanol Hidratado</v>
          </cell>
          <cell r="G443">
            <v>79.599999999999994</v>
          </cell>
          <cell r="I443" t="str">
            <v>kg CO₂</v>
          </cell>
          <cell r="J443" t="str">
            <v>GJ</v>
          </cell>
        </row>
        <row r="444">
          <cell r="C444" t="str">
            <v>Fontes Móveis</v>
          </cell>
          <cell r="E444" t="str">
            <v>On-Road</v>
          </cell>
          <cell r="F444" t="str">
            <v>Etanol Hidratado</v>
          </cell>
          <cell r="G444">
            <v>1.7999999999999999E-2</v>
          </cell>
          <cell r="I444" t="str">
            <v>kg CH₄</v>
          </cell>
          <cell r="J444" t="str">
            <v>GJ</v>
          </cell>
        </row>
        <row r="445">
          <cell r="C445" t="str">
            <v>Fontes Móveis</v>
          </cell>
          <cell r="E445" t="str">
            <v>On-Road</v>
          </cell>
          <cell r="F445" t="str">
            <v>Etanol Hidratado</v>
          </cell>
          <cell r="G445">
            <v>5.9999999999999995E-4</v>
          </cell>
          <cell r="I445" t="str">
            <v>kg N₂O</v>
          </cell>
          <cell r="J445" t="str">
            <v>GJ</v>
          </cell>
        </row>
        <row r="446">
          <cell r="C446" t="str">
            <v>Fontes Móveis</v>
          </cell>
          <cell r="E446" t="str">
            <v>On-Road</v>
          </cell>
          <cell r="F446" t="str">
            <v>Óleo Diesel</v>
          </cell>
          <cell r="G446">
            <v>74.099999999999994</v>
          </cell>
          <cell r="I446" t="str">
            <v>kg CO₂</v>
          </cell>
          <cell r="J446" t="str">
            <v>GJ</v>
          </cell>
        </row>
        <row r="447">
          <cell r="C447" t="str">
            <v>Fontes Móveis</v>
          </cell>
          <cell r="E447" t="str">
            <v>On-Road</v>
          </cell>
          <cell r="F447" t="str">
            <v>Óleo Diesel</v>
          </cell>
          <cell r="G447">
            <v>3.8999999999999998E-3</v>
          </cell>
          <cell r="I447" t="str">
            <v>kg CH₄</v>
          </cell>
          <cell r="J447" t="str">
            <v>GJ</v>
          </cell>
        </row>
        <row r="448">
          <cell r="C448" t="str">
            <v>Fontes Móveis</v>
          </cell>
          <cell r="E448" t="str">
            <v>On-Road</v>
          </cell>
          <cell r="F448" t="str">
            <v>Óleo Diesel</v>
          </cell>
          <cell r="G448">
            <v>3.8999999999999998E-3</v>
          </cell>
          <cell r="I448" t="str">
            <v>kg N₂O</v>
          </cell>
          <cell r="J448" t="str">
            <v>GJ</v>
          </cell>
        </row>
        <row r="449">
          <cell r="C449" t="str">
            <v>Fontes Móveis</v>
          </cell>
          <cell r="E449" t="str">
            <v>On-Road</v>
          </cell>
          <cell r="F449" t="str">
            <v>Diesel B5</v>
          </cell>
          <cell r="G449">
            <v>70.703196053728391</v>
          </cell>
          <cell r="I449" t="str">
            <v>kg CO₂</v>
          </cell>
          <cell r="J449" t="str">
            <v>GJ</v>
          </cell>
        </row>
        <row r="450">
          <cell r="C450" t="str">
            <v>Fontes Móveis</v>
          </cell>
          <cell r="E450" t="str">
            <v>On-Road</v>
          </cell>
          <cell r="F450" t="str">
            <v>Diesel B5</v>
          </cell>
          <cell r="G450">
            <v>4.1796289348482703E-3</v>
          </cell>
          <cell r="I450" t="str">
            <v>kg CH₄</v>
          </cell>
          <cell r="J450" t="str">
            <v>GJ</v>
          </cell>
        </row>
        <row r="451">
          <cell r="C451" t="str">
            <v>Fontes Móveis</v>
          </cell>
          <cell r="E451" t="str">
            <v>On-Road</v>
          </cell>
          <cell r="F451" t="str">
            <v>Diesel B5</v>
          </cell>
          <cell r="G451">
            <v>3.7487253303279851E-3</v>
          </cell>
          <cell r="I451" t="str">
            <v>kg N₂O</v>
          </cell>
          <cell r="J451" t="str">
            <v>GJ</v>
          </cell>
        </row>
        <row r="452">
          <cell r="C452" t="str">
            <v>Fontes Móveis</v>
          </cell>
          <cell r="E452" t="str">
            <v>On-Road</v>
          </cell>
          <cell r="F452" t="str">
            <v>Biodiesel</v>
          </cell>
          <cell r="G452">
            <v>70.8</v>
          </cell>
          <cell r="I452" t="str">
            <v>kg CO₂</v>
          </cell>
          <cell r="J452" t="str">
            <v>GJ</v>
          </cell>
        </row>
        <row r="453">
          <cell r="C453" t="str">
            <v>Fontes Móveis</v>
          </cell>
          <cell r="E453" t="str">
            <v>On-Road</v>
          </cell>
          <cell r="F453" t="str">
            <v>Biodiesel</v>
          </cell>
          <cell r="G453">
            <v>0.01</v>
          </cell>
          <cell r="I453" t="str">
            <v>kg CH₄</v>
          </cell>
          <cell r="J453" t="str">
            <v>GJ</v>
          </cell>
        </row>
        <row r="454">
          <cell r="C454" t="str">
            <v>Fontes Móveis</v>
          </cell>
          <cell r="E454" t="str">
            <v>On-Road</v>
          </cell>
          <cell r="F454" t="str">
            <v>Biodiesel</v>
          </cell>
          <cell r="G454">
            <v>5.9999999999999995E-4</v>
          </cell>
          <cell r="I454" t="str">
            <v>kg N₂O</v>
          </cell>
          <cell r="J454" t="str">
            <v>GJ</v>
          </cell>
        </row>
        <row r="455">
          <cell r="C455" t="str">
            <v>Fontes Móveis</v>
          </cell>
          <cell r="E455" t="str">
            <v>On-Road</v>
          </cell>
          <cell r="F455" t="str">
            <v>GLP</v>
          </cell>
          <cell r="G455">
            <v>63.1</v>
          </cell>
          <cell r="I455" t="str">
            <v>kg CO₂</v>
          </cell>
          <cell r="J455" t="str">
            <v>GJ</v>
          </cell>
        </row>
        <row r="456">
          <cell r="C456" t="str">
            <v>Fontes Móveis</v>
          </cell>
          <cell r="E456" t="str">
            <v>On-Road</v>
          </cell>
          <cell r="F456" t="str">
            <v>GLP</v>
          </cell>
          <cell r="G456">
            <v>6.2E-2</v>
          </cell>
          <cell r="I456" t="str">
            <v>kg CH₄</v>
          </cell>
          <cell r="J456" t="str">
            <v>GJ</v>
          </cell>
        </row>
        <row r="457">
          <cell r="C457" t="str">
            <v>Fontes Móveis</v>
          </cell>
          <cell r="E457" t="str">
            <v>On-Road</v>
          </cell>
          <cell r="F457" t="str">
            <v>GLP</v>
          </cell>
          <cell r="G457">
            <v>2.0000000000000001E-4</v>
          </cell>
          <cell r="I457" t="str">
            <v>kg N₂O</v>
          </cell>
          <cell r="J457" t="str">
            <v>GJ</v>
          </cell>
        </row>
        <row r="458">
          <cell r="C458" t="str">
            <v>Fontes Móveis</v>
          </cell>
          <cell r="E458" t="str">
            <v>On-Road</v>
          </cell>
          <cell r="F458" t="str">
            <v>Querosene</v>
          </cell>
          <cell r="G458">
            <v>71.900000000000006</v>
          </cell>
          <cell r="I458" t="str">
            <v>kg CO₂</v>
          </cell>
          <cell r="J458" t="str">
            <v>GJ</v>
          </cell>
        </row>
        <row r="459">
          <cell r="C459" t="str">
            <v>Fontes Móveis</v>
          </cell>
          <cell r="E459" t="str">
            <v>On-Road</v>
          </cell>
          <cell r="F459" t="str">
            <v>Lubrificantes</v>
          </cell>
          <cell r="G459">
            <v>73.3</v>
          </cell>
          <cell r="I459" t="str">
            <v>kg CO₂</v>
          </cell>
          <cell r="J459" t="str">
            <v>GJ</v>
          </cell>
        </row>
        <row r="460">
          <cell r="C460" t="str">
            <v>Fontes Móveis</v>
          </cell>
          <cell r="E460" t="str">
            <v>On-Road</v>
          </cell>
          <cell r="F460" t="str">
            <v>Gás Natural</v>
          </cell>
          <cell r="G460">
            <v>56.1</v>
          </cell>
          <cell r="I460" t="str">
            <v>kg CO₂</v>
          </cell>
          <cell r="J460" t="str">
            <v>GJ</v>
          </cell>
        </row>
        <row r="461">
          <cell r="C461" t="str">
            <v>Fontes Móveis</v>
          </cell>
          <cell r="E461" t="str">
            <v>On-Road</v>
          </cell>
          <cell r="F461" t="str">
            <v>Gás Natural</v>
          </cell>
          <cell r="G461">
            <v>9.1999999999999998E-2</v>
          </cell>
          <cell r="I461" t="str">
            <v>kg CH₄</v>
          </cell>
          <cell r="J461" t="str">
            <v>GJ</v>
          </cell>
        </row>
        <row r="462">
          <cell r="C462" t="str">
            <v>Fontes Móveis</v>
          </cell>
          <cell r="E462" t="str">
            <v>On-Road</v>
          </cell>
          <cell r="F462" t="str">
            <v>Gás Natural</v>
          </cell>
          <cell r="G462">
            <v>3.0000000000000001E-3</v>
          </cell>
          <cell r="I462" t="str">
            <v>kg N₂O</v>
          </cell>
          <cell r="J462" t="str">
            <v>GJ</v>
          </cell>
        </row>
        <row r="463">
          <cell r="C463" t="str">
            <v>Fontes Móveis</v>
          </cell>
          <cell r="E463" t="str">
            <v>Off-Road</v>
          </cell>
          <cell r="F463" t="str">
            <v>Gasolina A</v>
          </cell>
          <cell r="G463">
            <v>69.3</v>
          </cell>
          <cell r="I463" t="str">
            <v>kg CO₂</v>
          </cell>
          <cell r="J463" t="str">
            <v>GJ</v>
          </cell>
        </row>
        <row r="464">
          <cell r="C464" t="str">
            <v>Fontes Móveis</v>
          </cell>
          <cell r="E464" t="str">
            <v>Off-Road</v>
          </cell>
          <cell r="F464" t="str">
            <v>Gasolina A</v>
          </cell>
          <cell r="G464">
            <v>0.12</v>
          </cell>
          <cell r="I464" t="str">
            <v>kg CH₄</v>
          </cell>
          <cell r="J464" t="str">
            <v>GJ</v>
          </cell>
        </row>
        <row r="465">
          <cell r="C465" t="str">
            <v>Fontes Móveis</v>
          </cell>
          <cell r="E465" t="str">
            <v>Off-Road</v>
          </cell>
          <cell r="F465" t="str">
            <v>Gasolina A</v>
          </cell>
          <cell r="G465">
            <v>2E-3</v>
          </cell>
          <cell r="I465" t="str">
            <v>kg N₂O</v>
          </cell>
          <cell r="J465" t="str">
            <v>GJ</v>
          </cell>
        </row>
        <row r="466">
          <cell r="C466" t="str">
            <v>Fontes Móveis</v>
          </cell>
          <cell r="E466" t="str">
            <v>Off-Road</v>
          </cell>
          <cell r="F466" t="str">
            <v>Gasolina C</v>
          </cell>
          <cell r="G466">
            <v>57.417940409868066</v>
          </cell>
          <cell r="I466" t="str">
            <v>kg CO₂</v>
          </cell>
          <cell r="J466" t="str">
            <v>GJ</v>
          </cell>
        </row>
        <row r="467">
          <cell r="C467" t="str">
            <v>Fontes Móveis</v>
          </cell>
          <cell r="E467" t="str">
            <v>Off-Road</v>
          </cell>
          <cell r="F467" t="str">
            <v>Gasolina C</v>
          </cell>
          <cell r="G467">
            <v>0.10113958795217153</v>
          </cell>
          <cell r="I467" t="str">
            <v>kg CH₄</v>
          </cell>
          <cell r="J467" t="str">
            <v>GJ</v>
          </cell>
        </row>
        <row r="468">
          <cell r="C468" t="str">
            <v>Fontes Móveis</v>
          </cell>
          <cell r="E468" t="str">
            <v>Off-Road</v>
          </cell>
          <cell r="F468" t="str">
            <v>Gasolina C</v>
          </cell>
          <cell r="G468">
            <v>1.7599583921185471E-3</v>
          </cell>
          <cell r="I468" t="str">
            <v>kg N₂O</v>
          </cell>
          <cell r="J468" t="str">
            <v>GJ</v>
          </cell>
        </row>
        <row r="469">
          <cell r="C469" t="str">
            <v>Fontes Móveis</v>
          </cell>
          <cell r="E469" t="str">
            <v>Off-Road</v>
          </cell>
          <cell r="F469" t="str">
            <v>Óleo Diesel</v>
          </cell>
          <cell r="G469">
            <v>74.099999999999994</v>
          </cell>
          <cell r="I469" t="str">
            <v>kg CO₂</v>
          </cell>
          <cell r="J469" t="str">
            <v>GJ</v>
          </cell>
        </row>
        <row r="470">
          <cell r="C470" t="str">
            <v>Fontes Móveis</v>
          </cell>
          <cell r="E470" t="str">
            <v>Off-Road</v>
          </cell>
          <cell r="F470" t="str">
            <v>Óleo Diesel</v>
          </cell>
          <cell r="G470">
            <v>4.15E-3</v>
          </cell>
          <cell r="I470" t="str">
            <v>kg CH₄</v>
          </cell>
          <cell r="J470" t="str">
            <v>GJ</v>
          </cell>
        </row>
        <row r="471">
          <cell r="C471" t="str">
            <v>Fontes Móveis</v>
          </cell>
          <cell r="E471" t="str">
            <v>Off-Road</v>
          </cell>
          <cell r="F471" t="str">
            <v>Óleo Diesel</v>
          </cell>
          <cell r="G471">
            <v>2.86E-2</v>
          </cell>
          <cell r="I471" t="str">
            <v>kg N₂O</v>
          </cell>
          <cell r="J471" t="str">
            <v>GJ</v>
          </cell>
        </row>
        <row r="472">
          <cell r="C472" t="str">
            <v>Fontes Móveis</v>
          </cell>
          <cell r="E472" t="str">
            <v>Off-Road</v>
          </cell>
          <cell r="F472" t="str">
            <v>Diesel B5</v>
          </cell>
          <cell r="G472">
            <v>70.703196053728391</v>
          </cell>
          <cell r="I472" t="str">
            <v>kg CO₂</v>
          </cell>
          <cell r="J472" t="str">
            <v>GJ</v>
          </cell>
        </row>
        <row r="473">
          <cell r="C473" t="str">
            <v>Fontes Móveis</v>
          </cell>
          <cell r="E473" t="str">
            <v>Off-Road</v>
          </cell>
          <cell r="F473" t="str">
            <v>Diesel B5</v>
          </cell>
          <cell r="G473">
            <v>4.4181687326003902E-3</v>
          </cell>
          <cell r="I473" t="str">
            <v>kg CH₄</v>
          </cell>
          <cell r="J473" t="str">
            <v>GJ</v>
          </cell>
        </row>
        <row r="474">
          <cell r="C474" t="str">
            <v>Fontes Móveis</v>
          </cell>
          <cell r="E474" t="str">
            <v>Off-Road</v>
          </cell>
          <cell r="F474" t="str">
            <v>Diesel B5</v>
          </cell>
          <cell r="G474">
            <v>2.7316457348237452E-2</v>
          </cell>
          <cell r="I474" t="str">
            <v>kg N₂O</v>
          </cell>
          <cell r="J474" t="str">
            <v>GJ</v>
          </cell>
        </row>
        <row r="475">
          <cell r="C475" t="str">
            <v>Fontes Móveis</v>
          </cell>
          <cell r="E475" t="str">
            <v>Off-Road</v>
          </cell>
          <cell r="F475" t="str">
            <v>Biodiesel</v>
          </cell>
          <cell r="G475">
            <v>70.8</v>
          </cell>
          <cell r="I475" t="str">
            <v>kg CO₂</v>
          </cell>
          <cell r="J475" t="str">
            <v>GJ</v>
          </cell>
        </row>
        <row r="476">
          <cell r="C476" t="str">
            <v>Fontes Móveis</v>
          </cell>
          <cell r="E476" t="str">
            <v>Off-Road</v>
          </cell>
          <cell r="F476" t="str">
            <v>Biodiesel</v>
          </cell>
          <cell r="G476">
            <v>0.01</v>
          </cell>
          <cell r="I476" t="str">
            <v>kg CH₄</v>
          </cell>
          <cell r="J476" t="str">
            <v>GJ</v>
          </cell>
        </row>
        <row r="477">
          <cell r="C477" t="str">
            <v>Fontes Móveis</v>
          </cell>
          <cell r="E477" t="str">
            <v>Off-Road</v>
          </cell>
          <cell r="F477" t="str">
            <v>Biodiesel</v>
          </cell>
          <cell r="G477">
            <v>5.9999999999999995E-4</v>
          </cell>
          <cell r="I477" t="str">
            <v>kg N₂O</v>
          </cell>
          <cell r="J477" t="str">
            <v>GJ</v>
          </cell>
        </row>
        <row r="478">
          <cell r="C478" t="str">
            <v>Fontes Móveis</v>
          </cell>
          <cell r="E478" t="str">
            <v>Off-Road</v>
          </cell>
          <cell r="F478" t="str">
            <v>Etanol Hidratado</v>
          </cell>
          <cell r="G478">
            <v>79.599999999999994</v>
          </cell>
          <cell r="I478" t="str">
            <v>kg CO₂</v>
          </cell>
          <cell r="J478" t="str">
            <v>GJ</v>
          </cell>
        </row>
        <row r="479">
          <cell r="C479" t="str">
            <v>Fontes Móveis</v>
          </cell>
          <cell r="E479" t="str">
            <v>Off-Road</v>
          </cell>
          <cell r="F479" t="str">
            <v>Etanol Hidratado</v>
          </cell>
          <cell r="G479">
            <v>0.01</v>
          </cell>
          <cell r="I479" t="str">
            <v>kg CH₄</v>
          </cell>
          <cell r="J479" t="str">
            <v>GJ</v>
          </cell>
        </row>
        <row r="480">
          <cell r="C480" t="str">
            <v>Fontes Móveis</v>
          </cell>
          <cell r="E480" t="str">
            <v>Off-Road</v>
          </cell>
          <cell r="F480" t="str">
            <v>Etanol Hidratado</v>
          </cell>
          <cell r="G480">
            <v>5.9999999999999995E-4</v>
          </cell>
          <cell r="I480" t="str">
            <v>kg N₂O</v>
          </cell>
          <cell r="J480" t="str">
            <v>GJ</v>
          </cell>
        </row>
        <row r="481">
          <cell r="C481" t="str">
            <v>Fontes Móveis</v>
          </cell>
          <cell r="E481" t="str">
            <v>Off-Road</v>
          </cell>
          <cell r="F481" t="str">
            <v>Etanol Anidro</v>
          </cell>
          <cell r="G481">
            <v>79.599999999999994</v>
          </cell>
          <cell r="I481" t="str">
            <v>kg CO₂</v>
          </cell>
          <cell r="J481" t="str">
            <v>GJ</v>
          </cell>
        </row>
        <row r="482">
          <cell r="C482" t="str">
            <v>Fontes Móveis</v>
          </cell>
          <cell r="E482" t="str">
            <v>Off-Road</v>
          </cell>
          <cell r="F482" t="str">
            <v>Etanol Anidro</v>
          </cell>
          <cell r="G482">
            <v>0.01</v>
          </cell>
          <cell r="I482" t="str">
            <v>kg CH₄</v>
          </cell>
          <cell r="J482" t="str">
            <v>GJ</v>
          </cell>
        </row>
        <row r="483">
          <cell r="C483" t="str">
            <v>Fontes Móveis</v>
          </cell>
          <cell r="E483" t="str">
            <v>Off-Road</v>
          </cell>
          <cell r="F483" t="str">
            <v>Etanol Anidro</v>
          </cell>
          <cell r="G483">
            <v>5.9999999999999995E-4</v>
          </cell>
          <cell r="I483" t="str">
            <v>kg N₂O</v>
          </cell>
          <cell r="J483" t="str">
            <v>GJ</v>
          </cell>
        </row>
        <row r="484">
          <cell r="C484" t="str">
            <v>Fontes Móveis</v>
          </cell>
          <cell r="E484" t="str">
            <v>Transporte Ferroviário</v>
          </cell>
          <cell r="F484" t="str">
            <v>Óleo Diesel</v>
          </cell>
          <cell r="G484">
            <v>74.099999999999994</v>
          </cell>
          <cell r="I484" t="str">
            <v>kg CO₂</v>
          </cell>
          <cell r="J484" t="str">
            <v>GJ</v>
          </cell>
        </row>
        <row r="485">
          <cell r="C485" t="str">
            <v>Fontes Móveis</v>
          </cell>
          <cell r="E485" t="str">
            <v>Transporte Ferroviário</v>
          </cell>
          <cell r="F485" t="str">
            <v>Óleo Diesel</v>
          </cell>
          <cell r="G485">
            <v>4.15E-3</v>
          </cell>
          <cell r="I485" t="str">
            <v>kg CH₄</v>
          </cell>
          <cell r="J485" t="str">
            <v>GJ</v>
          </cell>
        </row>
        <row r="486">
          <cell r="C486" t="str">
            <v>Fontes Móveis</v>
          </cell>
          <cell r="E486" t="str">
            <v>Transporte Ferroviário</v>
          </cell>
          <cell r="F486" t="str">
            <v>Óleo Diesel</v>
          </cell>
          <cell r="G486">
            <v>2.86E-2</v>
          </cell>
          <cell r="I486" t="str">
            <v>kg N₂O</v>
          </cell>
          <cell r="J486" t="str">
            <v>GJ</v>
          </cell>
        </row>
        <row r="487">
          <cell r="C487" t="str">
            <v>Fontes Móveis</v>
          </cell>
          <cell r="E487" t="str">
            <v>Transporte Ferroviário</v>
          </cell>
          <cell r="F487" t="str">
            <v>Diesel B5</v>
          </cell>
          <cell r="G487">
            <v>70.703196053728391</v>
          </cell>
          <cell r="I487" t="str">
            <v>kg CO₂</v>
          </cell>
          <cell r="J487" t="str">
            <v>GJ</v>
          </cell>
        </row>
        <row r="488">
          <cell r="C488" t="str">
            <v>Fontes Móveis</v>
          </cell>
          <cell r="E488" t="str">
            <v>Transporte Ferroviário</v>
          </cell>
          <cell r="F488" t="str">
            <v>Diesel B5</v>
          </cell>
          <cell r="G488">
            <v>4.4181687326003902E-3</v>
          </cell>
          <cell r="I488" t="str">
            <v>kg CH₄</v>
          </cell>
          <cell r="J488" t="str">
            <v>GJ</v>
          </cell>
        </row>
        <row r="489">
          <cell r="C489" t="str">
            <v>Fontes Móveis</v>
          </cell>
          <cell r="E489" t="str">
            <v>Transporte Ferroviário</v>
          </cell>
          <cell r="F489" t="str">
            <v>Diesel B5</v>
          </cell>
          <cell r="G489">
            <v>2.7316457348237452E-2</v>
          </cell>
          <cell r="I489" t="str">
            <v>kg N₂O</v>
          </cell>
          <cell r="J489" t="str">
            <v>GJ</v>
          </cell>
        </row>
        <row r="490">
          <cell r="C490" t="str">
            <v>Fontes Móveis</v>
          </cell>
          <cell r="E490" t="str">
            <v>Transporte Ferroviário</v>
          </cell>
          <cell r="F490" t="str">
            <v>Biodiesel</v>
          </cell>
          <cell r="G490">
            <v>70.8</v>
          </cell>
          <cell r="I490" t="str">
            <v>kg CO₂</v>
          </cell>
          <cell r="J490" t="str">
            <v>GJ</v>
          </cell>
        </row>
        <row r="491">
          <cell r="C491" t="str">
            <v>Fontes Móveis</v>
          </cell>
          <cell r="E491" t="str">
            <v>Transporte Ferroviário</v>
          </cell>
          <cell r="F491" t="str">
            <v>Biodiesel</v>
          </cell>
          <cell r="G491">
            <v>0.01</v>
          </cell>
          <cell r="I491" t="str">
            <v>kg CH₄</v>
          </cell>
          <cell r="J491" t="str">
            <v>GJ</v>
          </cell>
        </row>
        <row r="492">
          <cell r="C492" t="str">
            <v>Fontes Móveis</v>
          </cell>
          <cell r="E492" t="str">
            <v>Transporte Ferroviário</v>
          </cell>
          <cell r="F492" t="str">
            <v>Biodiesel</v>
          </cell>
          <cell r="G492">
            <v>5.9999999999999995E-4</v>
          </cell>
          <cell r="I492" t="str">
            <v>kg N₂O</v>
          </cell>
          <cell r="J492" t="str">
            <v>GJ</v>
          </cell>
        </row>
        <row r="493">
          <cell r="C493" t="str">
            <v>Fontes Móveis</v>
          </cell>
          <cell r="E493" t="str">
            <v>Transporte Ferroviário</v>
          </cell>
          <cell r="F493" t="str">
            <v>Carvão (Sub-Bit)</v>
          </cell>
          <cell r="G493">
            <v>96.1</v>
          </cell>
          <cell r="I493" t="str">
            <v>kg CO₂</v>
          </cell>
          <cell r="J493" t="str">
            <v>GJ</v>
          </cell>
        </row>
        <row r="494">
          <cell r="C494" t="str">
            <v>Fontes Móveis</v>
          </cell>
          <cell r="E494" t="str">
            <v>Transporte Ferroviário</v>
          </cell>
          <cell r="F494" t="str">
            <v>Carvão (Sub-Bit)</v>
          </cell>
          <cell r="G494">
            <v>2E-3</v>
          </cell>
          <cell r="I494" t="str">
            <v>kg CH₄</v>
          </cell>
          <cell r="J494" t="str">
            <v>GJ</v>
          </cell>
        </row>
        <row r="495">
          <cell r="C495" t="str">
            <v>Fontes Móveis</v>
          </cell>
          <cell r="E495" t="str">
            <v>Transporte Ferroviário</v>
          </cell>
          <cell r="F495" t="str">
            <v>Carvão (Sub-Bit)</v>
          </cell>
          <cell r="G495">
            <v>1.5E-3</v>
          </cell>
          <cell r="I495" t="str">
            <v>kg N₂O</v>
          </cell>
          <cell r="J495" t="str">
            <v>GJ</v>
          </cell>
        </row>
        <row r="496">
          <cell r="C496" t="str">
            <v>Fontes Móveis</v>
          </cell>
          <cell r="E496" t="str">
            <v>Transporte Marítimo</v>
          </cell>
          <cell r="F496" t="str">
            <v>Diesel B5</v>
          </cell>
          <cell r="G496">
            <v>74.099999999999994</v>
          </cell>
          <cell r="I496" t="str">
            <v>kg CO₂</v>
          </cell>
          <cell r="J496" t="str">
            <v>GJ</v>
          </cell>
        </row>
        <row r="497">
          <cell r="C497" t="str">
            <v>Fontes Móveis</v>
          </cell>
          <cell r="E497" t="str">
            <v>Transporte Marítimo</v>
          </cell>
          <cell r="F497" t="str">
            <v>Diesel B5</v>
          </cell>
          <cell r="G497">
            <v>7.0000000000000001E-3</v>
          </cell>
          <cell r="I497" t="str">
            <v>kg CH₄</v>
          </cell>
          <cell r="J497" t="str">
            <v>GJ</v>
          </cell>
        </row>
        <row r="498">
          <cell r="C498" t="str">
            <v>Fontes Móveis</v>
          </cell>
          <cell r="E498" t="str">
            <v>Transporte Marítimo</v>
          </cell>
          <cell r="F498" t="str">
            <v>Diesel B5</v>
          </cell>
          <cell r="G498">
            <v>2E-3</v>
          </cell>
          <cell r="I498" t="str">
            <v>kg N₂O</v>
          </cell>
          <cell r="J498" t="str">
            <v>GJ</v>
          </cell>
        </row>
        <row r="499">
          <cell r="C499" t="str">
            <v>Fontes Móveis</v>
          </cell>
          <cell r="E499" t="str">
            <v>Transporte Marítimo</v>
          </cell>
          <cell r="F499" t="str">
            <v>Óleo Combustível Pesado</v>
          </cell>
          <cell r="G499">
            <v>77.400000000000006</v>
          </cell>
          <cell r="I499" t="str">
            <v>kg CO₂</v>
          </cell>
          <cell r="J499" t="str">
            <v>GJ</v>
          </cell>
        </row>
        <row r="500">
          <cell r="C500" t="str">
            <v>Fontes Móveis</v>
          </cell>
          <cell r="E500" t="str">
            <v>Transporte Marítimo</v>
          </cell>
          <cell r="F500" t="str">
            <v>Óleo Combustível Pesado</v>
          </cell>
          <cell r="G500">
            <v>7.0000000000000001E-3</v>
          </cell>
          <cell r="I500" t="str">
            <v>kg CH₄</v>
          </cell>
          <cell r="J500" t="str">
            <v>GJ</v>
          </cell>
        </row>
        <row r="501">
          <cell r="C501" t="str">
            <v>Fontes Móveis</v>
          </cell>
          <cell r="E501" t="str">
            <v>Transporte Marítimo</v>
          </cell>
          <cell r="F501" t="str">
            <v>Óleo Combustível Pesado</v>
          </cell>
          <cell r="G501">
            <v>2E-3</v>
          </cell>
          <cell r="I501" t="str">
            <v>kg N₂O</v>
          </cell>
          <cell r="J501" t="str">
            <v>GJ</v>
          </cell>
        </row>
        <row r="502">
          <cell r="C502" t="str">
            <v>Fontes Móveis</v>
          </cell>
          <cell r="E502" t="str">
            <v>Transporte Aéreo</v>
          </cell>
          <cell r="F502" t="str">
            <v>Gasolina de Aviação</v>
          </cell>
          <cell r="G502">
            <v>70</v>
          </cell>
          <cell r="I502" t="str">
            <v>kg CO₂</v>
          </cell>
          <cell r="J502" t="str">
            <v>GJ</v>
          </cell>
        </row>
        <row r="503">
          <cell r="C503" t="str">
            <v>Fontes Móveis</v>
          </cell>
          <cell r="E503" t="str">
            <v>Transporte Aéreo</v>
          </cell>
          <cell r="F503" t="str">
            <v>Gasolina de Aviação</v>
          </cell>
          <cell r="G503">
            <v>5.0000000000000001E-4</v>
          </cell>
          <cell r="I503" t="str">
            <v>kg CH₄</v>
          </cell>
          <cell r="J503" t="str">
            <v>GJ</v>
          </cell>
        </row>
        <row r="504">
          <cell r="C504" t="str">
            <v>Fontes Móveis</v>
          </cell>
          <cell r="E504" t="str">
            <v>Transporte Aéreo</v>
          </cell>
          <cell r="F504" t="str">
            <v>Gasolina de Aviação</v>
          </cell>
          <cell r="G504">
            <v>2E-3</v>
          </cell>
          <cell r="I504" t="str">
            <v>kg N₂O</v>
          </cell>
          <cell r="J504" t="str">
            <v>GJ</v>
          </cell>
        </row>
        <row r="505">
          <cell r="C505" t="str">
            <v>Fontes Móveis</v>
          </cell>
          <cell r="E505" t="str">
            <v>Transporte Aéreo</v>
          </cell>
          <cell r="F505" t="str">
            <v>Querosene de Aviação</v>
          </cell>
          <cell r="G505">
            <v>71.5</v>
          </cell>
          <cell r="I505" t="str">
            <v>kg CO₂</v>
          </cell>
          <cell r="J505" t="str">
            <v>GJ</v>
          </cell>
        </row>
        <row r="506">
          <cell r="C506" t="str">
            <v>Fontes Móveis</v>
          </cell>
          <cell r="E506" t="str">
            <v>Transporte Aéreo</v>
          </cell>
          <cell r="F506" t="str">
            <v>Querosene de Aviação</v>
          </cell>
          <cell r="G506">
            <v>5.0000000000000001E-4</v>
          </cell>
          <cell r="I506" t="str">
            <v>kg CH₄</v>
          </cell>
          <cell r="J506" t="str">
            <v>GJ</v>
          </cell>
        </row>
        <row r="507">
          <cell r="C507" t="str">
            <v>Fontes Móveis</v>
          </cell>
          <cell r="E507" t="str">
            <v>Transporte Aéreo</v>
          </cell>
          <cell r="F507" t="str">
            <v>Querosene de Aviação</v>
          </cell>
          <cell r="G507">
            <v>2E-3</v>
          </cell>
          <cell r="I507" t="str">
            <v>kg N₂O</v>
          </cell>
          <cell r="J507" t="str">
            <v>GJ</v>
          </cell>
        </row>
        <row r="508">
          <cell r="C508" t="str">
            <v>Aterro Coberto - Anaeróbio</v>
          </cell>
          <cell r="E508" t="str">
            <v>N/A</v>
          </cell>
          <cell r="F508" t="str">
            <v>MCF</v>
          </cell>
          <cell r="G508">
            <v>1</v>
          </cell>
          <cell r="I508" t="str">
            <v>N/A</v>
          </cell>
          <cell r="J508" t="str">
            <v>N/A</v>
          </cell>
        </row>
        <row r="509">
          <cell r="C509" t="str">
            <v>Aterro Coberto - Semiaeróbio</v>
          </cell>
          <cell r="E509" t="str">
            <v>N/A</v>
          </cell>
          <cell r="F509" t="str">
            <v>MCF</v>
          </cell>
          <cell r="G509">
            <v>0.5</v>
          </cell>
          <cell r="I509" t="str">
            <v>N/A</v>
          </cell>
          <cell r="J509" t="str">
            <v>N/A</v>
          </cell>
        </row>
        <row r="510">
          <cell r="C510" t="str">
            <v>Aterro Descoberto - Profundo (&gt;5m)</v>
          </cell>
          <cell r="E510" t="str">
            <v>N/A</v>
          </cell>
          <cell r="F510" t="str">
            <v>MCF</v>
          </cell>
          <cell r="G510">
            <v>0.8</v>
          </cell>
          <cell r="I510" t="str">
            <v>N/A</v>
          </cell>
          <cell r="J510" t="str">
            <v>N/A</v>
          </cell>
        </row>
        <row r="511">
          <cell r="C511" t="str">
            <v>Aterro Descoberto - Raso (&lt;5m)</v>
          </cell>
          <cell r="E511" t="str">
            <v>N/A</v>
          </cell>
          <cell r="F511" t="str">
            <v>MCF</v>
          </cell>
          <cell r="G511">
            <v>0.4</v>
          </cell>
          <cell r="I511" t="str">
            <v>N/A</v>
          </cell>
          <cell r="J511" t="str">
            <v>N/A</v>
          </cell>
        </row>
        <row r="512">
          <cell r="C512" t="str">
            <v>Aterro Não-Categorizado</v>
          </cell>
          <cell r="E512" t="str">
            <v>N/A</v>
          </cell>
          <cell r="F512" t="str">
            <v>MCF</v>
          </cell>
          <cell r="G512">
            <v>0.6</v>
          </cell>
          <cell r="I512" t="str">
            <v>N/A</v>
          </cell>
          <cell r="J512" t="str">
            <v>N/A</v>
          </cell>
        </row>
        <row r="513">
          <cell r="C513" t="str">
            <v>Aterro Coberto - Anaeróbio</v>
          </cell>
          <cell r="E513" t="str">
            <v>N/A</v>
          </cell>
          <cell r="F513" t="str">
            <v>OX</v>
          </cell>
          <cell r="G513">
            <v>0</v>
          </cell>
          <cell r="I513" t="str">
            <v>N/A</v>
          </cell>
          <cell r="J513" t="str">
            <v>N/A</v>
          </cell>
        </row>
        <row r="514">
          <cell r="C514" t="str">
            <v>Aterro Coberto - Semiaeróbio</v>
          </cell>
          <cell r="E514" t="str">
            <v>N/A</v>
          </cell>
          <cell r="F514" t="str">
            <v>OX</v>
          </cell>
          <cell r="G514">
            <v>0.1</v>
          </cell>
          <cell r="I514" t="str">
            <v>N/A</v>
          </cell>
          <cell r="J514" t="str">
            <v>N/A</v>
          </cell>
        </row>
        <row r="515">
          <cell r="C515" t="str">
            <v>Aterro Descoberto - Profundo (&gt;5m)</v>
          </cell>
          <cell r="E515" t="str">
            <v>N/A</v>
          </cell>
          <cell r="F515" t="str">
            <v>OX</v>
          </cell>
          <cell r="G515">
            <v>0</v>
          </cell>
          <cell r="I515" t="str">
            <v>N/A</v>
          </cell>
          <cell r="J515" t="str">
            <v>N/A</v>
          </cell>
        </row>
        <row r="516">
          <cell r="C516" t="str">
            <v>Aterro Descoberto - Raso (&lt;5m)</v>
          </cell>
          <cell r="E516" t="str">
            <v>N/A</v>
          </cell>
          <cell r="F516" t="str">
            <v>OX</v>
          </cell>
          <cell r="G516">
            <v>0</v>
          </cell>
          <cell r="I516" t="str">
            <v>N/A</v>
          </cell>
          <cell r="J516" t="str">
            <v>N/A</v>
          </cell>
        </row>
        <row r="517">
          <cell r="C517" t="str">
            <v>Aterro Não-Categorizado</v>
          </cell>
          <cell r="E517" t="str">
            <v>N/A</v>
          </cell>
          <cell r="F517" t="str">
            <v>OX</v>
          </cell>
          <cell r="G517">
            <v>0</v>
          </cell>
          <cell r="I517" t="str">
            <v>N/A</v>
          </cell>
          <cell r="J517" t="str">
            <v>N/A</v>
          </cell>
        </row>
        <row r="518">
          <cell r="C518" t="str">
            <v>Aterro Sanitário</v>
          </cell>
          <cell r="E518" t="str">
            <v>Resíduo Úmido</v>
          </cell>
          <cell r="F518" t="str">
            <v>DOC</v>
          </cell>
          <cell r="G518">
            <v>0.4</v>
          </cell>
          <cell r="I518" t="str">
            <v>N/A</v>
          </cell>
          <cell r="J518" t="str">
            <v>N/A</v>
          </cell>
        </row>
        <row r="519">
          <cell r="C519" t="str">
            <v>Aterro Sanitário</v>
          </cell>
          <cell r="E519" t="str">
            <v>Resíduo Úmido</v>
          </cell>
          <cell r="F519" t="str">
            <v>DOC</v>
          </cell>
          <cell r="G519">
            <v>0.24</v>
          </cell>
          <cell r="I519" t="str">
            <v>N/A</v>
          </cell>
          <cell r="J519" t="str">
            <v>N/A</v>
          </cell>
        </row>
        <row r="520">
          <cell r="C520" t="str">
            <v>Aterro Sanitário</v>
          </cell>
          <cell r="E520" t="str">
            <v>Resíduo Úmido</v>
          </cell>
          <cell r="F520" t="str">
            <v>DOC</v>
          </cell>
          <cell r="G520">
            <v>0.15</v>
          </cell>
          <cell r="I520" t="str">
            <v>N/A</v>
          </cell>
          <cell r="J520" t="str">
            <v>N/A</v>
          </cell>
        </row>
        <row r="521">
          <cell r="C521" t="str">
            <v>Aterro Sanitário</v>
          </cell>
          <cell r="E521" t="str">
            <v>Resíduo Úmido</v>
          </cell>
          <cell r="F521" t="str">
            <v>DOC</v>
          </cell>
          <cell r="G521">
            <v>0.43</v>
          </cell>
          <cell r="I521" t="str">
            <v>N/A</v>
          </cell>
          <cell r="J521" t="str">
            <v>N/A</v>
          </cell>
        </row>
        <row r="522">
          <cell r="C522" t="str">
            <v>Aterro Sanitário</v>
          </cell>
          <cell r="E522" t="str">
            <v>Resíduo Úmido</v>
          </cell>
          <cell r="F522" t="str">
            <v>DOC</v>
          </cell>
          <cell r="G522">
            <v>0.2</v>
          </cell>
          <cell r="I522" t="str">
            <v>N/A</v>
          </cell>
          <cell r="J522" t="str">
            <v>N/A</v>
          </cell>
        </row>
        <row r="523">
          <cell r="C523" t="str">
            <v>Aterro Sanitário</v>
          </cell>
          <cell r="E523" t="str">
            <v>Resíduo Úmido</v>
          </cell>
          <cell r="F523" t="str">
            <v>DOC</v>
          </cell>
          <cell r="G523">
            <v>0.24</v>
          </cell>
          <cell r="I523" t="str">
            <v>N/A</v>
          </cell>
          <cell r="J523" t="str">
            <v>N/A</v>
          </cell>
        </row>
        <row r="524">
          <cell r="C524" t="str">
            <v>Aterro Sanitário</v>
          </cell>
          <cell r="E524" t="str">
            <v>Resíduo Úmido</v>
          </cell>
          <cell r="F524" t="str">
            <v>DOC</v>
          </cell>
          <cell r="G524">
            <v>0</v>
          </cell>
          <cell r="I524" t="str">
            <v>N/A</v>
          </cell>
          <cell r="J524" t="str">
            <v>N/A</v>
          </cell>
        </row>
        <row r="525">
          <cell r="C525" t="str">
            <v>Aterro Sanitário</v>
          </cell>
          <cell r="E525" t="str">
            <v>Resíduo Úmido</v>
          </cell>
          <cell r="F525" t="str">
            <v>DOC</v>
          </cell>
          <cell r="G525">
            <v>0</v>
          </cell>
          <cell r="I525" t="str">
            <v>N/A</v>
          </cell>
          <cell r="J525" t="str">
            <v>N/A</v>
          </cell>
        </row>
        <row r="526">
          <cell r="C526" t="str">
            <v>Aterro Sanitário</v>
          </cell>
          <cell r="E526" t="str">
            <v>Resíduo Úmido</v>
          </cell>
          <cell r="F526" t="str">
            <v>DOC</v>
          </cell>
          <cell r="G526">
            <v>0</v>
          </cell>
          <cell r="I526" t="str">
            <v>N/A</v>
          </cell>
          <cell r="J526" t="str">
            <v>N/A</v>
          </cell>
        </row>
        <row r="527">
          <cell r="C527" t="str">
            <v>Aterro Sanitário</v>
          </cell>
          <cell r="E527" t="str">
            <v>Resíduo Úmido</v>
          </cell>
          <cell r="F527" t="str">
            <v>DOC</v>
          </cell>
          <cell r="G527">
            <v>0</v>
          </cell>
          <cell r="I527" t="str">
            <v>N/A</v>
          </cell>
          <cell r="J527" t="str">
            <v>N/A</v>
          </cell>
        </row>
        <row r="528">
          <cell r="C528" t="str">
            <v>Aterro Sanitário</v>
          </cell>
          <cell r="E528" t="str">
            <v>Resíduo Seco</v>
          </cell>
          <cell r="F528" t="str">
            <v>DOC</v>
          </cell>
          <cell r="G528">
            <v>0.44</v>
          </cell>
          <cell r="I528" t="str">
            <v>N/A</v>
          </cell>
          <cell r="J528" t="str">
            <v>N/A</v>
          </cell>
        </row>
        <row r="529">
          <cell r="C529" t="str">
            <v>Aterro Sanitário</v>
          </cell>
          <cell r="E529" t="str">
            <v>Resíduo Seco</v>
          </cell>
          <cell r="F529" t="str">
            <v>DOC</v>
          </cell>
          <cell r="G529">
            <v>0.3</v>
          </cell>
          <cell r="I529" t="str">
            <v>N/A</v>
          </cell>
          <cell r="J529" t="str">
            <v>N/A</v>
          </cell>
        </row>
        <row r="530">
          <cell r="C530" t="str">
            <v>Aterro Sanitário</v>
          </cell>
          <cell r="E530" t="str">
            <v>Resíduo Seco</v>
          </cell>
          <cell r="F530" t="str">
            <v>DOC</v>
          </cell>
          <cell r="G530">
            <v>0.38</v>
          </cell>
          <cell r="I530" t="str">
            <v>N/A</v>
          </cell>
          <cell r="J530" t="str">
            <v>N/A</v>
          </cell>
        </row>
        <row r="531">
          <cell r="C531" t="str">
            <v>Aterro Sanitário</v>
          </cell>
          <cell r="E531" t="str">
            <v>Resíduo Seco</v>
          </cell>
          <cell r="F531" t="str">
            <v>DOC</v>
          </cell>
          <cell r="G531">
            <v>0.5</v>
          </cell>
          <cell r="I531" t="str">
            <v>N/A</v>
          </cell>
          <cell r="J531" t="str">
            <v>N/A</v>
          </cell>
        </row>
        <row r="532">
          <cell r="C532" t="str">
            <v>Aterro Sanitário</v>
          </cell>
          <cell r="E532" t="str">
            <v>Resíduo Seco</v>
          </cell>
          <cell r="F532" t="str">
            <v>DOC</v>
          </cell>
          <cell r="G532">
            <v>0.49</v>
          </cell>
          <cell r="I532" t="str">
            <v>N/A</v>
          </cell>
          <cell r="J532" t="str">
            <v>N/A</v>
          </cell>
        </row>
        <row r="533">
          <cell r="C533" t="str">
            <v>Aterro Sanitário</v>
          </cell>
          <cell r="E533" t="str">
            <v>Resíduo Seco</v>
          </cell>
          <cell r="F533" t="str">
            <v>DOC</v>
          </cell>
          <cell r="G533">
            <v>0.09</v>
          </cell>
          <cell r="I533" t="str">
            <v>N/A</v>
          </cell>
          <cell r="J533" t="str">
            <v>N/A</v>
          </cell>
        </row>
        <row r="534">
          <cell r="C534" t="str">
            <v>Aterro Sanitário</v>
          </cell>
          <cell r="E534" t="str">
            <v>Resíduo Seco</v>
          </cell>
          <cell r="F534" t="str">
            <v>DOC</v>
          </cell>
          <cell r="G534">
            <v>0.6</v>
          </cell>
          <cell r="I534" t="str">
            <v>N/A</v>
          </cell>
          <cell r="J534" t="str">
            <v>N/A</v>
          </cell>
        </row>
        <row r="535">
          <cell r="C535" t="str">
            <v>Aterro Sanitário</v>
          </cell>
          <cell r="E535" t="str">
            <v>Resíduo Seco</v>
          </cell>
          <cell r="F535" t="str">
            <v>DOC</v>
          </cell>
          <cell r="G535">
            <v>0</v>
          </cell>
          <cell r="I535" t="str">
            <v>N/A</v>
          </cell>
          <cell r="J535" t="str">
            <v>N/A</v>
          </cell>
        </row>
        <row r="536">
          <cell r="C536" t="str">
            <v>Aterro Sanitário</v>
          </cell>
          <cell r="E536" t="str">
            <v>Resíduo Seco</v>
          </cell>
          <cell r="F536" t="str">
            <v>DOC</v>
          </cell>
          <cell r="G536">
            <v>0</v>
          </cell>
          <cell r="I536" t="str">
            <v>N/A</v>
          </cell>
          <cell r="J536" t="str">
            <v>N/A</v>
          </cell>
        </row>
        <row r="537">
          <cell r="C537" t="str">
            <v>Aterro Sanitário</v>
          </cell>
          <cell r="E537" t="str">
            <v>Resíduo Seco</v>
          </cell>
          <cell r="F537" t="str">
            <v>DOC</v>
          </cell>
          <cell r="G537">
            <v>0</v>
          </cell>
          <cell r="I537" t="str">
            <v>N/A</v>
          </cell>
          <cell r="J537" t="str">
            <v>N/A</v>
          </cell>
        </row>
        <row r="538">
          <cell r="C538" t="str">
            <v>Aterro Sanitário</v>
          </cell>
          <cell r="E538" t="str">
            <v>Resíduo Seco</v>
          </cell>
          <cell r="F538" t="str">
            <v>DOC</v>
          </cell>
          <cell r="G538">
            <v>0</v>
          </cell>
          <cell r="I538" t="str">
            <v>N/A</v>
          </cell>
          <cell r="J538" t="str">
            <v>N/A</v>
          </cell>
        </row>
        <row r="539">
          <cell r="C539" t="str">
            <v>Aterro Sanitário</v>
          </cell>
          <cell r="E539" t="str">
            <v>Zona Temperada Seca</v>
          </cell>
          <cell r="F539" t="str">
            <v>k</v>
          </cell>
          <cell r="G539">
            <v>0.04</v>
          </cell>
          <cell r="I539" t="str">
            <v>N/A</v>
          </cell>
          <cell r="J539" t="str">
            <v>N/A</v>
          </cell>
        </row>
        <row r="540">
          <cell r="C540" t="str">
            <v>Aterro Sanitário</v>
          </cell>
          <cell r="E540" t="str">
            <v>Zona Temperada Seca</v>
          </cell>
          <cell r="F540" t="str">
            <v>k</v>
          </cell>
          <cell r="G540">
            <v>0.04</v>
          </cell>
          <cell r="I540" t="str">
            <v>N/A</v>
          </cell>
          <cell r="J540" t="str">
            <v>N/A</v>
          </cell>
        </row>
        <row r="541">
          <cell r="C541" t="str">
            <v>Aterro Sanitário</v>
          </cell>
          <cell r="E541" t="str">
            <v>Zona Temperada Seca</v>
          </cell>
          <cell r="F541" t="str">
            <v>k</v>
          </cell>
          <cell r="G541">
            <v>0.06</v>
          </cell>
          <cell r="I541" t="str">
            <v>N/A</v>
          </cell>
          <cell r="J541" t="str">
            <v>N/A</v>
          </cell>
        </row>
        <row r="542">
          <cell r="C542" t="str">
            <v>Aterro Sanitário</v>
          </cell>
          <cell r="E542" t="str">
            <v>Zona Temperada Seca</v>
          </cell>
          <cell r="F542" t="str">
            <v>k</v>
          </cell>
          <cell r="G542">
            <v>0.02</v>
          </cell>
          <cell r="I542" t="str">
            <v>N/A</v>
          </cell>
          <cell r="J542" t="str">
            <v>N/A</v>
          </cell>
        </row>
        <row r="543">
          <cell r="C543" t="str">
            <v>Aterro Sanitário</v>
          </cell>
          <cell r="E543" t="str">
            <v>Zona Temperada Seca</v>
          </cell>
          <cell r="F543" t="str">
            <v>k</v>
          </cell>
          <cell r="G543">
            <v>0.05</v>
          </cell>
          <cell r="I543" t="str">
            <v>N/A</v>
          </cell>
          <cell r="J543" t="str">
            <v>N/A</v>
          </cell>
        </row>
        <row r="544">
          <cell r="C544" t="str">
            <v>Aterro Sanitário</v>
          </cell>
          <cell r="E544" t="str">
            <v>Zona Temperada Seca</v>
          </cell>
          <cell r="F544" t="str">
            <v>k</v>
          </cell>
          <cell r="G544">
            <v>0.06</v>
          </cell>
          <cell r="I544" t="str">
            <v>N/A</v>
          </cell>
          <cell r="J544" t="str">
            <v>N/A</v>
          </cell>
        </row>
        <row r="545">
          <cell r="C545" t="str">
            <v>Aterro Sanitário</v>
          </cell>
          <cell r="E545" t="str">
            <v>Zona Temperada Seca</v>
          </cell>
          <cell r="F545" t="str">
            <v>k</v>
          </cell>
          <cell r="G545">
            <v>0</v>
          </cell>
          <cell r="I545" t="str">
            <v>N/A</v>
          </cell>
          <cell r="J545" t="str">
            <v>N/A</v>
          </cell>
        </row>
        <row r="546">
          <cell r="C546" t="str">
            <v>Aterro Sanitário</v>
          </cell>
          <cell r="E546" t="str">
            <v>Zona Temperada Seca</v>
          </cell>
          <cell r="F546" t="str">
            <v>k</v>
          </cell>
          <cell r="G546">
            <v>0</v>
          </cell>
          <cell r="I546" t="str">
            <v>N/A</v>
          </cell>
          <cell r="J546" t="str">
            <v>N/A</v>
          </cell>
        </row>
        <row r="547">
          <cell r="C547" t="str">
            <v>Aterro Sanitário</v>
          </cell>
          <cell r="E547" t="str">
            <v>Zona Temperada Seca</v>
          </cell>
          <cell r="F547" t="str">
            <v>k</v>
          </cell>
          <cell r="G547">
            <v>0</v>
          </cell>
          <cell r="I547" t="str">
            <v>N/A</v>
          </cell>
          <cell r="J547" t="str">
            <v>N/A</v>
          </cell>
        </row>
        <row r="548">
          <cell r="C548" t="str">
            <v>Aterro Sanitário</v>
          </cell>
          <cell r="E548" t="str">
            <v>Zona Temperada Seca</v>
          </cell>
          <cell r="F548" t="str">
            <v>k</v>
          </cell>
          <cell r="G548">
            <v>0</v>
          </cell>
          <cell r="I548" t="str">
            <v>N/A</v>
          </cell>
          <cell r="J548" t="str">
            <v>N/A</v>
          </cell>
        </row>
        <row r="549">
          <cell r="C549" t="str">
            <v>Aterro Sanitário</v>
          </cell>
          <cell r="E549" t="str">
            <v>Zona Temperada Úmida</v>
          </cell>
          <cell r="F549" t="str">
            <v>k</v>
          </cell>
          <cell r="G549">
            <v>0.06</v>
          </cell>
          <cell r="I549" t="str">
            <v>N/A</v>
          </cell>
          <cell r="J549" t="str">
            <v>N/A</v>
          </cell>
        </row>
        <row r="550">
          <cell r="C550" t="str">
            <v>Aterro Sanitário</v>
          </cell>
          <cell r="E550" t="str">
            <v>Zona Temperada Úmida</v>
          </cell>
          <cell r="F550" t="str">
            <v>k</v>
          </cell>
          <cell r="G550">
            <v>0.06</v>
          </cell>
          <cell r="I550" t="str">
            <v>N/A</v>
          </cell>
          <cell r="J550" t="str">
            <v>N/A</v>
          </cell>
        </row>
        <row r="551">
          <cell r="C551" t="str">
            <v>Aterro Sanitário</v>
          </cell>
          <cell r="E551" t="str">
            <v>Zona Temperada Úmida</v>
          </cell>
          <cell r="F551" t="str">
            <v>k</v>
          </cell>
          <cell r="G551">
            <v>0.185</v>
          </cell>
          <cell r="I551" t="str">
            <v>N/A</v>
          </cell>
          <cell r="J551" t="str">
            <v>N/A</v>
          </cell>
        </row>
        <row r="552">
          <cell r="C552" t="str">
            <v>Aterro Sanitário</v>
          </cell>
          <cell r="E552" t="str">
            <v>Zona Temperada Úmida</v>
          </cell>
          <cell r="F552" t="str">
            <v>k</v>
          </cell>
          <cell r="G552">
            <v>0.03</v>
          </cell>
          <cell r="I552" t="str">
            <v>N/A</v>
          </cell>
          <cell r="J552" t="str">
            <v>N/A</v>
          </cell>
        </row>
        <row r="553">
          <cell r="C553" t="str">
            <v>Aterro Sanitário</v>
          </cell>
          <cell r="E553" t="str">
            <v>Zona Temperada Úmida</v>
          </cell>
          <cell r="F553" t="str">
            <v>k</v>
          </cell>
          <cell r="G553">
            <v>0.1</v>
          </cell>
          <cell r="I553" t="str">
            <v>N/A</v>
          </cell>
          <cell r="J553" t="str">
            <v>N/A</v>
          </cell>
        </row>
        <row r="554">
          <cell r="C554" t="str">
            <v>Aterro Sanitário</v>
          </cell>
          <cell r="E554" t="str">
            <v>Zona Temperada Úmida</v>
          </cell>
          <cell r="F554" t="str">
            <v>k</v>
          </cell>
          <cell r="G554">
            <v>0.185</v>
          </cell>
          <cell r="I554" t="str">
            <v>N/A</v>
          </cell>
          <cell r="J554" t="str">
            <v>N/A</v>
          </cell>
        </row>
        <row r="555">
          <cell r="C555" t="str">
            <v>Aterro Sanitário</v>
          </cell>
          <cell r="E555" t="str">
            <v>Zona Temperada Úmida</v>
          </cell>
          <cell r="F555" t="str">
            <v>k</v>
          </cell>
          <cell r="G555">
            <v>0</v>
          </cell>
          <cell r="I555" t="str">
            <v>N/A</v>
          </cell>
          <cell r="J555" t="str">
            <v>N/A</v>
          </cell>
        </row>
        <row r="556">
          <cell r="C556" t="str">
            <v>Aterro Sanitário</v>
          </cell>
          <cell r="E556" t="str">
            <v>Zona Temperada Úmida</v>
          </cell>
          <cell r="F556" t="str">
            <v>k</v>
          </cell>
          <cell r="G556">
            <v>0</v>
          </cell>
          <cell r="I556" t="str">
            <v>N/A</v>
          </cell>
          <cell r="J556" t="str">
            <v>N/A</v>
          </cell>
        </row>
        <row r="557">
          <cell r="C557" t="str">
            <v>Aterro Sanitário</v>
          </cell>
          <cell r="E557" t="str">
            <v>Zona Temperada Úmida</v>
          </cell>
          <cell r="F557" t="str">
            <v>k</v>
          </cell>
          <cell r="G557">
            <v>0</v>
          </cell>
          <cell r="I557" t="str">
            <v>N/A</v>
          </cell>
          <cell r="J557" t="str">
            <v>N/A</v>
          </cell>
        </row>
        <row r="558">
          <cell r="C558" t="str">
            <v>Aterro Sanitário</v>
          </cell>
          <cell r="E558" t="str">
            <v>Zona Temperada Úmida</v>
          </cell>
          <cell r="F558" t="str">
            <v>k</v>
          </cell>
          <cell r="G558">
            <v>0</v>
          </cell>
          <cell r="I558" t="str">
            <v>N/A</v>
          </cell>
          <cell r="J558" t="str">
            <v>N/A</v>
          </cell>
        </row>
        <row r="559">
          <cell r="C559" t="str">
            <v>Aterro Sanitário</v>
          </cell>
          <cell r="E559" t="str">
            <v>Zona Tropical Seca</v>
          </cell>
          <cell r="F559" t="str">
            <v>k</v>
          </cell>
          <cell r="G559">
            <v>4.4999999999999998E-2</v>
          </cell>
          <cell r="I559" t="str">
            <v>N/A</v>
          </cell>
          <cell r="J559" t="str">
            <v>N/A</v>
          </cell>
        </row>
        <row r="560">
          <cell r="C560" t="str">
            <v>Aterro Sanitário</v>
          </cell>
          <cell r="E560" t="str">
            <v>Zona Tropical Seca</v>
          </cell>
          <cell r="F560" t="str">
            <v>k</v>
          </cell>
          <cell r="G560">
            <v>4.4999999999999998E-2</v>
          </cell>
          <cell r="I560" t="str">
            <v>N/A</v>
          </cell>
          <cell r="J560" t="str">
            <v>N/A</v>
          </cell>
        </row>
        <row r="561">
          <cell r="C561" t="str">
            <v>Aterro Sanitário</v>
          </cell>
          <cell r="E561" t="str">
            <v>Zona Tropical Seca</v>
          </cell>
          <cell r="F561" t="str">
            <v>k</v>
          </cell>
          <cell r="G561">
            <v>8.5000000000000006E-2</v>
          </cell>
          <cell r="I561" t="str">
            <v>N/A</v>
          </cell>
          <cell r="J561" t="str">
            <v>N/A</v>
          </cell>
        </row>
        <row r="562">
          <cell r="C562" t="str">
            <v>Aterro Sanitário</v>
          </cell>
          <cell r="E562" t="str">
            <v>Zona Tropical Seca</v>
          </cell>
          <cell r="F562" t="str">
            <v>k</v>
          </cell>
          <cell r="G562">
            <v>2.5000000000000001E-2</v>
          </cell>
          <cell r="I562" t="str">
            <v>N/A</v>
          </cell>
          <cell r="J562" t="str">
            <v>N/A</v>
          </cell>
        </row>
        <row r="563">
          <cell r="C563" t="str">
            <v>Aterro Sanitário</v>
          </cell>
          <cell r="E563" t="str">
            <v>Zona Tropical Seca</v>
          </cell>
          <cell r="F563" t="str">
            <v>k</v>
          </cell>
          <cell r="G563">
            <v>6.5000000000000002E-2</v>
          </cell>
          <cell r="I563" t="str">
            <v>N/A</v>
          </cell>
          <cell r="J563" t="str">
            <v>N/A</v>
          </cell>
        </row>
        <row r="564">
          <cell r="C564" t="str">
            <v>Aterro Sanitário</v>
          </cell>
          <cell r="E564" t="str">
            <v>Zona Tropical Seca</v>
          </cell>
          <cell r="F564" t="str">
            <v>k</v>
          </cell>
          <cell r="G564">
            <v>8.5000000000000006E-2</v>
          </cell>
          <cell r="I564" t="str">
            <v>N/A</v>
          </cell>
          <cell r="J564" t="str">
            <v>N/A</v>
          </cell>
        </row>
        <row r="565">
          <cell r="C565" t="str">
            <v>Aterro Sanitário</v>
          </cell>
          <cell r="E565" t="str">
            <v>Zona Tropical Seca</v>
          </cell>
          <cell r="F565" t="str">
            <v>k</v>
          </cell>
          <cell r="G565">
            <v>0</v>
          </cell>
          <cell r="I565" t="str">
            <v>N/A</v>
          </cell>
          <cell r="J565" t="str">
            <v>N/A</v>
          </cell>
        </row>
        <row r="566">
          <cell r="C566" t="str">
            <v>Aterro Sanitário</v>
          </cell>
          <cell r="E566" t="str">
            <v>Zona Tropical Seca</v>
          </cell>
          <cell r="F566" t="str">
            <v>k</v>
          </cell>
          <cell r="G566">
            <v>0</v>
          </cell>
          <cell r="I566" t="str">
            <v>N/A</v>
          </cell>
          <cell r="J566" t="str">
            <v>N/A</v>
          </cell>
        </row>
        <row r="567">
          <cell r="C567" t="str">
            <v>Aterro Sanitário</v>
          </cell>
          <cell r="E567" t="str">
            <v>Zona Tropical Seca</v>
          </cell>
          <cell r="F567" t="str">
            <v>k</v>
          </cell>
          <cell r="G567">
            <v>0</v>
          </cell>
          <cell r="I567" t="str">
            <v>N/A</v>
          </cell>
          <cell r="J567" t="str">
            <v>N/A</v>
          </cell>
        </row>
        <row r="568">
          <cell r="C568" t="str">
            <v>Aterro Sanitário</v>
          </cell>
          <cell r="E568" t="str">
            <v>Zona Tropical Seca</v>
          </cell>
          <cell r="F568" t="str">
            <v>k</v>
          </cell>
          <cell r="G568">
            <v>0</v>
          </cell>
          <cell r="I568" t="str">
            <v>N/A</v>
          </cell>
          <cell r="J568" t="str">
            <v>N/A</v>
          </cell>
        </row>
        <row r="569">
          <cell r="C569" t="str">
            <v>Aterro Sanitário</v>
          </cell>
          <cell r="E569" t="str">
            <v>Zona Tropical Úmida</v>
          </cell>
          <cell r="F569" t="str">
            <v>k</v>
          </cell>
          <cell r="G569">
            <v>7.0000000000000007E-2</v>
          </cell>
          <cell r="I569" t="str">
            <v>N/A</v>
          </cell>
          <cell r="J569" t="str">
            <v>N/A</v>
          </cell>
        </row>
        <row r="570">
          <cell r="C570" t="str">
            <v>Aterro Sanitário</v>
          </cell>
          <cell r="E570" t="str">
            <v>Zona Tropical Úmida</v>
          </cell>
          <cell r="F570" t="str">
            <v>k</v>
          </cell>
          <cell r="G570">
            <v>7.0000000000000007E-2</v>
          </cell>
          <cell r="I570" t="str">
            <v>N/A</v>
          </cell>
          <cell r="J570" t="str">
            <v>N/A</v>
          </cell>
        </row>
        <row r="571">
          <cell r="C571" t="str">
            <v>Aterro Sanitário</v>
          </cell>
          <cell r="E571" t="str">
            <v>Zona Tropical Úmida</v>
          </cell>
          <cell r="F571" t="str">
            <v>k</v>
          </cell>
          <cell r="G571">
            <v>0.4</v>
          </cell>
          <cell r="I571" t="str">
            <v>N/A</v>
          </cell>
          <cell r="J571" t="str">
            <v>N/A</v>
          </cell>
        </row>
        <row r="572">
          <cell r="C572" t="str">
            <v>Aterro Sanitário</v>
          </cell>
          <cell r="E572" t="str">
            <v>Zona Tropical Úmida</v>
          </cell>
          <cell r="F572" t="str">
            <v>k</v>
          </cell>
          <cell r="G572">
            <v>3.5000000000000003E-2</v>
          </cell>
          <cell r="I572" t="str">
            <v>N/A</v>
          </cell>
          <cell r="J572" t="str">
            <v>N/A</v>
          </cell>
        </row>
        <row r="573">
          <cell r="C573" t="str">
            <v>Aterro Sanitário</v>
          </cell>
          <cell r="E573" t="str">
            <v>Zona Tropical Úmida</v>
          </cell>
          <cell r="F573" t="str">
            <v>k</v>
          </cell>
          <cell r="G573">
            <v>0.17</v>
          </cell>
          <cell r="I573" t="str">
            <v>N/A</v>
          </cell>
          <cell r="J573" t="str">
            <v>N/A</v>
          </cell>
        </row>
        <row r="574">
          <cell r="C574" t="str">
            <v>Aterro Sanitário</v>
          </cell>
          <cell r="E574" t="str">
            <v>Zona Tropical Úmida</v>
          </cell>
          <cell r="F574" t="str">
            <v>k</v>
          </cell>
          <cell r="G574">
            <v>0.4</v>
          </cell>
          <cell r="I574" t="str">
            <v>N/A</v>
          </cell>
          <cell r="J574" t="str">
            <v>N/A</v>
          </cell>
        </row>
        <row r="575">
          <cell r="C575" t="str">
            <v>Aterro Sanitário</v>
          </cell>
          <cell r="E575" t="str">
            <v>Zona Tropical Úmida</v>
          </cell>
          <cell r="F575" t="str">
            <v>k</v>
          </cell>
          <cell r="G575">
            <v>0</v>
          </cell>
          <cell r="I575" t="str">
            <v>N/A</v>
          </cell>
          <cell r="J575" t="str">
            <v>N/A</v>
          </cell>
        </row>
        <row r="576">
          <cell r="C576" t="str">
            <v>Aterro Sanitário</v>
          </cell>
          <cell r="E576" t="str">
            <v>Zona Tropical Úmida</v>
          </cell>
          <cell r="F576" t="str">
            <v>k</v>
          </cell>
          <cell r="G576">
            <v>0</v>
          </cell>
          <cell r="I576" t="str">
            <v>N/A</v>
          </cell>
          <cell r="J576" t="str">
            <v>N/A</v>
          </cell>
        </row>
        <row r="577">
          <cell r="C577" t="str">
            <v>Aterro Sanitário</v>
          </cell>
          <cell r="E577" t="str">
            <v>Zona Tropical Úmida</v>
          </cell>
          <cell r="F577" t="str">
            <v>k</v>
          </cell>
          <cell r="G577">
            <v>0</v>
          </cell>
          <cell r="I577" t="str">
            <v>N/A</v>
          </cell>
          <cell r="J577" t="str">
            <v>N/A</v>
          </cell>
        </row>
        <row r="578">
          <cell r="C578" t="str">
            <v>Aterro Sanitário</v>
          </cell>
          <cell r="E578" t="str">
            <v>Zona Tropical Úmida</v>
          </cell>
          <cell r="F578" t="str">
            <v>k</v>
          </cell>
          <cell r="G578">
            <v>0</v>
          </cell>
          <cell r="I578" t="str">
            <v>N/A</v>
          </cell>
          <cell r="J578" t="str">
            <v>N/A</v>
          </cell>
        </row>
        <row r="579">
          <cell r="C579" t="str">
            <v>Aterro Sanitário</v>
          </cell>
          <cell r="E579" t="str">
            <v>N/A</v>
          </cell>
          <cell r="F579" t="str">
            <v>X</v>
          </cell>
          <cell r="G579">
            <v>1.3333333333333333</v>
          </cell>
          <cell r="I579" t="str">
            <v>N/A</v>
          </cell>
          <cell r="J579" t="str">
            <v>N/A</v>
          </cell>
        </row>
        <row r="580">
          <cell r="C580" t="str">
            <v>Aterro Sanitário</v>
          </cell>
          <cell r="E580" t="str">
            <v>N/A</v>
          </cell>
          <cell r="F580" t="str">
            <v>DOCf</v>
          </cell>
          <cell r="G580">
            <v>0.5</v>
          </cell>
          <cell r="I580" t="str">
            <v>N/A</v>
          </cell>
          <cell r="J580" t="str">
            <v>N/A</v>
          </cell>
        </row>
        <row r="581">
          <cell r="C581" t="str">
            <v>Aterro Sanitário</v>
          </cell>
          <cell r="E581" t="str">
            <v>N/A</v>
          </cell>
          <cell r="F581" t="str">
            <v>F</v>
          </cell>
          <cell r="G581">
            <v>0.5</v>
          </cell>
          <cell r="I581" t="str">
            <v>N/A</v>
          </cell>
          <cell r="J581" t="str">
            <v>N/A</v>
          </cell>
        </row>
        <row r="582">
          <cell r="C582" t="str">
            <v>Compostagem</v>
          </cell>
          <cell r="E582" t="str">
            <v>Resíduo Seco</v>
          </cell>
          <cell r="F582" t="str">
            <v>FE Compostagem</v>
          </cell>
          <cell r="G582">
            <v>10</v>
          </cell>
          <cell r="I582" t="str">
            <v>kg CH₄</v>
          </cell>
          <cell r="J582" t="str">
            <v>t</v>
          </cell>
        </row>
        <row r="583">
          <cell r="C583" t="str">
            <v>Compostagem</v>
          </cell>
          <cell r="E583" t="str">
            <v>Resíduo Seco</v>
          </cell>
          <cell r="F583" t="str">
            <v>FE Compostagem</v>
          </cell>
          <cell r="G583">
            <v>0.6</v>
          </cell>
          <cell r="I583" t="str">
            <v>kg N₂O</v>
          </cell>
          <cell r="J583" t="str">
            <v>t</v>
          </cell>
        </row>
        <row r="584">
          <cell r="C584" t="str">
            <v>Compostagem</v>
          </cell>
          <cell r="E584" t="str">
            <v>Resíduo Úmido</v>
          </cell>
          <cell r="F584" t="str">
            <v>FE Compostagem</v>
          </cell>
          <cell r="G584">
            <v>4</v>
          </cell>
          <cell r="I584" t="str">
            <v>kg CH₄</v>
          </cell>
          <cell r="J584" t="str">
            <v>t</v>
          </cell>
        </row>
        <row r="585">
          <cell r="C585" t="str">
            <v>Compostagem</v>
          </cell>
          <cell r="E585" t="str">
            <v>Resíduo Úmido</v>
          </cell>
          <cell r="F585" t="str">
            <v>FE Compostagem</v>
          </cell>
          <cell r="G585">
            <v>0.3</v>
          </cell>
          <cell r="I585" t="str">
            <v>kg N₂O</v>
          </cell>
          <cell r="J585" t="str">
            <v>t</v>
          </cell>
        </row>
        <row r="586">
          <cell r="C586" t="str">
            <v>Tratamento de Efluentes</v>
          </cell>
          <cell r="E586" t="str">
            <v>N/A</v>
          </cell>
          <cell r="F586" t="str">
            <v>Bo</v>
          </cell>
          <cell r="G586">
            <v>0.25</v>
          </cell>
          <cell r="I586" t="str">
            <v>kg CH₄</v>
          </cell>
          <cell r="J586" t="str">
            <v>kg DQO</v>
          </cell>
        </row>
        <row r="587">
          <cell r="C587" t="str">
            <v>Tratamento de Efluentes</v>
          </cell>
          <cell r="E587" t="str">
            <v>N/A</v>
          </cell>
          <cell r="F587" t="str">
            <v>Bo</v>
          </cell>
          <cell r="G587">
            <v>0.6</v>
          </cell>
          <cell r="I587" t="str">
            <v>kg CH₄</v>
          </cell>
          <cell r="J587" t="str">
            <v>kg DBO</v>
          </cell>
        </row>
        <row r="588">
          <cell r="C588" t="str">
            <v>Tratamento de Efluentes</v>
          </cell>
          <cell r="E588" t="str">
            <v>N/A</v>
          </cell>
          <cell r="F588" t="str">
            <v>MCF</v>
          </cell>
          <cell r="G588">
            <v>0.1</v>
          </cell>
          <cell r="I588" t="str">
            <v>N/A</v>
          </cell>
          <cell r="J588" t="str">
            <v>N/A</v>
          </cell>
        </row>
        <row r="589">
          <cell r="C589" t="str">
            <v>Tratamento de Efluentes</v>
          </cell>
          <cell r="E589" t="str">
            <v>N/A</v>
          </cell>
          <cell r="F589" t="str">
            <v>MCF</v>
          </cell>
          <cell r="G589">
            <v>0</v>
          </cell>
          <cell r="I589" t="str">
            <v>N/A</v>
          </cell>
          <cell r="J589" t="str">
            <v>N/A</v>
          </cell>
        </row>
        <row r="590">
          <cell r="C590" t="str">
            <v>Tratamento de Efluentes</v>
          </cell>
          <cell r="E590" t="str">
            <v>N/A</v>
          </cell>
          <cell r="F590" t="str">
            <v>MCF</v>
          </cell>
          <cell r="G590">
            <v>0.3</v>
          </cell>
          <cell r="I590" t="str">
            <v>N/A</v>
          </cell>
          <cell r="J590" t="str">
            <v>N/A</v>
          </cell>
        </row>
        <row r="591">
          <cell r="C591" t="str">
            <v>Tratamento de Efluentes</v>
          </cell>
          <cell r="E591" t="str">
            <v>N/A</v>
          </cell>
          <cell r="F591" t="str">
            <v>MCF</v>
          </cell>
          <cell r="G591">
            <v>0.8</v>
          </cell>
          <cell r="I591" t="str">
            <v>N/A</v>
          </cell>
          <cell r="J591" t="str">
            <v>N/A</v>
          </cell>
        </row>
        <row r="592">
          <cell r="C592" t="str">
            <v>Tratamento de Efluentes</v>
          </cell>
          <cell r="E592" t="str">
            <v>N/A</v>
          </cell>
          <cell r="F592" t="str">
            <v>MCF</v>
          </cell>
          <cell r="G592">
            <v>0.8</v>
          </cell>
          <cell r="I592" t="str">
            <v>N/A</v>
          </cell>
          <cell r="J592" t="str">
            <v>N/A</v>
          </cell>
        </row>
        <row r="593">
          <cell r="C593" t="str">
            <v>Tratamento de Efluentes</v>
          </cell>
          <cell r="E593" t="str">
            <v>N/A</v>
          </cell>
          <cell r="F593" t="str">
            <v>MCF</v>
          </cell>
          <cell r="G593">
            <v>0.2</v>
          </cell>
          <cell r="I593" t="str">
            <v>N/A</v>
          </cell>
          <cell r="J593" t="str">
            <v>N/A</v>
          </cell>
        </row>
        <row r="594">
          <cell r="C594" t="str">
            <v>Tratamento de Efluentes</v>
          </cell>
          <cell r="E594" t="str">
            <v>N/A</v>
          </cell>
          <cell r="F594" t="str">
            <v>MCF</v>
          </cell>
          <cell r="G594">
            <v>0.8</v>
          </cell>
          <cell r="I594" t="str">
            <v>N/A</v>
          </cell>
          <cell r="J594" t="str">
            <v>N/A</v>
          </cell>
        </row>
        <row r="595">
          <cell r="C595" t="str">
            <v>Incineração</v>
          </cell>
          <cell r="E595" t="str">
            <v>N/A</v>
          </cell>
          <cell r="F595" t="str">
            <v>N/A</v>
          </cell>
          <cell r="G595">
            <v>0</v>
          </cell>
          <cell r="I595" t="str">
            <v>kg CO₂e</v>
          </cell>
          <cell r="J595" t="str">
            <v>kg Material</v>
          </cell>
        </row>
        <row r="596">
          <cell r="C596" t="str">
            <v>Incineração</v>
          </cell>
          <cell r="E596" t="str">
            <v>N/A</v>
          </cell>
          <cell r="F596" t="str">
            <v>N/A</v>
          </cell>
          <cell r="G596">
            <v>0</v>
          </cell>
          <cell r="I596" t="str">
            <v>kg CO₂e</v>
          </cell>
          <cell r="J596" t="str">
            <v>kg Material</v>
          </cell>
        </row>
        <row r="597">
          <cell r="C597" t="str">
            <v>Incineração</v>
          </cell>
          <cell r="E597" t="str">
            <v>N/A</v>
          </cell>
          <cell r="F597" t="str">
            <v>N/A</v>
          </cell>
          <cell r="G597">
            <v>0</v>
          </cell>
          <cell r="I597" t="str">
            <v>kg CO₂e</v>
          </cell>
          <cell r="J597" t="str">
            <v>kg Material</v>
          </cell>
        </row>
        <row r="598">
          <cell r="C598" t="str">
            <v>Incineração</v>
          </cell>
          <cell r="E598" t="str">
            <v>N/A</v>
          </cell>
          <cell r="F598" t="str">
            <v>N/A</v>
          </cell>
          <cell r="G598">
            <v>0.76</v>
          </cell>
          <cell r="I598" t="str">
            <v>kg CO₂e</v>
          </cell>
          <cell r="J598" t="str">
            <v>kg Material</v>
          </cell>
        </row>
        <row r="599">
          <cell r="C599" t="str">
            <v>Incineração</v>
          </cell>
          <cell r="E599" t="str">
            <v>N/A</v>
          </cell>
          <cell r="F599" t="str">
            <v>N/A</v>
          </cell>
          <cell r="G599">
            <v>0.56000000000000005</v>
          </cell>
          <cell r="I599" t="str">
            <v>kg CO₂e</v>
          </cell>
          <cell r="J599" t="str">
            <v>kg Material</v>
          </cell>
        </row>
        <row r="600">
          <cell r="C600" t="str">
            <v>Incineração</v>
          </cell>
          <cell r="E600" t="str">
            <v>N/A</v>
          </cell>
          <cell r="F600" t="str">
            <v>N/A</v>
          </cell>
          <cell r="G600">
            <v>0</v>
          </cell>
          <cell r="I600" t="str">
            <v>kg CO₂e</v>
          </cell>
          <cell r="J600" t="str">
            <v>kg Material</v>
          </cell>
        </row>
        <row r="601">
          <cell r="C601" t="str">
            <v>Incineração</v>
          </cell>
          <cell r="E601" t="str">
            <v>N/A</v>
          </cell>
          <cell r="F601" t="str">
            <v>N/A</v>
          </cell>
          <cell r="G601">
            <v>0</v>
          </cell>
          <cell r="I601" t="str">
            <v>kg CO₂e</v>
          </cell>
          <cell r="J601" t="str">
            <v>kg Material</v>
          </cell>
        </row>
        <row r="602">
          <cell r="C602" t="str">
            <v>Incineração</v>
          </cell>
          <cell r="E602" t="str">
            <v>N/A</v>
          </cell>
          <cell r="F602" t="str">
            <v>N/A</v>
          </cell>
          <cell r="G602">
            <v>0.47</v>
          </cell>
          <cell r="I602" t="str">
            <v>kg CO₂e</v>
          </cell>
          <cell r="J602" t="str">
            <v>kg Material</v>
          </cell>
        </row>
        <row r="603">
          <cell r="C603" t="str">
            <v>Incineração</v>
          </cell>
          <cell r="E603" t="str">
            <v>N/A</v>
          </cell>
          <cell r="F603" t="str">
            <v>N/A</v>
          </cell>
          <cell r="G603">
            <v>0.1</v>
          </cell>
          <cell r="I603" t="str">
            <v>kg CO₂e</v>
          </cell>
          <cell r="J603" t="str">
            <v>kg Material</v>
          </cell>
        </row>
        <row r="604">
          <cell r="C604" t="str">
            <v>Incineração</v>
          </cell>
          <cell r="E604" t="str">
            <v>N/A</v>
          </cell>
          <cell r="F604" t="str">
            <v>N/A</v>
          </cell>
          <cell r="G604">
            <v>2.0499999999999998</v>
          </cell>
          <cell r="I604" t="str">
            <v>kg CO₂e</v>
          </cell>
          <cell r="J604" t="str">
            <v>kg Material</v>
          </cell>
        </row>
        <row r="605">
          <cell r="C605" t="str">
            <v>Incineração</v>
          </cell>
          <cell r="E605" t="str">
            <v>N/A</v>
          </cell>
          <cell r="F605" t="str">
            <v>N/A</v>
          </cell>
          <cell r="G605">
            <v>0</v>
          </cell>
          <cell r="I605" t="str">
            <v>kg CO₂e</v>
          </cell>
          <cell r="J605" t="str">
            <v>kg Material</v>
          </cell>
        </row>
        <row r="606">
          <cell r="C606" t="str">
            <v>Incineração</v>
          </cell>
          <cell r="E606" t="str">
            <v>N/A</v>
          </cell>
          <cell r="F606" t="str">
            <v>N/A</v>
          </cell>
          <cell r="G606">
            <v>0.1</v>
          </cell>
          <cell r="I606" t="str">
            <v>kg CO₂e</v>
          </cell>
          <cell r="J606" t="str">
            <v>kg Material</v>
          </cell>
        </row>
        <row r="607">
          <cell r="C607" t="str">
            <v>Incineração</v>
          </cell>
          <cell r="E607" t="str">
            <v>N/A</v>
          </cell>
          <cell r="F607" t="str">
            <v>N/A</v>
          </cell>
          <cell r="G607">
            <v>0</v>
          </cell>
          <cell r="I607" t="str">
            <v>kg CO₂e</v>
          </cell>
          <cell r="J607" t="str">
            <v>kg Material</v>
          </cell>
        </row>
        <row r="608">
          <cell r="C608" t="str">
            <v>Incineração</v>
          </cell>
          <cell r="E608" t="str">
            <v>N/A</v>
          </cell>
          <cell r="F608" t="str">
            <v>Conteúdo de carbono na parcela seca</v>
          </cell>
          <cell r="G608">
            <v>0.6</v>
          </cell>
          <cell r="I608" t="str">
            <v>N/A</v>
          </cell>
          <cell r="J608" t="str">
            <v>N/A</v>
          </cell>
        </row>
        <row r="609">
          <cell r="C609" t="str">
            <v>Incineração</v>
          </cell>
          <cell r="E609" t="str">
            <v>N/A</v>
          </cell>
          <cell r="F609" t="str">
            <v>Conteúdo de carbono fóssil no conteúdo total de carbono</v>
          </cell>
          <cell r="G609">
            <v>0.4</v>
          </cell>
          <cell r="I609" t="str">
            <v>N/A</v>
          </cell>
          <cell r="J609" t="str">
            <v>N/A</v>
          </cell>
        </row>
        <row r="610">
          <cell r="C610" t="str">
            <v>Incineração</v>
          </cell>
          <cell r="E610" t="str">
            <v>N/A</v>
          </cell>
          <cell r="F610" t="str">
            <v>Resíduos Sólidos Municipais</v>
          </cell>
          <cell r="G610">
            <v>10</v>
          </cell>
          <cell r="I610" t="str">
            <v>GJ</v>
          </cell>
          <cell r="J610" t="str">
            <v>t</v>
          </cell>
        </row>
        <row r="611">
          <cell r="C611" t="str">
            <v>Incineração</v>
          </cell>
          <cell r="E611" t="str">
            <v>N/A</v>
          </cell>
          <cell r="F611" t="str">
            <v>Resíduos Sólidos Municipais</v>
          </cell>
          <cell r="G611">
            <v>0.3</v>
          </cell>
          <cell r="I611" t="str">
            <v>kg CH₄</v>
          </cell>
          <cell r="J611" t="str">
            <v>GJ</v>
          </cell>
        </row>
        <row r="612">
          <cell r="C612" t="str">
            <v>Incineração</v>
          </cell>
          <cell r="E612" t="str">
            <v>N/A</v>
          </cell>
          <cell r="F612" t="str">
            <v>Resíduos Sólidos Municipais</v>
          </cell>
          <cell r="G612">
            <v>4.0000000000000001E-3</v>
          </cell>
          <cell r="I612" t="str">
            <v>kg N₂O</v>
          </cell>
          <cell r="J612" t="str">
            <v>GJ</v>
          </cell>
        </row>
        <row r="613">
          <cell r="C613" t="str">
            <v>N/A</v>
          </cell>
          <cell r="E613" t="str">
            <v>Kyoto</v>
          </cell>
          <cell r="F613" t="str">
            <v>CO₂</v>
          </cell>
          <cell r="G613">
            <v>1</v>
          </cell>
          <cell r="I613" t="str">
            <v>kg CO₂</v>
          </cell>
          <cell r="J613" t="str">
            <v>kg CO₂e</v>
          </cell>
        </row>
        <row r="614">
          <cell r="C614" t="str">
            <v>N/A</v>
          </cell>
          <cell r="E614" t="str">
            <v>Kyoto</v>
          </cell>
          <cell r="F614" t="str">
            <v>CH4</v>
          </cell>
          <cell r="G614">
            <v>28</v>
          </cell>
          <cell r="I614" t="str">
            <v>kg CH₄</v>
          </cell>
          <cell r="J614" t="str">
            <v>kg CO₂e</v>
          </cell>
        </row>
        <row r="615">
          <cell r="C615" t="str">
            <v>N/A</v>
          </cell>
          <cell r="E615" t="str">
            <v>Kyoto</v>
          </cell>
          <cell r="F615" t="str">
            <v>N2O</v>
          </cell>
          <cell r="G615">
            <v>265</v>
          </cell>
          <cell r="I615" t="str">
            <v>kg N₂O</v>
          </cell>
          <cell r="J615" t="str">
            <v>kg CO₂e</v>
          </cell>
        </row>
        <row r="616">
          <cell r="C616" t="str">
            <v>N/A</v>
          </cell>
          <cell r="E616" t="str">
            <v>Kyoto</v>
          </cell>
          <cell r="F616" t="str">
            <v>SF6</v>
          </cell>
          <cell r="G616">
            <v>23900</v>
          </cell>
          <cell r="I616" t="str">
            <v>N/A</v>
          </cell>
          <cell r="J616" t="str">
            <v>N/A</v>
          </cell>
        </row>
        <row r="617">
          <cell r="C617" t="str">
            <v>N/A</v>
          </cell>
          <cell r="E617" t="str">
            <v>Montreal</v>
          </cell>
          <cell r="F617" t="str">
            <v>R-22</v>
          </cell>
          <cell r="G617">
            <v>1810</v>
          </cell>
          <cell r="I617" t="str">
            <v>N/A</v>
          </cell>
          <cell r="J617" t="str">
            <v>N/A</v>
          </cell>
        </row>
        <row r="618">
          <cell r="C618" t="str">
            <v>N/A</v>
          </cell>
          <cell r="E618" t="str">
            <v>Kyoto</v>
          </cell>
          <cell r="F618" t="str">
            <v>HFC-23</v>
          </cell>
          <cell r="G618">
            <v>14800</v>
          </cell>
          <cell r="I618" t="str">
            <v>N/A</v>
          </cell>
          <cell r="J618" t="str">
            <v>N/A</v>
          </cell>
        </row>
        <row r="619">
          <cell r="C619" t="str">
            <v>N/A</v>
          </cell>
          <cell r="E619" t="str">
            <v>Kyoto</v>
          </cell>
          <cell r="F619" t="str">
            <v>HFC-32</v>
          </cell>
          <cell r="G619">
            <v>675</v>
          </cell>
          <cell r="I619" t="str">
            <v>N/A</v>
          </cell>
          <cell r="J619" t="str">
            <v>N/A</v>
          </cell>
        </row>
        <row r="620">
          <cell r="C620" t="str">
            <v>N/A</v>
          </cell>
          <cell r="E620" t="str">
            <v>Kyoto</v>
          </cell>
          <cell r="F620" t="str">
            <v>HFC-125</v>
          </cell>
          <cell r="G620">
            <v>3500</v>
          </cell>
          <cell r="I620" t="str">
            <v>N/A</v>
          </cell>
          <cell r="J620" t="str">
            <v>N/A</v>
          </cell>
        </row>
        <row r="621">
          <cell r="C621" t="str">
            <v>N/A</v>
          </cell>
          <cell r="E621" t="str">
            <v>Kyoto</v>
          </cell>
          <cell r="F621" t="str">
            <v>HFC-134a</v>
          </cell>
          <cell r="G621">
            <v>1430</v>
          </cell>
          <cell r="I621" t="str">
            <v>N/A</v>
          </cell>
          <cell r="J621" t="str">
            <v>N/A</v>
          </cell>
        </row>
        <row r="622">
          <cell r="C622" t="str">
            <v>N/A</v>
          </cell>
          <cell r="E622" t="str">
            <v>Montreal</v>
          </cell>
          <cell r="F622" t="str">
            <v>HCFC-141b</v>
          </cell>
          <cell r="G622">
            <v>725</v>
          </cell>
          <cell r="I622" t="str">
            <v>N/A</v>
          </cell>
          <cell r="J622" t="str">
            <v>N/A</v>
          </cell>
        </row>
        <row r="623">
          <cell r="C623" t="str">
            <v>N/A</v>
          </cell>
          <cell r="E623" t="str">
            <v>Montreal</v>
          </cell>
          <cell r="F623" t="str">
            <v>HCFC-124</v>
          </cell>
          <cell r="G623">
            <v>609</v>
          </cell>
          <cell r="I623" t="str">
            <v>N/A</v>
          </cell>
          <cell r="J623" t="str">
            <v>N/A</v>
          </cell>
        </row>
        <row r="624">
          <cell r="C624" t="str">
            <v>N/A</v>
          </cell>
          <cell r="E624" t="str">
            <v>Montreal</v>
          </cell>
          <cell r="F624" t="str">
            <v>HCFC-22</v>
          </cell>
          <cell r="G624">
            <v>1810</v>
          </cell>
          <cell r="I624" t="str">
            <v>N/A</v>
          </cell>
          <cell r="J624" t="str">
            <v>N/A</v>
          </cell>
        </row>
        <row r="625">
          <cell r="C625" t="str">
            <v>N/A</v>
          </cell>
          <cell r="E625" t="str">
            <v>Kyoto</v>
          </cell>
          <cell r="F625" t="str">
            <v>HFC-143a</v>
          </cell>
          <cell r="G625">
            <v>4470</v>
          </cell>
          <cell r="I625" t="str">
            <v>N/A</v>
          </cell>
          <cell r="J625" t="str">
            <v>N/A</v>
          </cell>
        </row>
        <row r="626">
          <cell r="C626" t="str">
            <v>N/A</v>
          </cell>
          <cell r="E626" t="str">
            <v>Kyoto</v>
          </cell>
          <cell r="F626" t="str">
            <v>HFC-152a</v>
          </cell>
          <cell r="G626">
            <v>124</v>
          </cell>
          <cell r="I626" t="str">
            <v>N/A</v>
          </cell>
          <cell r="J626" t="str">
            <v>N/A</v>
          </cell>
        </row>
        <row r="627">
          <cell r="C627" t="str">
            <v>N/A</v>
          </cell>
          <cell r="E627" t="str">
            <v>Kyoto</v>
          </cell>
          <cell r="F627" t="str">
            <v>HFC-236fa</v>
          </cell>
          <cell r="G627">
            <v>9810</v>
          </cell>
          <cell r="I627" t="str">
            <v>N/A</v>
          </cell>
          <cell r="J627" t="str">
            <v>N/A</v>
          </cell>
        </row>
        <row r="628">
          <cell r="C628" t="str">
            <v>N/A</v>
          </cell>
          <cell r="E628" t="str">
            <v>Kyoto</v>
          </cell>
          <cell r="F628" t="str">
            <v>R-401A</v>
          </cell>
          <cell r="G628">
            <v>16.12</v>
          </cell>
          <cell r="I628" t="str">
            <v>N/A</v>
          </cell>
          <cell r="J628" t="str">
            <v>N/A</v>
          </cell>
        </row>
        <row r="629">
          <cell r="C629" t="str">
            <v>N/A</v>
          </cell>
          <cell r="E629" t="str">
            <v>Kyoto</v>
          </cell>
          <cell r="F629" t="str">
            <v>MP-39</v>
          </cell>
          <cell r="G629">
            <v>16.12</v>
          </cell>
          <cell r="I629" t="str">
            <v>N/A</v>
          </cell>
          <cell r="J629" t="str">
            <v>N/A</v>
          </cell>
        </row>
        <row r="630">
          <cell r="C630" t="str">
            <v>N/A</v>
          </cell>
          <cell r="E630" t="str">
            <v>Kyoto</v>
          </cell>
          <cell r="F630" t="str">
            <v>R-401B</v>
          </cell>
          <cell r="G630">
            <v>13.64</v>
          </cell>
          <cell r="I630" t="str">
            <v>N/A</v>
          </cell>
          <cell r="J630" t="str">
            <v>N/A</v>
          </cell>
        </row>
        <row r="631">
          <cell r="C631" t="str">
            <v>N/A</v>
          </cell>
          <cell r="E631" t="str">
            <v>Kyoto</v>
          </cell>
          <cell r="F631" t="str">
            <v>MP -66</v>
          </cell>
          <cell r="G631">
            <v>13.64</v>
          </cell>
          <cell r="I631" t="str">
            <v>N/A</v>
          </cell>
          <cell r="J631" t="str">
            <v>N/A</v>
          </cell>
        </row>
        <row r="632">
          <cell r="C632" t="str">
            <v>N/A</v>
          </cell>
          <cell r="E632" t="str">
            <v>Kyoto</v>
          </cell>
          <cell r="F632" t="str">
            <v>MO-29</v>
          </cell>
          <cell r="G632">
            <v>2728.95</v>
          </cell>
          <cell r="I632" t="str">
            <v>N/A</v>
          </cell>
          <cell r="J632" t="str">
            <v>N/A</v>
          </cell>
        </row>
        <row r="633">
          <cell r="C633" t="str">
            <v>N/A</v>
          </cell>
          <cell r="E633" t="str">
            <v>Kyoto</v>
          </cell>
          <cell r="F633" t="str">
            <v>R-401C</v>
          </cell>
          <cell r="G633">
            <v>21</v>
          </cell>
          <cell r="I633" t="str">
            <v>N/A</v>
          </cell>
          <cell r="J633" t="str">
            <v>N/A</v>
          </cell>
        </row>
        <row r="634">
          <cell r="C634" t="str">
            <v>N/A</v>
          </cell>
          <cell r="E634" t="str">
            <v>N/A</v>
          </cell>
          <cell r="F634" t="str">
            <v>R-402A</v>
          </cell>
          <cell r="G634">
            <v>2100</v>
          </cell>
          <cell r="I634" t="str">
            <v>N/A</v>
          </cell>
          <cell r="J634" t="str">
            <v>N/A</v>
          </cell>
        </row>
        <row r="635">
          <cell r="C635" t="str">
            <v>N/A</v>
          </cell>
          <cell r="E635" t="str">
            <v>N/A</v>
          </cell>
          <cell r="F635" t="str">
            <v>R-402B</v>
          </cell>
          <cell r="G635">
            <v>1330</v>
          </cell>
          <cell r="I635" t="str">
            <v>N/A</v>
          </cell>
          <cell r="J635" t="str">
            <v>N/A</v>
          </cell>
        </row>
        <row r="636">
          <cell r="C636" t="str">
            <v>N/A</v>
          </cell>
          <cell r="E636" t="str">
            <v>N/A</v>
          </cell>
          <cell r="F636" t="str">
            <v>R-403A</v>
          </cell>
          <cell r="G636">
            <v>1400</v>
          </cell>
          <cell r="I636" t="str">
            <v>N/A</v>
          </cell>
          <cell r="J636" t="str">
            <v>N/A</v>
          </cell>
        </row>
        <row r="637">
          <cell r="C637" t="str">
            <v>N/A</v>
          </cell>
          <cell r="E637" t="str">
            <v>N/A</v>
          </cell>
          <cell r="F637" t="str">
            <v>R-403B</v>
          </cell>
          <cell r="G637">
            <v>2730</v>
          </cell>
          <cell r="I637" t="str">
            <v>N/A</v>
          </cell>
          <cell r="J637" t="str">
            <v>N/A</v>
          </cell>
        </row>
        <row r="638">
          <cell r="C638" t="str">
            <v>N/A</v>
          </cell>
          <cell r="E638" t="str">
            <v>Kyoto</v>
          </cell>
          <cell r="F638" t="str">
            <v>R-404A</v>
          </cell>
          <cell r="G638">
            <v>3921.6</v>
          </cell>
          <cell r="I638" t="str">
            <v>N/A</v>
          </cell>
          <cell r="J638" t="str">
            <v>N/A</v>
          </cell>
        </row>
        <row r="639">
          <cell r="C639" t="str">
            <v>N/A</v>
          </cell>
          <cell r="E639" t="str">
            <v>N/A</v>
          </cell>
          <cell r="F639" t="str">
            <v>R-406A</v>
          </cell>
          <cell r="G639">
            <v>0</v>
          </cell>
          <cell r="I639" t="str">
            <v>N/A</v>
          </cell>
          <cell r="J639" t="str">
            <v>N/A</v>
          </cell>
        </row>
        <row r="640">
          <cell r="C640" t="str">
            <v>N/A</v>
          </cell>
          <cell r="E640" t="str">
            <v>Kyoto</v>
          </cell>
          <cell r="F640" t="str">
            <v>R-407A</v>
          </cell>
          <cell r="G640">
            <v>2107</v>
          </cell>
          <cell r="I640" t="str">
            <v>N/A</v>
          </cell>
          <cell r="J640" t="str">
            <v>N/A</v>
          </cell>
        </row>
        <row r="641">
          <cell r="C641" t="str">
            <v>N/A</v>
          </cell>
          <cell r="E641" t="str">
            <v>Kyoto</v>
          </cell>
          <cell r="F641" t="str">
            <v>R-407B</v>
          </cell>
          <cell r="G641">
            <v>2803.5</v>
          </cell>
          <cell r="I641" t="str">
            <v>N/A</v>
          </cell>
          <cell r="J641" t="str">
            <v>N/A</v>
          </cell>
        </row>
        <row r="642">
          <cell r="C642" t="str">
            <v>N/A</v>
          </cell>
          <cell r="E642" t="str">
            <v>Kyoto</v>
          </cell>
          <cell r="F642" t="str">
            <v>R-407C</v>
          </cell>
          <cell r="G642">
            <v>1773.85</v>
          </cell>
          <cell r="I642" t="str">
            <v>N/A</v>
          </cell>
          <cell r="J642" t="str">
            <v>N/A</v>
          </cell>
        </row>
        <row r="643">
          <cell r="C643" t="str">
            <v>N/A</v>
          </cell>
          <cell r="E643" t="str">
            <v>N/A</v>
          </cell>
          <cell r="F643" t="str">
            <v>R-407D</v>
          </cell>
          <cell r="G643">
            <v>1428</v>
          </cell>
          <cell r="I643" t="str">
            <v>N/A</v>
          </cell>
          <cell r="J643" t="str">
            <v>N/A</v>
          </cell>
        </row>
        <row r="644">
          <cell r="C644" t="str">
            <v>N/A</v>
          </cell>
          <cell r="E644" t="str">
            <v>N/A</v>
          </cell>
          <cell r="F644" t="str">
            <v>R-407E</v>
          </cell>
          <cell r="G644">
            <v>1363</v>
          </cell>
          <cell r="I644" t="str">
            <v>N/A</v>
          </cell>
          <cell r="J644" t="str">
            <v>N/A</v>
          </cell>
        </row>
        <row r="645">
          <cell r="C645" t="str">
            <v>N/A</v>
          </cell>
          <cell r="E645" t="str">
            <v>N/A</v>
          </cell>
          <cell r="F645" t="str">
            <v>R-408A</v>
          </cell>
          <cell r="G645">
            <v>1944</v>
          </cell>
          <cell r="I645" t="str">
            <v>N/A</v>
          </cell>
          <cell r="J645" t="str">
            <v>N/A</v>
          </cell>
        </row>
        <row r="646">
          <cell r="C646" t="str">
            <v>N/A</v>
          </cell>
          <cell r="E646" t="str">
            <v>N/A</v>
          </cell>
          <cell r="F646" t="str">
            <v>R-409A</v>
          </cell>
          <cell r="G646">
            <v>0</v>
          </cell>
          <cell r="I646" t="str">
            <v>N/A</v>
          </cell>
          <cell r="J646" t="str">
            <v>N/A</v>
          </cell>
        </row>
        <row r="647">
          <cell r="C647" t="str">
            <v>N/A</v>
          </cell>
          <cell r="E647" t="str">
            <v>N/A</v>
          </cell>
          <cell r="F647" t="str">
            <v>R-409B</v>
          </cell>
          <cell r="G647">
            <v>0</v>
          </cell>
          <cell r="I647" t="str">
            <v>N/A</v>
          </cell>
          <cell r="J647" t="str">
            <v>N/A</v>
          </cell>
        </row>
        <row r="648">
          <cell r="C648" t="str">
            <v>N/A</v>
          </cell>
          <cell r="E648" t="str">
            <v>N/A</v>
          </cell>
          <cell r="F648" t="str">
            <v>R-410A</v>
          </cell>
          <cell r="G648">
            <v>2087.5</v>
          </cell>
          <cell r="I648" t="str">
            <v>N/A</v>
          </cell>
          <cell r="J648" t="str">
            <v>N/A</v>
          </cell>
        </row>
        <row r="649">
          <cell r="C649" t="str">
            <v>N/A</v>
          </cell>
          <cell r="E649" t="str">
            <v>N/A</v>
          </cell>
          <cell r="F649" t="str">
            <v>R-410B</v>
          </cell>
          <cell r="G649">
            <v>2228.75</v>
          </cell>
          <cell r="I649" t="str">
            <v>N/A</v>
          </cell>
          <cell r="J649" t="str">
            <v>N/A</v>
          </cell>
        </row>
        <row r="650">
          <cell r="C650" t="str">
            <v>N/A</v>
          </cell>
          <cell r="E650" t="str">
            <v>N/A</v>
          </cell>
          <cell r="F650" t="str">
            <v>R-411A</v>
          </cell>
          <cell r="G650">
            <v>15.4</v>
          </cell>
          <cell r="I650" t="str">
            <v>N/A</v>
          </cell>
          <cell r="J650" t="str">
            <v>N/A</v>
          </cell>
        </row>
        <row r="651">
          <cell r="C651" t="str">
            <v>N/A</v>
          </cell>
          <cell r="E651" t="str">
            <v>N/A</v>
          </cell>
          <cell r="F651" t="str">
            <v>R-411B</v>
          </cell>
          <cell r="G651">
            <v>4.2</v>
          </cell>
          <cell r="I651" t="str">
            <v>N/A</v>
          </cell>
          <cell r="J651" t="str">
            <v>N/A</v>
          </cell>
        </row>
        <row r="652">
          <cell r="C652" t="str">
            <v>N/A</v>
          </cell>
          <cell r="E652" t="str">
            <v>N/A</v>
          </cell>
          <cell r="F652" t="str">
            <v>R-412A</v>
          </cell>
          <cell r="G652">
            <v>350</v>
          </cell>
          <cell r="I652" t="str">
            <v>N/A</v>
          </cell>
          <cell r="J652" t="str">
            <v>N/A</v>
          </cell>
        </row>
        <row r="653">
          <cell r="C653" t="str">
            <v>N/A</v>
          </cell>
          <cell r="E653" t="str">
            <v>N/A</v>
          </cell>
          <cell r="F653" t="str">
            <v>R-413A</v>
          </cell>
          <cell r="G653">
            <v>1774</v>
          </cell>
          <cell r="I653" t="str">
            <v>N/A</v>
          </cell>
          <cell r="J653" t="str">
            <v>N/A</v>
          </cell>
        </row>
        <row r="654">
          <cell r="C654" t="str">
            <v>N/A</v>
          </cell>
          <cell r="E654" t="str">
            <v>N/A</v>
          </cell>
          <cell r="F654" t="str">
            <v>R-414A</v>
          </cell>
          <cell r="G654">
            <v>0</v>
          </cell>
          <cell r="I654" t="str">
            <v>N/A</v>
          </cell>
          <cell r="J654" t="str">
            <v>N/A</v>
          </cell>
        </row>
        <row r="655">
          <cell r="C655" t="str">
            <v>N/A</v>
          </cell>
          <cell r="E655" t="str">
            <v>N/A</v>
          </cell>
          <cell r="F655" t="str">
            <v>R-414B</v>
          </cell>
          <cell r="G655">
            <v>0</v>
          </cell>
          <cell r="I655" t="str">
            <v>N/A</v>
          </cell>
          <cell r="J655" t="str">
            <v>N/A</v>
          </cell>
        </row>
        <row r="656">
          <cell r="C656" t="str">
            <v>N/A</v>
          </cell>
          <cell r="E656" t="str">
            <v>N/A</v>
          </cell>
          <cell r="F656" t="str">
            <v>R-415A</v>
          </cell>
          <cell r="G656">
            <v>25</v>
          </cell>
          <cell r="I656" t="str">
            <v>N/A</v>
          </cell>
          <cell r="J656" t="str">
            <v>N/A</v>
          </cell>
        </row>
        <row r="657">
          <cell r="C657" t="str">
            <v>N/A</v>
          </cell>
          <cell r="E657" t="str">
            <v>N/A</v>
          </cell>
          <cell r="F657" t="str">
            <v>R-415B</v>
          </cell>
          <cell r="G657">
            <v>105</v>
          </cell>
          <cell r="I657" t="str">
            <v>N/A</v>
          </cell>
          <cell r="J657" t="str">
            <v>N/A</v>
          </cell>
        </row>
        <row r="658">
          <cell r="C658" t="str">
            <v>N/A</v>
          </cell>
          <cell r="E658" t="str">
            <v>N/A</v>
          </cell>
          <cell r="F658" t="str">
            <v>R-416A</v>
          </cell>
          <cell r="G658">
            <v>767</v>
          </cell>
          <cell r="I658" t="str">
            <v>N/A</v>
          </cell>
          <cell r="J658" t="str">
            <v>N/A</v>
          </cell>
        </row>
        <row r="659">
          <cell r="C659" t="str">
            <v>N/A</v>
          </cell>
          <cell r="E659" t="str">
            <v>N/A</v>
          </cell>
          <cell r="F659" t="str">
            <v>R-417A</v>
          </cell>
          <cell r="G659">
            <v>1954.8</v>
          </cell>
          <cell r="I659" t="str">
            <v>N/A</v>
          </cell>
          <cell r="J659" t="str">
            <v>N/A</v>
          </cell>
        </row>
        <row r="660">
          <cell r="C660" t="str">
            <v>N/A</v>
          </cell>
          <cell r="E660" t="str">
            <v>N/A</v>
          </cell>
          <cell r="F660" t="str">
            <v>R-418A</v>
          </cell>
          <cell r="G660">
            <v>3.5</v>
          </cell>
          <cell r="I660" t="str">
            <v>N/A</v>
          </cell>
          <cell r="J660" t="str">
            <v>N/A</v>
          </cell>
        </row>
        <row r="661">
          <cell r="C661" t="str">
            <v>N/A</v>
          </cell>
          <cell r="E661" t="str">
            <v>N/A</v>
          </cell>
          <cell r="F661" t="str">
            <v>R-419A</v>
          </cell>
          <cell r="G661">
            <v>2403</v>
          </cell>
          <cell r="I661" t="str">
            <v>N/A</v>
          </cell>
          <cell r="J661" t="str">
            <v>N/A</v>
          </cell>
        </row>
        <row r="662">
          <cell r="C662" t="str">
            <v>N/A</v>
          </cell>
          <cell r="E662" t="str">
            <v>N/A</v>
          </cell>
          <cell r="F662" t="str">
            <v>R-420A</v>
          </cell>
          <cell r="G662">
            <v>1144</v>
          </cell>
          <cell r="I662" t="str">
            <v>N/A</v>
          </cell>
          <cell r="J662" t="str">
            <v>N/A</v>
          </cell>
        </row>
        <row r="663">
          <cell r="C663" t="str">
            <v>N/A</v>
          </cell>
          <cell r="E663" t="str">
            <v>N/A</v>
          </cell>
          <cell r="F663" t="str">
            <v>R-500</v>
          </cell>
          <cell r="G663">
            <v>36.68</v>
          </cell>
          <cell r="I663" t="str">
            <v>N/A</v>
          </cell>
          <cell r="J663" t="str">
            <v>N/A</v>
          </cell>
        </row>
        <row r="664">
          <cell r="C664" t="str">
            <v>N/A</v>
          </cell>
          <cell r="E664" t="str">
            <v>N/A</v>
          </cell>
          <cell r="F664" t="str">
            <v>R-501</v>
          </cell>
          <cell r="G664">
            <v>0</v>
          </cell>
          <cell r="I664" t="str">
            <v>N/A</v>
          </cell>
          <cell r="J664" t="str">
            <v>N/A</v>
          </cell>
        </row>
        <row r="665">
          <cell r="C665" t="str">
            <v>N/A</v>
          </cell>
          <cell r="E665" t="str">
            <v>N/A</v>
          </cell>
          <cell r="F665" t="str">
            <v>R-502</v>
          </cell>
          <cell r="G665">
            <v>0</v>
          </cell>
          <cell r="I665" t="str">
            <v>N/A</v>
          </cell>
          <cell r="J665" t="str">
            <v>N/A</v>
          </cell>
        </row>
        <row r="666">
          <cell r="C666" t="str">
            <v>N/A</v>
          </cell>
          <cell r="E666" t="str">
            <v>N/A</v>
          </cell>
          <cell r="F666" t="str">
            <v>R-503</v>
          </cell>
          <cell r="G666">
            <v>4691.7</v>
          </cell>
          <cell r="I666" t="str">
            <v>N/A</v>
          </cell>
          <cell r="J666" t="str">
            <v>N/A</v>
          </cell>
        </row>
        <row r="667">
          <cell r="C667" t="str">
            <v>N/A</v>
          </cell>
          <cell r="E667" t="str">
            <v>N/A</v>
          </cell>
          <cell r="F667" t="str">
            <v>R-504</v>
          </cell>
          <cell r="G667">
            <v>313.3</v>
          </cell>
          <cell r="I667" t="str">
            <v>N/A</v>
          </cell>
          <cell r="J667" t="str">
            <v>N/A</v>
          </cell>
        </row>
        <row r="668">
          <cell r="C668" t="str">
            <v>N/A</v>
          </cell>
          <cell r="E668" t="str">
            <v>N/A</v>
          </cell>
          <cell r="F668" t="str">
            <v>R-505</v>
          </cell>
          <cell r="G668">
            <v>0</v>
          </cell>
          <cell r="I668" t="str">
            <v>N/A</v>
          </cell>
          <cell r="J668" t="str">
            <v>N/A</v>
          </cell>
        </row>
        <row r="669">
          <cell r="C669" t="str">
            <v>N/A</v>
          </cell>
          <cell r="E669" t="str">
            <v>N/A</v>
          </cell>
          <cell r="F669" t="str">
            <v>R-506</v>
          </cell>
          <cell r="G669">
            <v>0</v>
          </cell>
          <cell r="I669" t="str">
            <v>N/A</v>
          </cell>
          <cell r="J669" t="str">
            <v>N/A</v>
          </cell>
        </row>
        <row r="670">
          <cell r="C670" t="str">
            <v>N/A</v>
          </cell>
          <cell r="E670" t="str">
            <v>N/A</v>
          </cell>
          <cell r="F670" t="str">
            <v>R-507 or R-507A</v>
          </cell>
          <cell r="G670">
            <v>3985</v>
          </cell>
          <cell r="I670" t="str">
            <v>N/A</v>
          </cell>
          <cell r="J670" t="str">
            <v>N/A</v>
          </cell>
        </row>
        <row r="671">
          <cell r="C671" t="str">
            <v>N/A</v>
          </cell>
          <cell r="E671" t="str">
            <v>N/A</v>
          </cell>
          <cell r="F671" t="str">
            <v>R-508A</v>
          </cell>
          <cell r="G671">
            <v>13214</v>
          </cell>
          <cell r="I671" t="str">
            <v>N/A</v>
          </cell>
          <cell r="J671" t="str">
            <v>N/A</v>
          </cell>
        </row>
        <row r="672">
          <cell r="C672" t="str">
            <v>N/A</v>
          </cell>
          <cell r="E672" t="str">
            <v>N/A</v>
          </cell>
          <cell r="F672" t="str">
            <v>R-508B</v>
          </cell>
          <cell r="G672">
            <v>13396</v>
          </cell>
          <cell r="I672" t="str">
            <v>N/A</v>
          </cell>
          <cell r="J672" t="str">
            <v>N/A</v>
          </cell>
        </row>
        <row r="673">
          <cell r="C673" t="str">
            <v>N/A</v>
          </cell>
          <cell r="E673" t="str">
            <v>N/A</v>
          </cell>
          <cell r="F673" t="str">
            <v>R-509 or R-509A</v>
          </cell>
          <cell r="G673">
            <v>3920</v>
          </cell>
          <cell r="I673" t="str">
            <v>N/A</v>
          </cell>
          <cell r="J673" t="str">
            <v>N/A</v>
          </cell>
        </row>
        <row r="674">
          <cell r="C674" t="str">
            <v>N/A</v>
          </cell>
          <cell r="E674" t="str">
            <v>N/A</v>
          </cell>
          <cell r="F674" t="str">
            <v>R-510 or R-510A</v>
          </cell>
          <cell r="G674">
            <v>0.88012000000000001</v>
          </cell>
          <cell r="I674" t="str">
            <v>N/A</v>
          </cell>
          <cell r="J674" t="str">
            <v>N/A</v>
          </cell>
        </row>
        <row r="675">
          <cell r="C675" t="str">
            <v>N/A</v>
          </cell>
          <cell r="E675" t="str">
            <v>N/A</v>
          </cell>
          <cell r="F675" t="str">
            <v>R-600A</v>
          </cell>
          <cell r="G675">
            <v>1E-3</v>
          </cell>
          <cell r="I675" t="str">
            <v>N/A</v>
          </cell>
          <cell r="J675" t="str">
            <v>N/A</v>
          </cell>
        </row>
        <row r="676">
          <cell r="C676" t="str">
            <v>N/A</v>
          </cell>
          <cell r="E676" t="str">
            <v>N/A</v>
          </cell>
          <cell r="F676" t="str">
            <v>HE-E170</v>
          </cell>
          <cell r="G676">
            <v>1</v>
          </cell>
          <cell r="I676" t="str">
            <v>N/A</v>
          </cell>
          <cell r="J676" t="str">
            <v>N/A</v>
          </cell>
        </row>
        <row r="677">
          <cell r="C677" t="str">
            <v>N/A</v>
          </cell>
          <cell r="E677" t="str">
            <v>Kyoto</v>
          </cell>
          <cell r="F677" t="str">
            <v>PFC-218 (C3F8)</v>
          </cell>
          <cell r="G677">
            <v>8830</v>
          </cell>
          <cell r="I677" t="str">
            <v>N/A</v>
          </cell>
          <cell r="J677" t="str">
            <v>N/A</v>
          </cell>
        </row>
        <row r="678">
          <cell r="C678" t="str">
            <v>N/A</v>
          </cell>
          <cell r="E678" t="str">
            <v>Kyoto</v>
          </cell>
          <cell r="F678" t="str">
            <v>PFC-116 (C2F6)</v>
          </cell>
          <cell r="G678">
            <v>12200</v>
          </cell>
          <cell r="I678" t="str">
            <v>N/A</v>
          </cell>
          <cell r="J678" t="str">
            <v>N/A</v>
          </cell>
        </row>
        <row r="679">
          <cell r="C679" t="str">
            <v>N/A</v>
          </cell>
          <cell r="E679" t="str">
            <v>Kyoto</v>
          </cell>
          <cell r="F679" t="str">
            <v>PFC-14 (CF₄)</v>
          </cell>
          <cell r="G679">
            <v>7390</v>
          </cell>
          <cell r="I679" t="str">
            <v>N/A</v>
          </cell>
          <cell r="J679" t="str">
            <v>N/A</v>
          </cell>
        </row>
        <row r="680">
          <cell r="C680" t="str">
            <v>Fertilizantes</v>
          </cell>
          <cell r="E680" t="str">
            <v>N/A</v>
          </cell>
          <cell r="F680" t="str">
            <v>Volatilização</v>
          </cell>
          <cell r="G680">
            <v>0.1</v>
          </cell>
          <cell r="I680" t="str">
            <v>N/A</v>
          </cell>
          <cell r="J680" t="str">
            <v>N/A</v>
          </cell>
        </row>
        <row r="681">
          <cell r="C681" t="str">
            <v>Fertilizantes</v>
          </cell>
          <cell r="E681" t="str">
            <v>N/A</v>
          </cell>
          <cell r="F681" t="str">
            <v>Lixiviação / Run-Off</v>
          </cell>
          <cell r="G681">
            <v>0.3</v>
          </cell>
          <cell r="I681" t="str">
            <v>N/A</v>
          </cell>
          <cell r="J681" t="str">
            <v>N/A</v>
          </cell>
        </row>
        <row r="682">
          <cell r="C682" t="str">
            <v>Fertilizantes</v>
          </cell>
          <cell r="E682" t="str">
            <v>N/A</v>
          </cell>
          <cell r="F682" t="str">
            <v>Aplicação</v>
          </cell>
          <cell r="G682">
            <v>0.01</v>
          </cell>
          <cell r="I682" t="str">
            <v>N/A</v>
          </cell>
          <cell r="J682" t="str">
            <v>N/A</v>
          </cell>
        </row>
        <row r="683">
          <cell r="C683" t="str">
            <v>Fertilizantes</v>
          </cell>
          <cell r="E683" t="str">
            <v>N/A</v>
          </cell>
          <cell r="F683" t="str">
            <v>Volatilização</v>
          </cell>
          <cell r="G683">
            <v>0.01</v>
          </cell>
          <cell r="I683" t="str">
            <v>N/A</v>
          </cell>
          <cell r="J683" t="str">
            <v>N/A</v>
          </cell>
        </row>
        <row r="684">
          <cell r="C684" t="str">
            <v>Fertilizantes</v>
          </cell>
          <cell r="E684" t="str">
            <v>N/A</v>
          </cell>
          <cell r="F684" t="str">
            <v>Lixiviação / Run-Off</v>
          </cell>
          <cell r="G684">
            <v>7.4999999999999997E-3</v>
          </cell>
          <cell r="I684" t="str">
            <v>N/A</v>
          </cell>
          <cell r="J684" t="str">
            <v>N/A</v>
          </cell>
        </row>
        <row r="685">
          <cell r="C685" t="str">
            <v>Fertilizantes</v>
          </cell>
          <cell r="E685" t="str">
            <v>N/A</v>
          </cell>
          <cell r="F685" t="str">
            <v>Volatilização</v>
          </cell>
          <cell r="G685">
            <v>1E-3</v>
          </cell>
          <cell r="I685" t="str">
            <v>kg N₂O volatilização</v>
          </cell>
          <cell r="J685" t="str">
            <v>kg</v>
          </cell>
        </row>
        <row r="686">
          <cell r="C686" t="str">
            <v>Fertilizantes</v>
          </cell>
          <cell r="E686" t="str">
            <v>N/A</v>
          </cell>
          <cell r="F686" t="str">
            <v>Lixiviação / Run-Off</v>
          </cell>
          <cell r="G686">
            <v>2.2499999999999998E-3</v>
          </cell>
          <cell r="I686" t="str">
            <v>kg N₂O lixiviação</v>
          </cell>
          <cell r="J686" t="str">
            <v>kg</v>
          </cell>
        </row>
        <row r="687">
          <cell r="C687" t="str">
            <v>Viagens Aéreas</v>
          </cell>
          <cell r="E687" t="str">
            <v>Average Passenger</v>
          </cell>
          <cell r="F687" t="str">
            <v>Distância até 463 km</v>
          </cell>
          <cell r="G687">
            <v>0.17095299999999999</v>
          </cell>
          <cell r="I687" t="str">
            <v>kg CO₂</v>
          </cell>
          <cell r="J687" t="str">
            <v>p-km</v>
          </cell>
        </row>
        <row r="688">
          <cell r="C688" t="str">
            <v>Viagens Aéreas</v>
          </cell>
          <cell r="E688" t="str">
            <v>Average Passenger</v>
          </cell>
          <cell r="F688" t="str">
            <v>Distância até 463 km</v>
          </cell>
          <cell r="G688">
            <v>4.25E-6</v>
          </cell>
          <cell r="I688" t="str">
            <v>kg CH₄</v>
          </cell>
          <cell r="J688" t="str">
            <v>p-km</v>
          </cell>
        </row>
        <row r="689">
          <cell r="C689" t="str">
            <v>Viagens Aéreas</v>
          </cell>
          <cell r="E689" t="str">
            <v>Average Passenger</v>
          </cell>
          <cell r="F689" t="str">
            <v>Distância até 463 km</v>
          </cell>
          <cell r="G689">
            <v>6.3584905660377362E-6</v>
          </cell>
          <cell r="I689" t="str">
            <v>kg N₂O</v>
          </cell>
          <cell r="J689" t="str">
            <v>p-km</v>
          </cell>
        </row>
        <row r="690">
          <cell r="C690" t="str">
            <v>Viagens Aéreas</v>
          </cell>
          <cell r="E690" t="str">
            <v>Average Passenger</v>
          </cell>
          <cell r="F690" t="str">
            <v>Distância de 463 até 3.700 km</v>
          </cell>
          <cell r="G690">
            <v>0.10076400000000001</v>
          </cell>
          <cell r="I690" t="str">
            <v>kg CO₂</v>
          </cell>
          <cell r="J690" t="str">
            <v>p-km</v>
          </cell>
        </row>
        <row r="691">
          <cell r="C691" t="str">
            <v>Viagens Aéreas</v>
          </cell>
          <cell r="E691" t="str">
            <v>Average Passenger</v>
          </cell>
          <cell r="F691" t="str">
            <v>Distância de 463 até 3.700 km</v>
          </cell>
          <cell r="G691">
            <v>3.9285714285714286E-7</v>
          </cell>
          <cell r="I691" t="str">
            <v>kg CH₄</v>
          </cell>
          <cell r="J691" t="str">
            <v>p-km</v>
          </cell>
        </row>
        <row r="692">
          <cell r="C692" t="str">
            <v>Viagens Aéreas</v>
          </cell>
          <cell r="E692" t="str">
            <v>Average Passenger</v>
          </cell>
          <cell r="F692" t="str">
            <v>Distância de 463 até 3.700 km</v>
          </cell>
          <cell r="G692">
            <v>3.7509433962264155E-6</v>
          </cell>
          <cell r="I692" t="str">
            <v>kg N₂O</v>
          </cell>
          <cell r="J692" t="str">
            <v>p-km</v>
          </cell>
        </row>
        <row r="693">
          <cell r="C693" t="str">
            <v>Viagens Aéreas</v>
          </cell>
          <cell r="E693" t="str">
            <v>Average Passenger</v>
          </cell>
          <cell r="F693" t="str">
            <v>Distância acima de 3.700 km</v>
          </cell>
          <cell r="G693">
            <v>0.118606</v>
          </cell>
          <cell r="I693" t="str">
            <v>kg CO₂</v>
          </cell>
          <cell r="J693" t="str">
            <v>p-km</v>
          </cell>
        </row>
        <row r="694">
          <cell r="C694" t="str">
            <v>Viagens Aéreas</v>
          </cell>
          <cell r="E694" t="str">
            <v>Average Passenger</v>
          </cell>
          <cell r="F694" t="str">
            <v>Distância acima de 3.700 km</v>
          </cell>
          <cell r="G694">
            <v>3.9285714285714286E-7</v>
          </cell>
          <cell r="I694" t="str">
            <v>kg CH₄</v>
          </cell>
          <cell r="J694" t="str">
            <v>p-km</v>
          </cell>
        </row>
        <row r="695">
          <cell r="C695" t="str">
            <v>Viagens Aéreas</v>
          </cell>
          <cell r="E695" t="str">
            <v>Average Passenger</v>
          </cell>
          <cell r="F695" t="str">
            <v>Distância acima de 3.700 km</v>
          </cell>
          <cell r="G695">
            <v>4.3999999999999994E-6</v>
          </cell>
          <cell r="I695" t="str">
            <v>kg N₂O</v>
          </cell>
          <cell r="J695" t="str">
            <v>p-km</v>
          </cell>
        </row>
        <row r="696">
          <cell r="C696" t="str">
            <v>Viagens Aéreas-Carga</v>
          </cell>
          <cell r="E696" t="str">
            <v>Freight Flight</v>
          </cell>
          <cell r="F696" t="str">
            <v>Distância até 463 km</v>
          </cell>
          <cell r="G696">
            <v>2.1653568000000001</v>
          </cell>
          <cell r="I696" t="str">
            <v>kg CO2</v>
          </cell>
          <cell r="J696" t="str">
            <v>t-km</v>
          </cell>
        </row>
        <row r="697">
          <cell r="C697" t="str">
            <v>Viagens Aéreas-Carga</v>
          </cell>
          <cell r="E697" t="str">
            <v>Freight Flight</v>
          </cell>
          <cell r="F697" t="str">
            <v>Distância até 463 km</v>
          </cell>
          <cell r="G697">
            <v>5.2071428571428573E-5</v>
          </cell>
          <cell r="I697" t="str">
            <v>kg CH₄</v>
          </cell>
          <cell r="J697" t="str">
            <v>t-km</v>
          </cell>
        </row>
        <row r="698">
          <cell r="C698" t="str">
            <v>Viagens Aéreas-Carga</v>
          </cell>
          <cell r="E698" t="str">
            <v>Freight Flight</v>
          </cell>
          <cell r="F698" t="str">
            <v>Distância até 463 km</v>
          </cell>
          <cell r="G698">
            <v>8.0449811320754721E-5</v>
          </cell>
          <cell r="I698" t="str">
            <v>kg N₂O</v>
          </cell>
          <cell r="J698" t="str">
            <v>t-km</v>
          </cell>
        </row>
        <row r="699">
          <cell r="C699" t="str">
            <v>Viagens Aéreas-Carga</v>
          </cell>
          <cell r="E699" t="str">
            <v>Freight Flight</v>
          </cell>
          <cell r="F699" t="str">
            <v>Distância de 463 até 3.700 km</v>
          </cell>
          <cell r="G699">
            <v>1.346868</v>
          </cell>
          <cell r="I699" t="str">
            <v>kg CO₂</v>
          </cell>
          <cell r="J699" t="str">
            <v>t-km</v>
          </cell>
        </row>
        <row r="700">
          <cell r="C700" t="str">
            <v>Viagens Aéreas-Carga</v>
          </cell>
          <cell r="E700" t="str">
            <v>Freight Flight</v>
          </cell>
          <cell r="F700" t="str">
            <v>Distância de 463 até 3.700 km</v>
          </cell>
          <cell r="G700">
            <v>2.7E-6</v>
          </cell>
          <cell r="I700" t="str">
            <v>kg CH₄</v>
          </cell>
          <cell r="J700" t="str">
            <v>t-km</v>
          </cell>
        </row>
        <row r="701">
          <cell r="C701" t="str">
            <v>Viagens Aéreas-Carga</v>
          </cell>
          <cell r="E701" t="str">
            <v>Freight Flight</v>
          </cell>
          <cell r="F701" t="str">
            <v>Distância de 463 até 3.700 km</v>
          </cell>
          <cell r="G701">
            <v>5.0006037735849061E-5</v>
          </cell>
          <cell r="I701" t="str">
            <v>kg N₂O</v>
          </cell>
          <cell r="J701" t="str">
            <v>t-km</v>
          </cell>
        </row>
        <row r="702">
          <cell r="C702" t="str">
            <v>Viagens Aéreas-Carga</v>
          </cell>
          <cell r="E702" t="str">
            <v>Freight Flight</v>
          </cell>
          <cell r="F702" t="str">
            <v>Distância acima de 3.700 km</v>
          </cell>
          <cell r="G702">
            <v>0.6851952</v>
          </cell>
          <cell r="I702" t="str">
            <v>kg CO₂</v>
          </cell>
          <cell r="J702" t="str">
            <v>t-km</v>
          </cell>
        </row>
        <row r="703">
          <cell r="C703" t="str">
            <v>Viagens Aéreas-Carga</v>
          </cell>
          <cell r="E703" t="str">
            <v>Freight Flight</v>
          </cell>
          <cell r="F703" t="str">
            <v>Distância acima de 3.700 km</v>
          </cell>
          <cell r="G703">
            <v>1.5428571428571428E-6</v>
          </cell>
          <cell r="I703" t="str">
            <v>kg CH₄</v>
          </cell>
          <cell r="J703" t="str">
            <v>t-km</v>
          </cell>
        </row>
        <row r="704">
          <cell r="C704" t="str">
            <v>Viagens Aéreas-Carga</v>
          </cell>
          <cell r="E704" t="str">
            <v>Freight Flight</v>
          </cell>
          <cell r="F704" t="str">
            <v>Distância acima de 3.700 km</v>
          </cell>
          <cell r="G704">
            <v>2.5430943396226415E-5</v>
          </cell>
          <cell r="I704" t="str">
            <v>kg N₂O</v>
          </cell>
          <cell r="J704" t="str">
            <v>t-km</v>
          </cell>
        </row>
        <row r="705">
          <cell r="C705" t="str">
            <v>Fontes Estacionárias</v>
          </cell>
          <cell r="E705" t="str">
            <v>Construção e Manufatura</v>
          </cell>
          <cell r="F705" t="str">
            <v>Mínimo</v>
          </cell>
          <cell r="G705">
            <v>54.3</v>
          </cell>
          <cell r="I705" t="str">
            <v>kg CO₂</v>
          </cell>
          <cell r="J705" t="str">
            <v>GJ</v>
          </cell>
        </row>
        <row r="706">
          <cell r="C706" t="str">
            <v>Fontes Estacionárias</v>
          </cell>
          <cell r="E706" t="str">
            <v>Construção e Manufatura</v>
          </cell>
          <cell r="F706" t="str">
            <v>Máximo</v>
          </cell>
          <cell r="G706">
            <v>58.3</v>
          </cell>
          <cell r="I706" t="str">
            <v>kg CO₂</v>
          </cell>
          <cell r="J706" t="str">
            <v>GJ</v>
          </cell>
        </row>
        <row r="707">
          <cell r="C707" t="str">
            <v>Fontes Estacionárias</v>
          </cell>
          <cell r="E707" t="str">
            <v>Construção e Manufatura</v>
          </cell>
          <cell r="F707" t="str">
            <v>Default</v>
          </cell>
          <cell r="G707">
            <v>56.1</v>
          </cell>
          <cell r="I707" t="str">
            <v>kg CO₂</v>
          </cell>
          <cell r="J707" t="str">
            <v>GJ</v>
          </cell>
        </row>
        <row r="708">
          <cell r="C708" t="str">
            <v>Fontes Estacionárias</v>
          </cell>
          <cell r="E708" t="str">
            <v>Construção e Manufatura</v>
          </cell>
          <cell r="F708" t="str">
            <v>Mínimo</v>
          </cell>
          <cell r="G708">
            <v>2.9999999999999997E-4</v>
          </cell>
          <cell r="I708" t="str">
            <v>kg CH₄</v>
          </cell>
          <cell r="J708" t="str">
            <v>GJ</v>
          </cell>
        </row>
        <row r="709">
          <cell r="C709" t="str">
            <v>Fontes Estacionárias</v>
          </cell>
          <cell r="E709" t="str">
            <v>Construção e Manufatura</v>
          </cell>
          <cell r="F709" t="str">
            <v>Máximo</v>
          </cell>
          <cell r="G709">
            <v>3.0000000000000001E-3</v>
          </cell>
          <cell r="I709" t="str">
            <v>kg CH₄</v>
          </cell>
          <cell r="J709" t="str">
            <v>GJ</v>
          </cell>
        </row>
        <row r="710">
          <cell r="C710" t="str">
            <v>Fontes Estacionárias</v>
          </cell>
          <cell r="E710" t="str">
            <v>Construção e Manufatura</v>
          </cell>
          <cell r="F710" t="str">
            <v>Default</v>
          </cell>
          <cell r="G710">
            <v>1E-3</v>
          </cell>
          <cell r="I710" t="str">
            <v>kg CH₄</v>
          </cell>
          <cell r="J710" t="str">
            <v>GJ</v>
          </cell>
        </row>
        <row r="711">
          <cell r="C711" t="str">
            <v>Fontes Estacionárias</v>
          </cell>
          <cell r="E711" t="str">
            <v>Construção e Manufatura</v>
          </cell>
          <cell r="F711" t="str">
            <v>Mínimo</v>
          </cell>
          <cell r="G711">
            <v>2.9999999999999997E-5</v>
          </cell>
          <cell r="I711" t="str">
            <v>kg N₂O</v>
          </cell>
          <cell r="J711" t="str">
            <v>GJ</v>
          </cell>
        </row>
        <row r="712">
          <cell r="C712" t="str">
            <v>Fontes Estacionárias</v>
          </cell>
          <cell r="E712" t="str">
            <v>Construção e Manufatura</v>
          </cell>
          <cell r="F712" t="str">
            <v>Máximo</v>
          </cell>
          <cell r="G712">
            <v>2.9999999999999997E-4</v>
          </cell>
          <cell r="I712" t="str">
            <v>kg N₂O</v>
          </cell>
          <cell r="J712" t="str">
            <v>GJ</v>
          </cell>
        </row>
        <row r="713">
          <cell r="C713" t="str">
            <v>Fontes Estacionárias</v>
          </cell>
          <cell r="E713" t="str">
            <v>Construção e Manufatura</v>
          </cell>
          <cell r="F713" t="str">
            <v>Default</v>
          </cell>
          <cell r="G713">
            <v>1E-4</v>
          </cell>
          <cell r="I713" t="str">
            <v>kg N₂O</v>
          </cell>
          <cell r="J713" t="str">
            <v>GJ</v>
          </cell>
        </row>
        <row r="714">
          <cell r="C714" t="str">
            <v>Fontes Estacionárias</v>
          </cell>
          <cell r="E714" t="str">
            <v>Construção e Manufatura</v>
          </cell>
          <cell r="F714" t="str">
            <v>Mínimo</v>
          </cell>
          <cell r="G714">
            <v>80.7</v>
          </cell>
          <cell r="I714" t="str">
            <v>kg CO₂</v>
          </cell>
          <cell r="J714" t="str">
            <v>GJ</v>
          </cell>
        </row>
        <row r="715">
          <cell r="C715" t="str">
            <v>Fontes Estacionárias</v>
          </cell>
          <cell r="E715" t="str">
            <v>Construção e Manufatura</v>
          </cell>
          <cell r="F715" t="str">
            <v>Máximo</v>
          </cell>
          <cell r="G715">
            <v>110</v>
          </cell>
          <cell r="I715" t="str">
            <v>kg CO₂</v>
          </cell>
          <cell r="J715" t="str">
            <v>GJ</v>
          </cell>
        </row>
        <row r="716">
          <cell r="C716" t="str">
            <v>Fontes Estacionárias</v>
          </cell>
          <cell r="E716" t="str">
            <v>Construção e Manufatura</v>
          </cell>
          <cell r="F716" t="str">
            <v>Default</v>
          </cell>
          <cell r="G716">
            <v>95.3</v>
          </cell>
          <cell r="I716" t="str">
            <v>kg CO₂</v>
          </cell>
          <cell r="J716" t="str">
            <v>GJ</v>
          </cell>
        </row>
        <row r="717">
          <cell r="C717" t="str">
            <v>Fontes Estacionárias</v>
          </cell>
          <cell r="E717" t="str">
            <v>Construção e Manufatura</v>
          </cell>
          <cell r="F717" t="str">
            <v>Mínimo</v>
          </cell>
          <cell r="G717">
            <v>1E-3</v>
          </cell>
          <cell r="I717" t="str">
            <v>kg CH₄</v>
          </cell>
          <cell r="J717" t="str">
            <v>GJ</v>
          </cell>
        </row>
        <row r="718">
          <cell r="C718" t="str">
            <v>Fontes Estacionárias</v>
          </cell>
          <cell r="E718" t="str">
            <v>Construção e Manufatura</v>
          </cell>
          <cell r="F718" t="str">
            <v>Máximo</v>
          </cell>
          <cell r="G718">
            <v>1.7999999999999999E-2</v>
          </cell>
          <cell r="I718" t="str">
            <v>kg CH₄</v>
          </cell>
          <cell r="J718" t="str">
            <v>GJ</v>
          </cell>
        </row>
        <row r="719">
          <cell r="C719" t="str">
            <v>Fontes Estacionárias</v>
          </cell>
          <cell r="E719" t="str">
            <v>Construção e Manufatura</v>
          </cell>
          <cell r="F719" t="str">
            <v>Default</v>
          </cell>
          <cell r="G719">
            <v>3.0000000000000001E-3</v>
          </cell>
          <cell r="I719" t="str">
            <v>kg CH₄</v>
          </cell>
          <cell r="J719" t="str">
            <v>GJ</v>
          </cell>
        </row>
        <row r="720">
          <cell r="C720" t="str">
            <v>Fontes Estacionárias</v>
          </cell>
          <cell r="E720" t="str">
            <v>Construção e Manufatura</v>
          </cell>
          <cell r="F720" t="str">
            <v>Mínimo</v>
          </cell>
          <cell r="G720">
            <v>1E-3</v>
          </cell>
          <cell r="I720" t="str">
            <v>kg N₂O</v>
          </cell>
          <cell r="J720" t="str">
            <v>GJ</v>
          </cell>
        </row>
        <row r="721">
          <cell r="C721" t="str">
            <v>Fontes Estacionárias</v>
          </cell>
          <cell r="E721" t="str">
            <v>Construção e Manufatura</v>
          </cell>
          <cell r="F721" t="str">
            <v>Máximo</v>
          </cell>
          <cell r="G721">
            <v>2.1000000000000001E-2</v>
          </cell>
          <cell r="I721" t="str">
            <v>kg N₂O</v>
          </cell>
          <cell r="J721" t="str">
            <v>GJ</v>
          </cell>
        </row>
        <row r="722">
          <cell r="C722" t="str">
            <v>Fontes Estacionárias</v>
          </cell>
          <cell r="E722" t="str">
            <v>Construção e Manufatura</v>
          </cell>
          <cell r="F722" t="str">
            <v>Default</v>
          </cell>
          <cell r="G722">
            <v>2E-3</v>
          </cell>
          <cell r="I722" t="str">
            <v>kg N₂O</v>
          </cell>
          <cell r="J722" t="str">
            <v>GJ</v>
          </cell>
        </row>
        <row r="723">
          <cell r="C723" t="str">
            <v>Fontes Estacionárias</v>
          </cell>
          <cell r="E723" t="str">
            <v>Construção e Manufatura</v>
          </cell>
          <cell r="F723" t="str">
            <v>Mínimo</v>
          </cell>
          <cell r="G723">
            <v>70.8</v>
          </cell>
          <cell r="I723" t="str">
            <v>kg CO₂</v>
          </cell>
          <cell r="J723" t="str">
            <v>GJ</v>
          </cell>
        </row>
        <row r="724">
          <cell r="C724" t="str">
            <v>Fontes Estacionárias</v>
          </cell>
          <cell r="E724" t="str">
            <v>Construção e Manufatura</v>
          </cell>
          <cell r="F724" t="str">
            <v>Máximo</v>
          </cell>
          <cell r="G724">
            <v>73.7</v>
          </cell>
          <cell r="I724" t="str">
            <v>kg CO₂</v>
          </cell>
          <cell r="J724" t="str">
            <v>GJ</v>
          </cell>
        </row>
        <row r="725">
          <cell r="C725" t="str">
            <v>Fontes Estacionárias</v>
          </cell>
          <cell r="E725" t="str">
            <v>Construção e Manufatura</v>
          </cell>
          <cell r="F725" t="str">
            <v>Default</v>
          </cell>
          <cell r="G725">
            <v>71.900000000000006</v>
          </cell>
          <cell r="I725" t="str">
            <v>kg CO₂</v>
          </cell>
          <cell r="J725" t="str">
            <v>GJ</v>
          </cell>
        </row>
        <row r="726">
          <cell r="C726" t="str">
            <v>Fontes Estacionárias</v>
          </cell>
          <cell r="E726" t="str">
            <v>Construção e Manufatura</v>
          </cell>
          <cell r="F726" t="str">
            <v>Mínimo</v>
          </cell>
          <cell r="G726">
            <v>1E-3</v>
          </cell>
          <cell r="I726" t="str">
            <v>kg CH₄</v>
          </cell>
          <cell r="J726" t="str">
            <v>GJ</v>
          </cell>
        </row>
        <row r="727">
          <cell r="C727" t="str">
            <v>Fontes Estacionárias</v>
          </cell>
          <cell r="E727" t="str">
            <v>Construção e Manufatura</v>
          </cell>
          <cell r="F727" t="str">
            <v>Máximo</v>
          </cell>
          <cell r="G727">
            <v>0.01</v>
          </cell>
          <cell r="I727" t="str">
            <v>kg CH₄</v>
          </cell>
          <cell r="J727" t="str">
            <v>GJ</v>
          </cell>
        </row>
        <row r="728">
          <cell r="C728" t="str">
            <v>Fontes Estacionárias</v>
          </cell>
          <cell r="E728" t="str">
            <v>Construção e Manufatura</v>
          </cell>
          <cell r="F728" t="str">
            <v>Default</v>
          </cell>
          <cell r="G728">
            <v>3.0000000000000001E-3</v>
          </cell>
          <cell r="I728" t="str">
            <v>kg CH₄</v>
          </cell>
          <cell r="J728" t="str">
            <v>GJ</v>
          </cell>
        </row>
        <row r="729">
          <cell r="C729" t="str">
            <v>Fontes Estacionárias</v>
          </cell>
          <cell r="E729" t="str">
            <v>Construção e Manufatura</v>
          </cell>
          <cell r="F729" t="str">
            <v>Mínimo</v>
          </cell>
          <cell r="G729">
            <v>2.0000000000000001E-4</v>
          </cell>
          <cell r="I729" t="str">
            <v>kg N₂O</v>
          </cell>
          <cell r="J729" t="str">
            <v>GJ</v>
          </cell>
        </row>
        <row r="730">
          <cell r="C730" t="str">
            <v>Fontes Estacionárias</v>
          </cell>
          <cell r="E730" t="str">
            <v>Construção e Manufatura</v>
          </cell>
          <cell r="F730" t="str">
            <v>Máximo</v>
          </cell>
          <cell r="G730">
            <v>2E-3</v>
          </cell>
          <cell r="I730" t="str">
            <v>kg N₂O</v>
          </cell>
          <cell r="J730" t="str">
            <v>GJ</v>
          </cell>
        </row>
        <row r="731">
          <cell r="C731" t="str">
            <v>Fontes Estacionárias</v>
          </cell>
          <cell r="E731" t="str">
            <v>Construção e Manufatura</v>
          </cell>
          <cell r="F731" t="str">
            <v>Default</v>
          </cell>
          <cell r="G731">
            <v>5.9999999999999995E-4</v>
          </cell>
          <cell r="I731" t="str">
            <v>kg N₂O</v>
          </cell>
          <cell r="J731" t="str">
            <v>GJ</v>
          </cell>
        </row>
        <row r="732">
          <cell r="C732" t="str">
            <v>Fontes Estacionárias</v>
          </cell>
          <cell r="E732" t="str">
            <v>Construção e Manufatura</v>
          </cell>
          <cell r="F732" t="str">
            <v>Mínimo</v>
          </cell>
          <cell r="G732">
            <v>54.3</v>
          </cell>
          <cell r="I732" t="str">
            <v>kg CO₂</v>
          </cell>
          <cell r="J732" t="str">
            <v>GJ</v>
          </cell>
        </row>
        <row r="733">
          <cell r="C733" t="str">
            <v>Fontes Estacionárias</v>
          </cell>
          <cell r="E733" t="str">
            <v>Construção e Manufatura</v>
          </cell>
          <cell r="F733" t="str">
            <v>Máximo</v>
          </cell>
          <cell r="G733">
            <v>58.3</v>
          </cell>
          <cell r="I733" t="str">
            <v>kg CO₂</v>
          </cell>
          <cell r="J733" t="str">
            <v>GJ</v>
          </cell>
        </row>
        <row r="734">
          <cell r="C734" t="str">
            <v>Fontes Estacionárias</v>
          </cell>
          <cell r="E734" t="str">
            <v>Construção e Manufatura</v>
          </cell>
          <cell r="F734" t="str">
            <v>Default</v>
          </cell>
          <cell r="G734">
            <v>56.1</v>
          </cell>
          <cell r="I734" t="str">
            <v>kg CO₂</v>
          </cell>
          <cell r="J734" t="str">
            <v>GJ</v>
          </cell>
        </row>
        <row r="735">
          <cell r="C735" t="str">
            <v>Fontes Estacionárias</v>
          </cell>
          <cell r="E735" t="str">
            <v>Construção e Manufatura</v>
          </cell>
          <cell r="F735" t="str">
            <v>Mínimo</v>
          </cell>
          <cell r="G735">
            <v>2.9999999999999997E-4</v>
          </cell>
          <cell r="I735" t="str">
            <v>kg CH₄</v>
          </cell>
          <cell r="J735" t="str">
            <v>GJ</v>
          </cell>
        </row>
        <row r="736">
          <cell r="C736" t="str">
            <v>Fontes Estacionárias</v>
          </cell>
          <cell r="E736" t="str">
            <v>Construção e Manufatura</v>
          </cell>
          <cell r="F736" t="str">
            <v>Máximo</v>
          </cell>
          <cell r="G736">
            <v>3.0000000000000001E-3</v>
          </cell>
          <cell r="I736" t="str">
            <v>kg CH₄</v>
          </cell>
          <cell r="J736" t="str">
            <v>GJ</v>
          </cell>
        </row>
        <row r="737">
          <cell r="C737" t="str">
            <v>Fontes Estacionárias</v>
          </cell>
          <cell r="E737" t="str">
            <v>Construção e Manufatura</v>
          </cell>
          <cell r="F737" t="str">
            <v>Default</v>
          </cell>
          <cell r="G737">
            <v>1E-3</v>
          </cell>
          <cell r="I737" t="str">
            <v>kg CH₄</v>
          </cell>
          <cell r="J737" t="str">
            <v>GJ</v>
          </cell>
        </row>
        <row r="738">
          <cell r="C738" t="str">
            <v>Fontes Estacionárias</v>
          </cell>
          <cell r="E738" t="str">
            <v>Construção e Manufatura</v>
          </cell>
          <cell r="F738" t="str">
            <v>Mínimo</v>
          </cell>
          <cell r="G738">
            <v>2.9999999999999997E-5</v>
          </cell>
          <cell r="I738" t="str">
            <v>kg N₂O</v>
          </cell>
          <cell r="J738" t="str">
            <v>GJ</v>
          </cell>
        </row>
        <row r="739">
          <cell r="C739" t="str">
            <v>Fontes Estacionárias</v>
          </cell>
          <cell r="E739" t="str">
            <v>Construção e Manufatura</v>
          </cell>
          <cell r="F739" t="str">
            <v>Máximo</v>
          </cell>
          <cell r="G739">
            <v>2.9999999999999997E-4</v>
          </cell>
          <cell r="I739" t="str">
            <v>kg N₂O</v>
          </cell>
          <cell r="J739" t="str">
            <v>GJ</v>
          </cell>
        </row>
        <row r="740">
          <cell r="C740" t="str">
            <v>Fontes Estacionárias</v>
          </cell>
          <cell r="E740" t="str">
            <v>Construção e Manufatura</v>
          </cell>
          <cell r="F740" t="str">
            <v>Default</v>
          </cell>
          <cell r="G740">
            <v>1E-4</v>
          </cell>
          <cell r="I740" t="str">
            <v>kg N₂O</v>
          </cell>
          <cell r="J740" t="str">
            <v>GJ</v>
          </cell>
        </row>
        <row r="741">
          <cell r="C741" t="str">
            <v>Fontes Estacionárias</v>
          </cell>
          <cell r="E741" t="str">
            <v>Construção e Manufatura</v>
          </cell>
          <cell r="F741" t="str">
            <v>Mínimo</v>
          </cell>
          <cell r="G741">
            <v>75.5</v>
          </cell>
          <cell r="I741" t="str">
            <v>kg CO₂</v>
          </cell>
          <cell r="J741" t="str">
            <v>GJ</v>
          </cell>
        </row>
        <row r="742">
          <cell r="C742" t="str">
            <v>Fontes Estacionárias</v>
          </cell>
          <cell r="E742" t="str">
            <v>Construção e Manufatura</v>
          </cell>
          <cell r="F742" t="str">
            <v>Máximo</v>
          </cell>
          <cell r="G742">
            <v>78.8</v>
          </cell>
          <cell r="I742" t="str">
            <v>kg CO₂</v>
          </cell>
          <cell r="J742" t="str">
            <v>GJ</v>
          </cell>
        </row>
        <row r="743">
          <cell r="C743" t="str">
            <v>Fontes Estacionárias</v>
          </cell>
          <cell r="E743" t="str">
            <v>Construção e Manufatura</v>
          </cell>
          <cell r="F743" t="str">
            <v>Default</v>
          </cell>
          <cell r="G743">
            <v>77.400000000000006</v>
          </cell>
          <cell r="I743" t="str">
            <v>kg CO₂</v>
          </cell>
          <cell r="J743" t="str">
            <v>GJ</v>
          </cell>
        </row>
        <row r="744">
          <cell r="C744" t="str">
            <v>Fontes Estacionárias</v>
          </cell>
          <cell r="E744" t="str">
            <v>Construção e Manufatura</v>
          </cell>
          <cell r="F744" t="str">
            <v>Mínimo</v>
          </cell>
          <cell r="G744">
            <v>1E-3</v>
          </cell>
          <cell r="I744" t="str">
            <v>kg CH₄</v>
          </cell>
          <cell r="J744" t="str">
            <v>GJ</v>
          </cell>
        </row>
        <row r="745">
          <cell r="C745" t="str">
            <v>Fontes Estacionárias</v>
          </cell>
          <cell r="E745" t="str">
            <v>Construção e Manufatura</v>
          </cell>
          <cell r="F745" t="str">
            <v>Máximo</v>
          </cell>
          <cell r="G745">
            <v>0.01</v>
          </cell>
          <cell r="I745" t="str">
            <v>kg CH₄</v>
          </cell>
          <cell r="J745" t="str">
            <v>GJ</v>
          </cell>
        </row>
        <row r="746">
          <cell r="C746" t="str">
            <v>Fontes Estacionárias</v>
          </cell>
          <cell r="E746" t="str">
            <v>Construção e Manufatura</v>
          </cell>
          <cell r="F746" t="str">
            <v>Default</v>
          </cell>
          <cell r="G746">
            <v>3.0000000000000001E-3</v>
          </cell>
          <cell r="I746" t="str">
            <v>kg CH₄</v>
          </cell>
          <cell r="J746" t="str">
            <v>GJ</v>
          </cell>
        </row>
        <row r="747">
          <cell r="C747" t="str">
            <v>Fontes Estacionárias</v>
          </cell>
          <cell r="E747" t="str">
            <v>Construção e Manufatura</v>
          </cell>
          <cell r="F747" t="str">
            <v>Mínimo</v>
          </cell>
          <cell r="G747">
            <v>2.0000000000000001E-4</v>
          </cell>
          <cell r="I747" t="str">
            <v>kg N₂O</v>
          </cell>
          <cell r="J747" t="str">
            <v>GJ</v>
          </cell>
        </row>
        <row r="748">
          <cell r="C748" t="str">
            <v>Fontes Estacionárias</v>
          </cell>
          <cell r="E748" t="str">
            <v>Construção e Manufatura</v>
          </cell>
          <cell r="F748" t="str">
            <v>Máximo</v>
          </cell>
          <cell r="G748">
            <v>2E-3</v>
          </cell>
          <cell r="I748" t="str">
            <v>kg N₂O</v>
          </cell>
          <cell r="J748" t="str">
            <v>GJ</v>
          </cell>
        </row>
        <row r="749">
          <cell r="C749" t="str">
            <v>Fontes Estacionárias</v>
          </cell>
          <cell r="E749" t="str">
            <v>Construção e Manufatura</v>
          </cell>
          <cell r="F749" t="str">
            <v>Default</v>
          </cell>
          <cell r="G749">
            <v>5.9999999999999995E-4</v>
          </cell>
          <cell r="I749" t="str">
            <v>kg N₂O</v>
          </cell>
          <cell r="J749" t="str">
            <v>GJ</v>
          </cell>
        </row>
        <row r="750">
          <cell r="C750" t="str">
            <v>Fontes Estacionárias</v>
          </cell>
          <cell r="E750" t="str">
            <v>Construção e Manufatura</v>
          </cell>
          <cell r="F750" t="str">
            <v>Mínimo</v>
          </cell>
          <cell r="G750">
            <v>84.7</v>
          </cell>
          <cell r="I750" t="str">
            <v>kg CO₂</v>
          </cell>
          <cell r="J750" t="str">
            <v>GJ</v>
          </cell>
        </row>
        <row r="751">
          <cell r="C751" t="str">
            <v>Fontes Estacionárias</v>
          </cell>
          <cell r="E751" t="str">
            <v>Construção e Manufatura</v>
          </cell>
          <cell r="F751" t="str">
            <v>Máximo</v>
          </cell>
          <cell r="G751">
            <v>117</v>
          </cell>
          <cell r="I751" t="str">
            <v>kg CO₂</v>
          </cell>
          <cell r="J751" t="str">
            <v>GJ</v>
          </cell>
        </row>
        <row r="752">
          <cell r="C752" t="str">
            <v>Fontes Estacionárias</v>
          </cell>
          <cell r="E752" t="str">
            <v>Construção e Manufatura</v>
          </cell>
          <cell r="F752" t="str">
            <v>Default</v>
          </cell>
          <cell r="G752">
            <v>100</v>
          </cell>
          <cell r="I752" t="str">
            <v>kg CO₂</v>
          </cell>
          <cell r="J752" t="str">
            <v>GJ</v>
          </cell>
        </row>
        <row r="753">
          <cell r="C753" t="str">
            <v>Fontes Estacionárias</v>
          </cell>
          <cell r="E753" t="str">
            <v>Construção e Manufatura</v>
          </cell>
          <cell r="F753" t="str">
            <v>Mínimo</v>
          </cell>
          <cell r="G753">
            <v>0.01</v>
          </cell>
          <cell r="I753" t="str">
            <v>kg CH₄</v>
          </cell>
          <cell r="J753" t="str">
            <v>GJ</v>
          </cell>
        </row>
        <row r="754">
          <cell r="C754" t="str">
            <v>Fontes Estacionárias</v>
          </cell>
          <cell r="E754" t="str">
            <v>Construção e Manufatura</v>
          </cell>
          <cell r="F754" t="str">
            <v>Máximo</v>
          </cell>
          <cell r="G754">
            <v>0.1</v>
          </cell>
          <cell r="I754" t="str">
            <v>kg CH₄</v>
          </cell>
          <cell r="J754" t="str">
            <v>GJ</v>
          </cell>
        </row>
        <row r="755">
          <cell r="C755" t="str">
            <v>Fontes Estacionárias</v>
          </cell>
          <cell r="E755" t="str">
            <v>Construção e Manufatura</v>
          </cell>
          <cell r="F755" t="str">
            <v>Default</v>
          </cell>
          <cell r="G755">
            <v>0.03</v>
          </cell>
          <cell r="I755" t="str">
            <v>kg CH₄</v>
          </cell>
          <cell r="J755" t="str">
            <v>GJ</v>
          </cell>
        </row>
        <row r="756">
          <cell r="C756" t="str">
            <v>Fontes Estacionárias</v>
          </cell>
          <cell r="E756" t="str">
            <v>Construção e Manufatura</v>
          </cell>
          <cell r="F756" t="str">
            <v>Mínimo</v>
          </cell>
          <cell r="G756">
            <v>1.5E-3</v>
          </cell>
          <cell r="I756" t="str">
            <v>kg N₂O</v>
          </cell>
          <cell r="J756" t="str">
            <v>GJ</v>
          </cell>
        </row>
        <row r="757">
          <cell r="C757" t="str">
            <v>Fontes Estacionárias</v>
          </cell>
          <cell r="E757" t="str">
            <v>Construção e Manufatura</v>
          </cell>
          <cell r="F757" t="str">
            <v>Máximo</v>
          </cell>
          <cell r="G757">
            <v>1.4999999999999999E-2</v>
          </cell>
          <cell r="I757" t="str">
            <v>kg N₂O</v>
          </cell>
          <cell r="J757" t="str">
            <v>GJ</v>
          </cell>
        </row>
        <row r="758">
          <cell r="C758" t="str">
            <v>Fontes Estacionárias</v>
          </cell>
          <cell r="E758" t="str">
            <v>Construção e Manufatura</v>
          </cell>
          <cell r="F758" t="str">
            <v>Default</v>
          </cell>
          <cell r="G758">
            <v>4.0000000000000001E-3</v>
          </cell>
          <cell r="I758" t="str">
            <v>kg N₂O</v>
          </cell>
          <cell r="J758" t="str">
            <v>GJ</v>
          </cell>
        </row>
        <row r="759">
          <cell r="C759" t="str">
            <v>Fontes Estacionárias</v>
          </cell>
          <cell r="E759" t="str">
            <v>Construção e Manufatura</v>
          </cell>
          <cell r="F759" t="str">
            <v>Mínimo</v>
          </cell>
          <cell r="G759">
            <v>54.3</v>
          </cell>
          <cell r="I759" t="str">
            <v>kg CO₂</v>
          </cell>
          <cell r="J759" t="str">
            <v>GJ</v>
          </cell>
        </row>
        <row r="760">
          <cell r="C760" t="str">
            <v>Fontes Estacionárias</v>
          </cell>
          <cell r="E760" t="str">
            <v>Construção e Manufatura</v>
          </cell>
          <cell r="F760" t="str">
            <v>Máximo</v>
          </cell>
          <cell r="G760">
            <v>58.3</v>
          </cell>
          <cell r="I760" t="str">
            <v>kg CO₂</v>
          </cell>
          <cell r="J760" t="str">
            <v>GJ</v>
          </cell>
        </row>
        <row r="761">
          <cell r="C761" t="str">
            <v>Fontes Estacionárias</v>
          </cell>
          <cell r="E761" t="str">
            <v>Construção e Manufatura</v>
          </cell>
          <cell r="F761" t="str">
            <v>Default</v>
          </cell>
          <cell r="G761">
            <v>56.1</v>
          </cell>
          <cell r="I761" t="str">
            <v>kg CO₂</v>
          </cell>
          <cell r="J761" t="str">
            <v>GJ</v>
          </cell>
        </row>
        <row r="762">
          <cell r="C762" t="str">
            <v>Fontes Estacionárias</v>
          </cell>
          <cell r="E762" t="str">
            <v>Construção e Manufatura</v>
          </cell>
          <cell r="F762" t="str">
            <v>Mínimo</v>
          </cell>
          <cell r="G762">
            <v>2.9999999999999997E-4</v>
          </cell>
          <cell r="I762" t="str">
            <v>kg CH₄</v>
          </cell>
          <cell r="J762" t="str">
            <v>GJ</v>
          </cell>
        </row>
        <row r="763">
          <cell r="C763" t="str">
            <v>Fontes Estacionárias</v>
          </cell>
          <cell r="E763" t="str">
            <v>Construção e Manufatura</v>
          </cell>
          <cell r="F763" t="str">
            <v>Máximo</v>
          </cell>
          <cell r="G763">
            <v>3.0000000000000001E-3</v>
          </cell>
          <cell r="I763" t="str">
            <v>kg CH₄</v>
          </cell>
          <cell r="J763" t="str">
            <v>GJ</v>
          </cell>
        </row>
        <row r="764">
          <cell r="C764" t="str">
            <v>Fontes Estacionárias</v>
          </cell>
          <cell r="E764" t="str">
            <v>Construção e Manufatura</v>
          </cell>
          <cell r="F764" t="str">
            <v>Default</v>
          </cell>
          <cell r="G764">
            <v>1E-3</v>
          </cell>
          <cell r="I764" t="str">
            <v>kg CH₄</v>
          </cell>
          <cell r="J764" t="str">
            <v>GJ</v>
          </cell>
        </row>
        <row r="765">
          <cell r="C765" t="str">
            <v>Fontes Estacionárias</v>
          </cell>
          <cell r="E765" t="str">
            <v>Construção e Manufatura</v>
          </cell>
          <cell r="F765" t="str">
            <v>Mínimo</v>
          </cell>
          <cell r="G765">
            <v>2.9999999999999997E-5</v>
          </cell>
          <cell r="I765" t="str">
            <v>kg N₂O</v>
          </cell>
          <cell r="J765" t="str">
            <v>GJ</v>
          </cell>
        </row>
        <row r="766">
          <cell r="C766" t="str">
            <v>Fontes Estacionárias</v>
          </cell>
          <cell r="E766" t="str">
            <v>Construção e Manufatura</v>
          </cell>
          <cell r="F766" t="str">
            <v>Máximo</v>
          </cell>
          <cell r="G766">
            <v>2.9999999999999997E-4</v>
          </cell>
          <cell r="I766" t="str">
            <v>kg N₂O</v>
          </cell>
          <cell r="J766" t="str">
            <v>GJ</v>
          </cell>
        </row>
        <row r="767">
          <cell r="C767" t="str">
            <v>Fontes Estacionárias</v>
          </cell>
          <cell r="E767" t="str">
            <v>Construção e Manufatura</v>
          </cell>
          <cell r="F767" t="str">
            <v>Default</v>
          </cell>
          <cell r="G767">
            <v>1E-4</v>
          </cell>
          <cell r="I767" t="str">
            <v>kg N₂O</v>
          </cell>
          <cell r="J767" t="str">
            <v>GJ</v>
          </cell>
        </row>
        <row r="768">
          <cell r="C768" t="str">
            <v>Fontes Estacionárias</v>
          </cell>
          <cell r="E768" t="str">
            <v>Construção e Manufatura</v>
          </cell>
          <cell r="F768" t="str">
            <v>Mínimo</v>
          </cell>
          <cell r="G768">
            <v>54.3</v>
          </cell>
          <cell r="I768" t="str">
            <v>kg CO₂</v>
          </cell>
          <cell r="J768" t="str">
            <v>GJ</v>
          </cell>
        </row>
        <row r="769">
          <cell r="C769" t="str">
            <v>Fontes Estacionárias</v>
          </cell>
          <cell r="E769" t="str">
            <v>Construção e Manufatura</v>
          </cell>
          <cell r="F769" t="str">
            <v>Máximo</v>
          </cell>
          <cell r="G769">
            <v>58.3</v>
          </cell>
          <cell r="I769" t="str">
            <v>kg CO₂</v>
          </cell>
          <cell r="J769" t="str">
            <v>GJ</v>
          </cell>
        </row>
        <row r="770">
          <cell r="C770" t="str">
            <v>Fontes Estacionárias</v>
          </cell>
          <cell r="E770" t="str">
            <v>Construção e Manufatura</v>
          </cell>
          <cell r="F770" t="str">
            <v>Default</v>
          </cell>
          <cell r="G770">
            <v>56.1</v>
          </cell>
          <cell r="I770" t="str">
            <v>kg CO₂</v>
          </cell>
          <cell r="J770" t="str">
            <v>GJ</v>
          </cell>
        </row>
        <row r="771">
          <cell r="C771" t="str">
            <v>Fontes Estacionárias</v>
          </cell>
          <cell r="E771" t="str">
            <v>Construção e Manufatura</v>
          </cell>
          <cell r="F771" t="str">
            <v>Mínimo</v>
          </cell>
          <cell r="G771">
            <v>2.9999999999999997E-4</v>
          </cell>
          <cell r="I771" t="str">
            <v>kg CH₄</v>
          </cell>
          <cell r="J771" t="str">
            <v>GJ</v>
          </cell>
        </row>
        <row r="772">
          <cell r="C772" t="str">
            <v>Fontes Estacionárias</v>
          </cell>
          <cell r="E772" t="str">
            <v>Construção e Manufatura</v>
          </cell>
          <cell r="F772" t="str">
            <v>Máximo</v>
          </cell>
          <cell r="G772">
            <v>3.0000000000000001E-3</v>
          </cell>
          <cell r="I772" t="str">
            <v>kg CH₄</v>
          </cell>
          <cell r="J772" t="str">
            <v>GJ</v>
          </cell>
        </row>
        <row r="773">
          <cell r="C773" t="str">
            <v>Fontes Estacionárias</v>
          </cell>
          <cell r="E773" t="str">
            <v>Construção e Manufatura</v>
          </cell>
          <cell r="F773" t="str">
            <v>Default</v>
          </cell>
          <cell r="G773">
            <v>1E-3</v>
          </cell>
          <cell r="I773" t="str">
            <v>kg CH₄</v>
          </cell>
          <cell r="J773" t="str">
            <v>GJ</v>
          </cell>
        </row>
        <row r="774">
          <cell r="C774" t="str">
            <v>Fontes Estacionárias</v>
          </cell>
          <cell r="E774" t="str">
            <v>Construção e Manufatura</v>
          </cell>
          <cell r="F774" t="str">
            <v>Mínimo</v>
          </cell>
          <cell r="G774">
            <v>2.9999999999999997E-5</v>
          </cell>
          <cell r="I774" t="str">
            <v>kg N₂O</v>
          </cell>
          <cell r="J774" t="str">
            <v>GJ</v>
          </cell>
        </row>
        <row r="775">
          <cell r="C775" t="str">
            <v>Fontes Estacionárias</v>
          </cell>
          <cell r="E775" t="str">
            <v>Construção e Manufatura</v>
          </cell>
          <cell r="F775" t="str">
            <v>Máximo</v>
          </cell>
          <cell r="G775">
            <v>2.9999999999999997E-4</v>
          </cell>
          <cell r="I775" t="str">
            <v>kg N₂O</v>
          </cell>
          <cell r="J775" t="str">
            <v>GJ</v>
          </cell>
        </row>
        <row r="776">
          <cell r="C776" t="str">
            <v>Fontes Estacionárias</v>
          </cell>
          <cell r="E776" t="str">
            <v>Construção e Manufatura</v>
          </cell>
          <cell r="F776" t="str">
            <v>Default</v>
          </cell>
          <cell r="G776">
            <v>1E-4</v>
          </cell>
          <cell r="I776" t="str">
            <v>kg N₂O</v>
          </cell>
          <cell r="J776" t="str">
            <v>GJ</v>
          </cell>
        </row>
        <row r="777">
          <cell r="C777" t="str">
            <v>Fontes Estacionárias</v>
          </cell>
          <cell r="E777" t="str">
            <v>Construção e Manufatura</v>
          </cell>
          <cell r="F777" t="str">
            <v>Mínimo</v>
          </cell>
          <cell r="G777">
            <v>54.3</v>
          </cell>
          <cell r="I777" t="str">
            <v>kg CO₂</v>
          </cell>
          <cell r="J777" t="str">
            <v>GJ</v>
          </cell>
        </row>
        <row r="778">
          <cell r="C778" t="str">
            <v>Fontes Estacionárias</v>
          </cell>
          <cell r="E778" t="str">
            <v>Construção e Manufatura</v>
          </cell>
          <cell r="F778" t="str">
            <v>Máximo</v>
          </cell>
          <cell r="G778">
            <v>58.3</v>
          </cell>
          <cell r="I778" t="str">
            <v>kg CO₂</v>
          </cell>
          <cell r="J778" t="str">
            <v>GJ</v>
          </cell>
        </row>
        <row r="779">
          <cell r="C779" t="str">
            <v>Fontes Estacionárias</v>
          </cell>
          <cell r="E779" t="str">
            <v>Construção e Manufatura</v>
          </cell>
          <cell r="F779" t="str">
            <v>Default</v>
          </cell>
          <cell r="G779">
            <v>56.1</v>
          </cell>
          <cell r="I779" t="str">
            <v>kg CO₂</v>
          </cell>
          <cell r="J779" t="str">
            <v>GJ</v>
          </cell>
        </row>
        <row r="780">
          <cell r="C780" t="str">
            <v>Fontes Estacionárias</v>
          </cell>
          <cell r="E780" t="str">
            <v>Construção e Manufatura</v>
          </cell>
          <cell r="F780" t="str">
            <v>Mínimo</v>
          </cell>
          <cell r="G780">
            <v>2.9999999999999997E-4</v>
          </cell>
          <cell r="I780" t="str">
            <v>kg CH₄</v>
          </cell>
          <cell r="J780" t="str">
            <v>GJ</v>
          </cell>
        </row>
        <row r="781">
          <cell r="C781" t="str">
            <v>Fontes Estacionárias</v>
          </cell>
          <cell r="E781" t="str">
            <v>Construção e Manufatura</v>
          </cell>
          <cell r="F781" t="str">
            <v>Máximo</v>
          </cell>
          <cell r="G781">
            <v>3.0000000000000001E-3</v>
          </cell>
          <cell r="I781" t="str">
            <v>kg CH₄</v>
          </cell>
          <cell r="J781" t="str">
            <v>GJ</v>
          </cell>
        </row>
        <row r="782">
          <cell r="C782" t="str">
            <v>Fontes Estacionárias</v>
          </cell>
          <cell r="E782" t="str">
            <v>Construção e Manufatura</v>
          </cell>
          <cell r="F782" t="str">
            <v>Default</v>
          </cell>
          <cell r="G782">
            <v>1E-3</v>
          </cell>
          <cell r="I782" t="str">
            <v>kg CH₄</v>
          </cell>
          <cell r="J782" t="str">
            <v>GJ</v>
          </cell>
        </row>
        <row r="783">
          <cell r="C783" t="str">
            <v>Fontes Estacionárias</v>
          </cell>
          <cell r="E783" t="str">
            <v>Construção e Manufatura</v>
          </cell>
          <cell r="F783" t="str">
            <v>Mínimo</v>
          </cell>
          <cell r="G783">
            <v>2.9999999999999997E-5</v>
          </cell>
          <cell r="I783" t="str">
            <v>kg N₂O</v>
          </cell>
          <cell r="J783" t="str">
            <v>GJ</v>
          </cell>
        </row>
        <row r="784">
          <cell r="C784" t="str">
            <v>Fontes Estacionárias</v>
          </cell>
          <cell r="E784" t="str">
            <v>Construção e Manufatura</v>
          </cell>
          <cell r="F784" t="str">
            <v>Máximo</v>
          </cell>
          <cell r="G784">
            <v>2.9999999999999997E-4</v>
          </cell>
          <cell r="I784" t="str">
            <v>kg N₂O</v>
          </cell>
          <cell r="J784" t="str">
            <v>GJ</v>
          </cell>
        </row>
        <row r="785">
          <cell r="C785" t="str">
            <v>Fontes Estacionárias</v>
          </cell>
          <cell r="E785" t="str">
            <v>Construção e Manufatura</v>
          </cell>
          <cell r="F785" t="str">
            <v>Default</v>
          </cell>
          <cell r="G785">
            <v>1E-4</v>
          </cell>
          <cell r="I785" t="str">
            <v>kg N₂O</v>
          </cell>
          <cell r="J785" t="str">
            <v>GJ</v>
          </cell>
        </row>
        <row r="786">
          <cell r="C786" t="str">
            <v>Fontes Estacionárias</v>
          </cell>
          <cell r="E786" t="str">
            <v>Construção e Manufatura</v>
          </cell>
          <cell r="F786" t="str">
            <v>Mínimo</v>
          </cell>
          <cell r="G786">
            <v>54.3</v>
          </cell>
          <cell r="I786" t="str">
            <v>kg CO₂</v>
          </cell>
          <cell r="J786" t="str">
            <v>GJ</v>
          </cell>
        </row>
        <row r="787">
          <cell r="C787" t="str">
            <v>Fontes Estacionárias</v>
          </cell>
          <cell r="E787" t="str">
            <v>Construção e Manufatura</v>
          </cell>
          <cell r="F787" t="str">
            <v>Máximo</v>
          </cell>
          <cell r="G787">
            <v>58.3</v>
          </cell>
          <cell r="I787" t="str">
            <v>kg CO₂</v>
          </cell>
          <cell r="J787" t="str">
            <v>GJ</v>
          </cell>
        </row>
        <row r="788">
          <cell r="C788" t="str">
            <v>Fontes Estacionárias</v>
          </cell>
          <cell r="E788" t="str">
            <v>Construção e Manufatura</v>
          </cell>
          <cell r="F788" t="str">
            <v>Default</v>
          </cell>
          <cell r="G788">
            <v>56.1</v>
          </cell>
          <cell r="I788" t="str">
            <v>kg CO₂</v>
          </cell>
          <cell r="J788" t="str">
            <v>GJ</v>
          </cell>
        </row>
        <row r="789">
          <cell r="C789" t="str">
            <v>Fontes Estacionárias</v>
          </cell>
          <cell r="E789" t="str">
            <v>Construção e Manufatura</v>
          </cell>
          <cell r="F789" t="str">
            <v>Mínimo</v>
          </cell>
          <cell r="G789">
            <v>2.9999999999999997E-4</v>
          </cell>
          <cell r="I789" t="str">
            <v>kg CH₄</v>
          </cell>
          <cell r="J789" t="str">
            <v>GJ</v>
          </cell>
        </row>
        <row r="790">
          <cell r="C790" t="str">
            <v>Fontes Estacionárias</v>
          </cell>
          <cell r="E790" t="str">
            <v>Construção e Manufatura</v>
          </cell>
          <cell r="F790" t="str">
            <v>Máximo</v>
          </cell>
          <cell r="G790">
            <v>3.0000000000000001E-3</v>
          </cell>
          <cell r="I790" t="str">
            <v>kg CH₄</v>
          </cell>
          <cell r="J790" t="str">
            <v>GJ</v>
          </cell>
        </row>
        <row r="791">
          <cell r="C791" t="str">
            <v>Fontes Estacionárias</v>
          </cell>
          <cell r="E791" t="str">
            <v>Construção e Manufatura</v>
          </cell>
          <cell r="F791" t="str">
            <v>Default</v>
          </cell>
          <cell r="G791">
            <v>1E-3</v>
          </cell>
          <cell r="I791" t="str">
            <v>kg CH₄</v>
          </cell>
          <cell r="J791" t="str">
            <v>GJ</v>
          </cell>
        </row>
        <row r="792">
          <cell r="C792" t="str">
            <v>Fontes Estacionárias</v>
          </cell>
          <cell r="E792" t="str">
            <v>Construção e Manufatura</v>
          </cell>
          <cell r="F792" t="str">
            <v>Mínimo</v>
          </cell>
          <cell r="G792">
            <v>2.9999999999999997E-5</v>
          </cell>
          <cell r="I792" t="str">
            <v>kg N₂O</v>
          </cell>
          <cell r="J792" t="str">
            <v>GJ</v>
          </cell>
        </row>
        <row r="793">
          <cell r="C793" t="str">
            <v>Fontes Estacionárias</v>
          </cell>
          <cell r="E793" t="str">
            <v>Construção e Manufatura</v>
          </cell>
          <cell r="F793" t="str">
            <v>Máximo</v>
          </cell>
          <cell r="G793">
            <v>2.9999999999999997E-4</v>
          </cell>
          <cell r="I793" t="str">
            <v>kg N₂O</v>
          </cell>
          <cell r="J793" t="str">
            <v>GJ</v>
          </cell>
        </row>
        <row r="794">
          <cell r="C794" t="str">
            <v>Fontes Estacionárias</v>
          </cell>
          <cell r="E794" t="str">
            <v>Construção e Manufatura</v>
          </cell>
          <cell r="F794" t="str">
            <v>Default</v>
          </cell>
          <cell r="G794">
            <v>1E-4</v>
          </cell>
          <cell r="I794" t="str">
            <v>kg N₂O</v>
          </cell>
          <cell r="J794" t="str">
            <v>GJ</v>
          </cell>
        </row>
        <row r="795">
          <cell r="C795" t="str">
            <v>Fontes Estacionárias</v>
          </cell>
          <cell r="E795" t="str">
            <v>Construção e Manufatura</v>
          </cell>
          <cell r="F795" t="str">
            <v>Mínimo</v>
          </cell>
          <cell r="G795">
            <v>54.3</v>
          </cell>
          <cell r="I795" t="str">
            <v>kg CO₂</v>
          </cell>
          <cell r="J795" t="str">
            <v>GJ</v>
          </cell>
        </row>
        <row r="796">
          <cell r="C796" t="str">
            <v>Fontes Estacionárias</v>
          </cell>
          <cell r="E796" t="str">
            <v>Construção e Manufatura</v>
          </cell>
          <cell r="F796" t="str">
            <v>Máximo</v>
          </cell>
          <cell r="G796">
            <v>58.3</v>
          </cell>
          <cell r="I796" t="str">
            <v>kg CO₂</v>
          </cell>
          <cell r="J796" t="str">
            <v>GJ</v>
          </cell>
        </row>
        <row r="797">
          <cell r="C797" t="str">
            <v>Fontes Estacionárias</v>
          </cell>
          <cell r="E797" t="str">
            <v>Construção e Manufatura</v>
          </cell>
          <cell r="F797" t="str">
            <v>Default</v>
          </cell>
          <cell r="G797">
            <v>56.1</v>
          </cell>
          <cell r="I797" t="str">
            <v>kg CO₂</v>
          </cell>
          <cell r="J797" t="str">
            <v>GJ</v>
          </cell>
        </row>
        <row r="798">
          <cell r="C798" t="str">
            <v>Fontes Estacionárias</v>
          </cell>
          <cell r="E798" t="str">
            <v>Construção e Manufatura</v>
          </cell>
          <cell r="F798" t="str">
            <v>Mínimo</v>
          </cell>
          <cell r="G798">
            <v>2.9999999999999997E-4</v>
          </cell>
          <cell r="I798" t="str">
            <v>kg CH₄</v>
          </cell>
          <cell r="J798" t="str">
            <v>GJ</v>
          </cell>
        </row>
        <row r="799">
          <cell r="C799" t="str">
            <v>Fontes Estacionárias</v>
          </cell>
          <cell r="E799" t="str">
            <v>Construção e Manufatura</v>
          </cell>
          <cell r="F799" t="str">
            <v>Máximo</v>
          </cell>
          <cell r="G799">
            <v>3.0000000000000001E-3</v>
          </cell>
          <cell r="I799" t="str">
            <v>kg CH₄</v>
          </cell>
          <cell r="J799" t="str">
            <v>GJ</v>
          </cell>
        </row>
        <row r="800">
          <cell r="C800" t="str">
            <v>Fontes Estacionárias</v>
          </cell>
          <cell r="E800" t="str">
            <v>Construção e Manufatura</v>
          </cell>
          <cell r="F800" t="str">
            <v>Default</v>
          </cell>
          <cell r="G800">
            <v>1E-3</v>
          </cell>
          <cell r="I800" t="str">
            <v>kg CH₄</v>
          </cell>
          <cell r="J800" t="str">
            <v>GJ</v>
          </cell>
        </row>
        <row r="801">
          <cell r="C801" t="str">
            <v>Fontes Estacionárias</v>
          </cell>
          <cell r="E801" t="str">
            <v>Construção e Manufatura</v>
          </cell>
          <cell r="F801" t="str">
            <v>Mínimo</v>
          </cell>
          <cell r="G801">
            <v>2.9999999999999997E-5</v>
          </cell>
          <cell r="I801" t="str">
            <v>kg N₂O</v>
          </cell>
          <cell r="J801" t="str">
            <v>GJ</v>
          </cell>
        </row>
        <row r="802">
          <cell r="C802" t="str">
            <v>Fontes Estacionárias</v>
          </cell>
          <cell r="E802" t="str">
            <v>Construção e Manufatura</v>
          </cell>
          <cell r="F802" t="str">
            <v>Máximo</v>
          </cell>
          <cell r="G802">
            <v>2.9999999999999997E-4</v>
          </cell>
          <cell r="I802" t="str">
            <v>kg N₂O</v>
          </cell>
          <cell r="J802" t="str">
            <v>GJ</v>
          </cell>
        </row>
        <row r="803">
          <cell r="C803" t="str">
            <v>Fontes Estacionárias</v>
          </cell>
          <cell r="E803" t="str">
            <v>Construção e Manufatura</v>
          </cell>
          <cell r="F803" t="str">
            <v>Default</v>
          </cell>
          <cell r="G803">
            <v>1E-4</v>
          </cell>
          <cell r="I803" t="str">
            <v>kg N₂O</v>
          </cell>
          <cell r="J803" t="str">
            <v>GJ</v>
          </cell>
        </row>
        <row r="804">
          <cell r="C804" t="str">
            <v>Fontes Estacionárias</v>
          </cell>
          <cell r="E804" t="str">
            <v>Construção e Manufatura</v>
          </cell>
          <cell r="F804" t="str">
            <v>Mínimo</v>
          </cell>
          <cell r="G804">
            <v>54.3</v>
          </cell>
          <cell r="I804" t="str">
            <v>kg CO₂</v>
          </cell>
          <cell r="J804" t="str">
            <v>GJ</v>
          </cell>
        </row>
        <row r="805">
          <cell r="C805" t="str">
            <v>Fontes Estacionárias</v>
          </cell>
          <cell r="E805" t="str">
            <v>Construção e Manufatura</v>
          </cell>
          <cell r="F805" t="str">
            <v>Máximo</v>
          </cell>
          <cell r="G805">
            <v>58.3</v>
          </cell>
          <cell r="I805" t="str">
            <v>kg CO₂</v>
          </cell>
          <cell r="J805" t="str">
            <v>GJ</v>
          </cell>
        </row>
        <row r="806">
          <cell r="C806" t="str">
            <v>Fontes Estacionárias</v>
          </cell>
          <cell r="E806" t="str">
            <v>Construção e Manufatura</v>
          </cell>
          <cell r="F806" t="str">
            <v>Default</v>
          </cell>
          <cell r="G806">
            <v>56.1</v>
          </cell>
          <cell r="I806" t="str">
            <v>kg CO₂</v>
          </cell>
          <cell r="J806" t="str">
            <v>GJ</v>
          </cell>
        </row>
        <row r="807">
          <cell r="C807" t="str">
            <v>Fontes Estacionárias</v>
          </cell>
          <cell r="E807" t="str">
            <v>Construção e Manufatura</v>
          </cell>
          <cell r="F807" t="str">
            <v>Mínimo</v>
          </cell>
          <cell r="G807">
            <v>2.9999999999999997E-4</v>
          </cell>
          <cell r="I807" t="str">
            <v>kg CH₄</v>
          </cell>
          <cell r="J807" t="str">
            <v>GJ</v>
          </cell>
        </row>
        <row r="808">
          <cell r="C808" t="str">
            <v>Fontes Estacionárias</v>
          </cell>
          <cell r="E808" t="str">
            <v>Construção e Manufatura</v>
          </cell>
          <cell r="F808" t="str">
            <v>Máximo</v>
          </cell>
          <cell r="G808">
            <v>3.0000000000000001E-3</v>
          </cell>
          <cell r="I808" t="str">
            <v>kg CH₄</v>
          </cell>
          <cell r="J808" t="str">
            <v>GJ</v>
          </cell>
        </row>
        <row r="809">
          <cell r="C809" t="str">
            <v>Fontes Estacionárias</v>
          </cell>
          <cell r="E809" t="str">
            <v>Construção e Manufatura</v>
          </cell>
          <cell r="F809" t="str">
            <v>Default</v>
          </cell>
          <cell r="G809">
            <v>1E-3</v>
          </cell>
          <cell r="I809" t="str">
            <v>kg CH₄</v>
          </cell>
          <cell r="J809" t="str">
            <v>GJ</v>
          </cell>
        </row>
        <row r="810">
          <cell r="C810" t="str">
            <v>Fontes Estacionárias</v>
          </cell>
          <cell r="E810" t="str">
            <v>Construção e Manufatura</v>
          </cell>
          <cell r="F810" t="str">
            <v>Mínimo</v>
          </cell>
          <cell r="G810">
            <v>2.9999999999999997E-5</v>
          </cell>
          <cell r="I810" t="str">
            <v>kg N₂O</v>
          </cell>
          <cell r="J810" t="str">
            <v>GJ</v>
          </cell>
        </row>
        <row r="811">
          <cell r="C811" t="str">
            <v>Fontes Estacionárias</v>
          </cell>
          <cell r="E811" t="str">
            <v>Construção e Manufatura</v>
          </cell>
          <cell r="F811" t="str">
            <v>Máximo</v>
          </cell>
          <cell r="G811">
            <v>2.9999999999999997E-4</v>
          </cell>
          <cell r="I811" t="str">
            <v>kg N₂O</v>
          </cell>
          <cell r="J811" t="str">
            <v>GJ</v>
          </cell>
        </row>
        <row r="812">
          <cell r="C812" t="str">
            <v>Fontes Estacionárias</v>
          </cell>
          <cell r="E812" t="str">
            <v>Construção e Manufatura</v>
          </cell>
          <cell r="F812" t="str">
            <v>Default</v>
          </cell>
          <cell r="G812">
            <v>1E-4</v>
          </cell>
          <cell r="I812" t="str">
            <v>kg N₂O</v>
          </cell>
          <cell r="J812" t="str">
            <v>GJ</v>
          </cell>
        </row>
        <row r="813">
          <cell r="C813" t="str">
            <v>Fontes Estacionárias</v>
          </cell>
          <cell r="E813" t="str">
            <v>Construção e Manufatura</v>
          </cell>
          <cell r="F813" t="str">
            <v>Mínimo</v>
          </cell>
          <cell r="G813">
            <v>54.3</v>
          </cell>
          <cell r="I813" t="str">
            <v>kg CO₂</v>
          </cell>
          <cell r="J813" t="str">
            <v>GJ</v>
          </cell>
        </row>
        <row r="814">
          <cell r="C814" t="str">
            <v>Fontes Estacionárias</v>
          </cell>
          <cell r="E814" t="str">
            <v>Construção e Manufatura</v>
          </cell>
          <cell r="F814" t="str">
            <v>Máximo</v>
          </cell>
          <cell r="G814">
            <v>58.3</v>
          </cell>
          <cell r="I814" t="str">
            <v>kg CO₂</v>
          </cell>
          <cell r="J814" t="str">
            <v>GJ</v>
          </cell>
        </row>
        <row r="815">
          <cell r="C815" t="str">
            <v>Fontes Estacionárias</v>
          </cell>
          <cell r="E815" t="str">
            <v>Construção e Manufatura</v>
          </cell>
          <cell r="F815" t="str">
            <v>Default</v>
          </cell>
          <cell r="G815">
            <v>56.1</v>
          </cell>
          <cell r="I815" t="str">
            <v>kg CO₂</v>
          </cell>
          <cell r="J815" t="str">
            <v>GJ</v>
          </cell>
        </row>
        <row r="816">
          <cell r="C816" t="str">
            <v>Fontes Estacionárias</v>
          </cell>
          <cell r="E816" t="str">
            <v>Construção e Manufatura</v>
          </cell>
          <cell r="F816" t="str">
            <v>Mínimo</v>
          </cell>
          <cell r="G816">
            <v>2.9999999999999997E-4</v>
          </cell>
          <cell r="I816" t="str">
            <v>kg CH₄</v>
          </cell>
          <cell r="J816" t="str">
            <v>GJ</v>
          </cell>
        </row>
        <row r="817">
          <cell r="C817" t="str">
            <v>Fontes Estacionárias</v>
          </cell>
          <cell r="E817" t="str">
            <v>Construção e Manufatura</v>
          </cell>
          <cell r="F817" t="str">
            <v>Máximo</v>
          </cell>
          <cell r="G817">
            <v>3.0000000000000001E-3</v>
          </cell>
          <cell r="I817" t="str">
            <v>kg CH₄</v>
          </cell>
          <cell r="J817" t="str">
            <v>GJ</v>
          </cell>
        </row>
        <row r="818">
          <cell r="C818" t="str">
            <v>Fontes Estacionárias</v>
          </cell>
          <cell r="E818" t="str">
            <v>Construção e Manufatura</v>
          </cell>
          <cell r="F818" t="str">
            <v>Default</v>
          </cell>
          <cell r="G818">
            <v>1E-3</v>
          </cell>
          <cell r="I818" t="str">
            <v>kg CH₄</v>
          </cell>
          <cell r="J818" t="str">
            <v>GJ</v>
          </cell>
        </row>
        <row r="819">
          <cell r="C819" t="str">
            <v>Fontes Estacionárias</v>
          </cell>
          <cell r="E819" t="str">
            <v>Construção e Manufatura</v>
          </cell>
          <cell r="F819" t="str">
            <v>Mínimo</v>
          </cell>
          <cell r="G819">
            <v>2.9999999999999997E-5</v>
          </cell>
          <cell r="I819" t="str">
            <v>kg N₂O</v>
          </cell>
          <cell r="J819" t="str">
            <v>GJ</v>
          </cell>
        </row>
        <row r="820">
          <cell r="C820" t="str">
            <v>Fontes Estacionárias</v>
          </cell>
          <cell r="E820" t="str">
            <v>Construção e Manufatura</v>
          </cell>
          <cell r="F820" t="str">
            <v>Máximo</v>
          </cell>
          <cell r="G820">
            <v>2.9999999999999997E-4</v>
          </cell>
          <cell r="I820" t="str">
            <v>kg N₂O</v>
          </cell>
          <cell r="J820" t="str">
            <v>GJ</v>
          </cell>
        </row>
        <row r="821">
          <cell r="C821" t="str">
            <v>Fontes Estacionárias</v>
          </cell>
          <cell r="E821" t="str">
            <v>Construção e Manufatura</v>
          </cell>
          <cell r="F821" t="str">
            <v>Default</v>
          </cell>
          <cell r="G821">
            <v>1E-4</v>
          </cell>
          <cell r="I821" t="str">
            <v>kg N₂O</v>
          </cell>
          <cell r="J821" t="str">
            <v>GJ</v>
          </cell>
        </row>
        <row r="822">
          <cell r="C822" t="str">
            <v>Fontes Estacionárias</v>
          </cell>
          <cell r="E822" t="str">
            <v>Construção e Manufatura</v>
          </cell>
          <cell r="F822" t="str">
            <v>Mínimo</v>
          </cell>
          <cell r="G822">
            <v>54.3</v>
          </cell>
          <cell r="I822" t="str">
            <v>kg CO₂</v>
          </cell>
          <cell r="J822" t="str">
            <v>GJ</v>
          </cell>
        </row>
        <row r="823">
          <cell r="C823" t="str">
            <v>Fontes Estacionárias</v>
          </cell>
          <cell r="E823" t="str">
            <v>Construção e Manufatura</v>
          </cell>
          <cell r="F823" t="str">
            <v>Máximo</v>
          </cell>
          <cell r="G823">
            <v>58.3</v>
          </cell>
          <cell r="I823" t="str">
            <v>kg CO₂</v>
          </cell>
          <cell r="J823" t="str">
            <v>GJ</v>
          </cell>
        </row>
        <row r="824">
          <cell r="C824" t="str">
            <v>Fontes Estacionárias</v>
          </cell>
          <cell r="E824" t="str">
            <v>Construção e Manufatura</v>
          </cell>
          <cell r="F824" t="str">
            <v>Default</v>
          </cell>
          <cell r="G824">
            <v>56.1</v>
          </cell>
          <cell r="I824" t="str">
            <v>kg CO₂</v>
          </cell>
          <cell r="J824" t="str">
            <v>GJ</v>
          </cell>
        </row>
        <row r="825">
          <cell r="C825" t="str">
            <v>Fontes Estacionárias</v>
          </cell>
          <cell r="E825" t="str">
            <v>Construção e Manufatura</v>
          </cell>
          <cell r="F825" t="str">
            <v>Mínimo</v>
          </cell>
          <cell r="G825">
            <v>2.9999999999999997E-4</v>
          </cell>
          <cell r="I825" t="str">
            <v>kg CH₄</v>
          </cell>
          <cell r="J825" t="str">
            <v>GJ</v>
          </cell>
        </row>
        <row r="826">
          <cell r="C826" t="str">
            <v>Fontes Estacionárias</v>
          </cell>
          <cell r="E826" t="str">
            <v>Construção e Manufatura</v>
          </cell>
          <cell r="F826" t="str">
            <v>Máximo</v>
          </cell>
          <cell r="G826">
            <v>3.0000000000000001E-3</v>
          </cell>
          <cell r="I826" t="str">
            <v>kg CH₄</v>
          </cell>
          <cell r="J826" t="str">
            <v>GJ</v>
          </cell>
        </row>
        <row r="827">
          <cell r="C827" t="str">
            <v>Fontes Estacionárias</v>
          </cell>
          <cell r="E827" t="str">
            <v>Construção e Manufatura</v>
          </cell>
          <cell r="F827" t="str">
            <v>Default</v>
          </cell>
          <cell r="G827">
            <v>1E-3</v>
          </cell>
          <cell r="I827" t="str">
            <v>kg CH₄</v>
          </cell>
          <cell r="J827" t="str">
            <v>GJ</v>
          </cell>
        </row>
        <row r="828">
          <cell r="C828" t="str">
            <v>Fontes Estacionárias</v>
          </cell>
          <cell r="E828" t="str">
            <v>Construção e Manufatura</v>
          </cell>
          <cell r="F828" t="str">
            <v>Mínimo</v>
          </cell>
          <cell r="G828">
            <v>2.9999999999999997E-5</v>
          </cell>
          <cell r="I828" t="str">
            <v>kg N₂O</v>
          </cell>
          <cell r="J828" t="str">
            <v>GJ</v>
          </cell>
        </row>
        <row r="829">
          <cell r="C829" t="str">
            <v>Fontes Estacionárias</v>
          </cell>
          <cell r="E829" t="str">
            <v>Construção e Manufatura</v>
          </cell>
          <cell r="F829" t="str">
            <v>Máximo</v>
          </cell>
          <cell r="G829">
            <v>2.9999999999999997E-4</v>
          </cell>
          <cell r="I829" t="str">
            <v>kg N₂O</v>
          </cell>
          <cell r="J829" t="str">
            <v>GJ</v>
          </cell>
        </row>
        <row r="830">
          <cell r="C830" t="str">
            <v>Fontes Estacionárias</v>
          </cell>
          <cell r="E830" t="str">
            <v>Construção e Manufatura</v>
          </cell>
          <cell r="F830" t="str">
            <v>Default</v>
          </cell>
          <cell r="G830">
            <v>1E-4</v>
          </cell>
          <cell r="I830" t="str">
            <v>kg N₂O</v>
          </cell>
          <cell r="J830" t="str">
            <v>GJ</v>
          </cell>
        </row>
        <row r="831">
          <cell r="C831" t="str">
            <v>Fontes Estacionárias</v>
          </cell>
          <cell r="E831" t="str">
            <v>Construção e Manufatura</v>
          </cell>
          <cell r="F831" t="str">
            <v>Mínimo</v>
          </cell>
          <cell r="G831">
            <v>54.3</v>
          </cell>
          <cell r="I831" t="str">
            <v>kg CO₂</v>
          </cell>
          <cell r="J831" t="str">
            <v>GJ</v>
          </cell>
        </row>
        <row r="832">
          <cell r="C832" t="str">
            <v>Fontes Estacionárias</v>
          </cell>
          <cell r="E832" t="str">
            <v>Construção e Manufatura</v>
          </cell>
          <cell r="F832" t="str">
            <v>Máximo</v>
          </cell>
          <cell r="G832">
            <v>58.3</v>
          </cell>
          <cell r="I832" t="str">
            <v>kg CO₂</v>
          </cell>
          <cell r="J832" t="str">
            <v>GJ</v>
          </cell>
        </row>
        <row r="833">
          <cell r="C833" t="str">
            <v>Fontes Estacionárias</v>
          </cell>
          <cell r="E833" t="str">
            <v>Construção e Manufatura</v>
          </cell>
          <cell r="F833" t="str">
            <v>Default</v>
          </cell>
          <cell r="G833">
            <v>56.1</v>
          </cell>
          <cell r="I833" t="str">
            <v>kg CO₂</v>
          </cell>
          <cell r="J833" t="str">
            <v>GJ</v>
          </cell>
        </row>
        <row r="834">
          <cell r="C834" t="str">
            <v>Fontes Estacionárias</v>
          </cell>
          <cell r="E834" t="str">
            <v>Construção e Manufatura</v>
          </cell>
          <cell r="F834" t="str">
            <v>Mínimo</v>
          </cell>
          <cell r="G834">
            <v>2.9999999999999997E-4</v>
          </cell>
          <cell r="I834" t="str">
            <v>kg CH₄</v>
          </cell>
          <cell r="J834" t="str">
            <v>GJ</v>
          </cell>
        </row>
        <row r="835">
          <cell r="C835" t="str">
            <v>Fontes Estacionárias</v>
          </cell>
          <cell r="E835" t="str">
            <v>Construção e Manufatura</v>
          </cell>
          <cell r="F835" t="str">
            <v>Máximo</v>
          </cell>
          <cell r="G835">
            <v>3.0000000000000001E-3</v>
          </cell>
          <cell r="I835" t="str">
            <v>kg CH₄</v>
          </cell>
          <cell r="J835" t="str">
            <v>GJ</v>
          </cell>
        </row>
        <row r="836">
          <cell r="C836" t="str">
            <v>Fontes Estacionárias</v>
          </cell>
          <cell r="E836" t="str">
            <v>Construção e Manufatura</v>
          </cell>
          <cell r="F836" t="str">
            <v>Default</v>
          </cell>
          <cell r="G836">
            <v>1E-3</v>
          </cell>
          <cell r="I836" t="str">
            <v>kg CH₄</v>
          </cell>
          <cell r="J836" t="str">
            <v>GJ</v>
          </cell>
        </row>
        <row r="837">
          <cell r="C837" t="str">
            <v>Fontes Estacionárias</v>
          </cell>
          <cell r="E837" t="str">
            <v>Construção e Manufatura</v>
          </cell>
          <cell r="F837" t="str">
            <v>Mínimo</v>
          </cell>
          <cell r="G837">
            <v>2.9999999999999997E-5</v>
          </cell>
          <cell r="I837" t="str">
            <v>kg N₂O</v>
          </cell>
          <cell r="J837" t="str">
            <v>GJ</v>
          </cell>
        </row>
        <row r="838">
          <cell r="C838" t="str">
            <v>Fontes Estacionárias</v>
          </cell>
          <cell r="E838" t="str">
            <v>Construção e Manufatura</v>
          </cell>
          <cell r="F838" t="str">
            <v>Máximo</v>
          </cell>
          <cell r="G838">
            <v>2.9999999999999997E-4</v>
          </cell>
          <cell r="I838" t="str">
            <v>kg N₂O</v>
          </cell>
          <cell r="J838" t="str">
            <v>GJ</v>
          </cell>
        </row>
        <row r="839">
          <cell r="C839" t="str">
            <v>Fontes Estacionárias</v>
          </cell>
          <cell r="E839" t="str">
            <v>Construção e Manufatura</v>
          </cell>
          <cell r="F839" t="str">
            <v>Default</v>
          </cell>
          <cell r="G839">
            <v>1E-4</v>
          </cell>
          <cell r="I839" t="str">
            <v>kg N₂O</v>
          </cell>
          <cell r="J839" t="str">
            <v>GJ</v>
          </cell>
        </row>
        <row r="840">
          <cell r="C840" t="str">
            <v>Fontes Estacionárias</v>
          </cell>
          <cell r="E840" t="str">
            <v>Construção e Manufatura</v>
          </cell>
          <cell r="F840" t="str">
            <v>Mínimo</v>
          </cell>
          <cell r="G840">
            <v>54.3</v>
          </cell>
          <cell r="I840" t="str">
            <v>kg CO₂</v>
          </cell>
          <cell r="J840" t="str">
            <v>GJ</v>
          </cell>
        </row>
        <row r="841">
          <cell r="C841" t="str">
            <v>Fontes Estacionárias</v>
          </cell>
          <cell r="E841" t="str">
            <v>Construção e Manufatura</v>
          </cell>
          <cell r="F841" t="str">
            <v>Máximo</v>
          </cell>
          <cell r="G841">
            <v>58.3</v>
          </cell>
          <cell r="I841" t="str">
            <v>kg CO₂</v>
          </cell>
          <cell r="J841" t="str">
            <v>GJ</v>
          </cell>
        </row>
        <row r="842">
          <cell r="C842" t="str">
            <v>Fontes Estacionárias</v>
          </cell>
          <cell r="E842" t="str">
            <v>Construção e Manufatura</v>
          </cell>
          <cell r="F842" t="str">
            <v>Default</v>
          </cell>
          <cell r="G842">
            <v>56.1</v>
          </cell>
          <cell r="I842" t="str">
            <v>kg CO₂</v>
          </cell>
          <cell r="J842" t="str">
            <v>GJ</v>
          </cell>
        </row>
        <row r="843">
          <cell r="C843" t="str">
            <v>Fontes Estacionárias</v>
          </cell>
          <cell r="E843" t="str">
            <v>Construção e Manufatura</v>
          </cell>
          <cell r="F843" t="str">
            <v>Mínimo</v>
          </cell>
          <cell r="G843">
            <v>2.9999999999999997E-4</v>
          </cell>
          <cell r="I843" t="str">
            <v>kg CH₄</v>
          </cell>
          <cell r="J843" t="str">
            <v>GJ</v>
          </cell>
        </row>
        <row r="844">
          <cell r="C844" t="str">
            <v>Fontes Estacionárias</v>
          </cell>
          <cell r="E844" t="str">
            <v>Construção e Manufatura</v>
          </cell>
          <cell r="F844" t="str">
            <v>Máximo</v>
          </cell>
          <cell r="G844">
            <v>3.0000000000000001E-3</v>
          </cell>
          <cell r="I844" t="str">
            <v>kg CH₄</v>
          </cell>
          <cell r="J844" t="str">
            <v>GJ</v>
          </cell>
        </row>
        <row r="845">
          <cell r="C845" t="str">
            <v>Fontes Estacionárias</v>
          </cell>
          <cell r="E845" t="str">
            <v>Construção e Manufatura</v>
          </cell>
          <cell r="F845" t="str">
            <v>Default</v>
          </cell>
          <cell r="G845">
            <v>1E-3</v>
          </cell>
          <cell r="I845" t="str">
            <v>kg CH₄</v>
          </cell>
          <cell r="J845" t="str">
            <v>GJ</v>
          </cell>
        </row>
        <row r="846">
          <cell r="C846" t="str">
            <v>Fontes Estacionárias</v>
          </cell>
          <cell r="E846" t="str">
            <v>Construção e Manufatura</v>
          </cell>
          <cell r="F846" t="str">
            <v>Mínimo</v>
          </cell>
          <cell r="G846">
            <v>2.9999999999999997E-5</v>
          </cell>
          <cell r="I846" t="str">
            <v>kg N₂O</v>
          </cell>
          <cell r="J846" t="str">
            <v>GJ</v>
          </cell>
        </row>
        <row r="847">
          <cell r="C847" t="str">
            <v>Fontes Estacionárias</v>
          </cell>
          <cell r="E847" t="str">
            <v>Construção e Manufatura</v>
          </cell>
          <cell r="F847" t="str">
            <v>Máximo</v>
          </cell>
          <cell r="G847">
            <v>2.9999999999999997E-4</v>
          </cell>
          <cell r="I847" t="str">
            <v>kg N₂O</v>
          </cell>
          <cell r="J847" t="str">
            <v>GJ</v>
          </cell>
        </row>
        <row r="848">
          <cell r="C848" t="str">
            <v>Fontes Estacionárias</v>
          </cell>
          <cell r="E848" t="str">
            <v>Construção e Manufatura</v>
          </cell>
          <cell r="F848" t="str">
            <v>Default</v>
          </cell>
          <cell r="G848">
            <v>1E-4</v>
          </cell>
          <cell r="I848" t="str">
            <v>kg N₂O</v>
          </cell>
          <cell r="J848" t="str">
            <v>GJ</v>
          </cell>
        </row>
        <row r="849">
          <cell r="C849" t="str">
            <v>Fontes Estacionárias</v>
          </cell>
          <cell r="E849" t="str">
            <v>Construção e Manufatura</v>
          </cell>
          <cell r="F849" t="str">
            <v>Mínimo</v>
          </cell>
          <cell r="G849">
            <v>54.3</v>
          </cell>
          <cell r="I849" t="str">
            <v>kg CO₂</v>
          </cell>
          <cell r="J849" t="str">
            <v>GJ</v>
          </cell>
        </row>
        <row r="850">
          <cell r="C850" t="str">
            <v>Fontes Estacionárias</v>
          </cell>
          <cell r="E850" t="str">
            <v>Construção e Manufatura</v>
          </cell>
          <cell r="F850" t="str">
            <v>Máximo</v>
          </cell>
          <cell r="G850">
            <v>58.3</v>
          </cell>
          <cell r="I850" t="str">
            <v>kg CO₂</v>
          </cell>
          <cell r="J850" t="str">
            <v>GJ</v>
          </cell>
        </row>
        <row r="851">
          <cell r="C851" t="str">
            <v>Fontes Estacionárias</v>
          </cell>
          <cell r="E851" t="str">
            <v>Construção e Manufatura</v>
          </cell>
          <cell r="F851" t="str">
            <v>Default</v>
          </cell>
          <cell r="G851">
            <v>56.1</v>
          </cell>
          <cell r="I851" t="str">
            <v>kg CO₂</v>
          </cell>
          <cell r="J851" t="str">
            <v>GJ</v>
          </cell>
        </row>
        <row r="852">
          <cell r="C852" t="str">
            <v>Fontes Estacionárias</v>
          </cell>
          <cell r="E852" t="str">
            <v>Construção e Manufatura</v>
          </cell>
          <cell r="F852" t="str">
            <v>Mínimo</v>
          </cell>
          <cell r="G852">
            <v>2.9999999999999997E-4</v>
          </cell>
          <cell r="I852" t="str">
            <v>kg CH₄</v>
          </cell>
          <cell r="J852" t="str">
            <v>GJ</v>
          </cell>
        </row>
        <row r="853">
          <cell r="C853" t="str">
            <v>Fontes Estacionárias</v>
          </cell>
          <cell r="E853" t="str">
            <v>Construção e Manufatura</v>
          </cell>
          <cell r="F853" t="str">
            <v>Máximo</v>
          </cell>
          <cell r="G853">
            <v>3.0000000000000001E-3</v>
          </cell>
          <cell r="I853" t="str">
            <v>kg CH₄</v>
          </cell>
          <cell r="J853" t="str">
            <v>GJ</v>
          </cell>
        </row>
        <row r="854">
          <cell r="C854" t="str">
            <v>Fontes Estacionárias</v>
          </cell>
          <cell r="E854" t="str">
            <v>Construção e Manufatura</v>
          </cell>
          <cell r="F854" t="str">
            <v>Default</v>
          </cell>
          <cell r="G854">
            <v>1E-3</v>
          </cell>
          <cell r="I854" t="str">
            <v>kg CH₄</v>
          </cell>
          <cell r="J854" t="str">
            <v>GJ</v>
          </cell>
        </row>
        <row r="855">
          <cell r="C855" t="str">
            <v>Fontes Estacionárias</v>
          </cell>
          <cell r="E855" t="str">
            <v>Construção e Manufatura</v>
          </cell>
          <cell r="F855" t="str">
            <v>Mínimo</v>
          </cell>
          <cell r="G855">
            <v>2.9999999999999997E-5</v>
          </cell>
          <cell r="I855" t="str">
            <v>kg N₂O</v>
          </cell>
          <cell r="J855" t="str">
            <v>GJ</v>
          </cell>
        </row>
        <row r="856">
          <cell r="C856" t="str">
            <v>Fontes Estacionárias</v>
          </cell>
          <cell r="E856" t="str">
            <v>Construção e Manufatura</v>
          </cell>
          <cell r="F856" t="str">
            <v>Máximo</v>
          </cell>
          <cell r="G856">
            <v>2.9999999999999997E-4</v>
          </cell>
          <cell r="I856" t="str">
            <v>kg N₂O</v>
          </cell>
          <cell r="J856" t="str">
            <v>GJ</v>
          </cell>
        </row>
        <row r="857">
          <cell r="C857" t="str">
            <v>Fontes Estacionárias</v>
          </cell>
          <cell r="E857" t="str">
            <v>Construção e Manufatura</v>
          </cell>
          <cell r="F857" t="str">
            <v>Default</v>
          </cell>
          <cell r="G857">
            <v>1E-4</v>
          </cell>
          <cell r="I857" t="str">
            <v>kg N₂O</v>
          </cell>
          <cell r="J857" t="str">
            <v>GJ</v>
          </cell>
        </row>
        <row r="858">
          <cell r="C858" t="str">
            <v>Fontes Estacionárias</v>
          </cell>
          <cell r="E858" t="str">
            <v>Construção e Manufatura</v>
          </cell>
          <cell r="F858" t="str">
            <v>Mínimo</v>
          </cell>
          <cell r="G858">
            <v>54.3</v>
          </cell>
          <cell r="I858" t="str">
            <v>kg CO₂</v>
          </cell>
          <cell r="J858" t="str">
            <v>GJ</v>
          </cell>
        </row>
        <row r="859">
          <cell r="C859" t="str">
            <v>Fontes Estacionárias</v>
          </cell>
          <cell r="E859" t="str">
            <v>Construção e Manufatura</v>
          </cell>
          <cell r="F859" t="str">
            <v>Máximo</v>
          </cell>
          <cell r="G859">
            <v>58.3</v>
          </cell>
          <cell r="I859" t="str">
            <v>kg CO₂</v>
          </cell>
          <cell r="J859" t="str">
            <v>GJ</v>
          </cell>
        </row>
        <row r="860">
          <cell r="C860" t="str">
            <v>Fontes Estacionárias</v>
          </cell>
          <cell r="E860" t="str">
            <v>Construção e Manufatura</v>
          </cell>
          <cell r="F860" t="str">
            <v>Default</v>
          </cell>
          <cell r="G860">
            <v>56.1</v>
          </cell>
          <cell r="I860" t="str">
            <v>kg CO₂</v>
          </cell>
          <cell r="J860" t="str">
            <v>GJ</v>
          </cell>
        </row>
        <row r="861">
          <cell r="C861" t="str">
            <v>Fontes Estacionárias</v>
          </cell>
          <cell r="E861" t="str">
            <v>Construção e Manufatura</v>
          </cell>
          <cell r="F861" t="str">
            <v>Mínimo</v>
          </cell>
          <cell r="G861">
            <v>2.9999999999999997E-4</v>
          </cell>
          <cell r="I861" t="str">
            <v>kg CH₄</v>
          </cell>
          <cell r="J861" t="str">
            <v>GJ</v>
          </cell>
        </row>
        <row r="862">
          <cell r="C862" t="str">
            <v>Fontes Estacionárias</v>
          </cell>
          <cell r="E862" t="str">
            <v>Construção e Manufatura</v>
          </cell>
          <cell r="F862" t="str">
            <v>Máximo</v>
          </cell>
          <cell r="G862">
            <v>3.0000000000000001E-3</v>
          </cell>
          <cell r="I862" t="str">
            <v>kg CH₄</v>
          </cell>
          <cell r="J862" t="str">
            <v>GJ</v>
          </cell>
        </row>
        <row r="863">
          <cell r="C863" t="str">
            <v>Fontes Estacionárias</v>
          </cell>
          <cell r="E863" t="str">
            <v>Construção e Manufatura</v>
          </cell>
          <cell r="F863" t="str">
            <v>Default</v>
          </cell>
          <cell r="G863">
            <v>1E-3</v>
          </cell>
          <cell r="I863" t="str">
            <v>kg CH₄</v>
          </cell>
          <cell r="J863" t="str">
            <v>GJ</v>
          </cell>
        </row>
        <row r="864">
          <cell r="C864" t="str">
            <v>Fontes Estacionárias</v>
          </cell>
          <cell r="E864" t="str">
            <v>Construção e Manufatura</v>
          </cell>
          <cell r="F864" t="str">
            <v>Mínimo</v>
          </cell>
          <cell r="G864">
            <v>2.9999999999999997E-5</v>
          </cell>
          <cell r="I864" t="str">
            <v>kg N₂O</v>
          </cell>
          <cell r="J864" t="str">
            <v>GJ</v>
          </cell>
        </row>
        <row r="865">
          <cell r="C865" t="str">
            <v>Fontes Estacionárias</v>
          </cell>
          <cell r="E865" t="str">
            <v>Construção e Manufatura</v>
          </cell>
          <cell r="F865" t="str">
            <v>Máximo</v>
          </cell>
          <cell r="G865">
            <v>2.9999999999999997E-4</v>
          </cell>
          <cell r="I865" t="str">
            <v>kg N₂O</v>
          </cell>
          <cell r="J865" t="str">
            <v>GJ</v>
          </cell>
        </row>
        <row r="866">
          <cell r="C866" t="str">
            <v>Fontes Estacionárias</v>
          </cell>
          <cell r="E866" t="str">
            <v>Construção e Manufatura</v>
          </cell>
          <cell r="F866" t="str">
            <v>Default</v>
          </cell>
          <cell r="G866">
            <v>1E-4</v>
          </cell>
          <cell r="I866" t="str">
            <v>kg N₂O</v>
          </cell>
          <cell r="J866" t="str">
            <v>GJ</v>
          </cell>
        </row>
        <row r="867">
          <cell r="C867" t="str">
            <v>Fontes Estacionárias</v>
          </cell>
          <cell r="E867" t="str">
            <v>Construção e Manufatura</v>
          </cell>
          <cell r="F867" t="str">
            <v>Mínimo</v>
          </cell>
          <cell r="G867">
            <v>59.8</v>
          </cell>
          <cell r="I867" t="str">
            <v>kg CO₂</v>
          </cell>
          <cell r="J867" t="str">
            <v>GJ</v>
          </cell>
        </row>
        <row r="868">
          <cell r="C868" t="str">
            <v>Fontes Estacionárias</v>
          </cell>
          <cell r="E868" t="str">
            <v>Construção e Manufatura</v>
          </cell>
          <cell r="F868" t="str">
            <v>Máximo</v>
          </cell>
          <cell r="G868">
            <v>84.3</v>
          </cell>
          <cell r="I868" t="str">
            <v>kg CO₂</v>
          </cell>
          <cell r="J868" t="str">
            <v>GJ</v>
          </cell>
        </row>
        <row r="869">
          <cell r="C869" t="str">
            <v>Fontes Estacionárias</v>
          </cell>
          <cell r="E869" t="str">
            <v>Construção e Manufatura</v>
          </cell>
          <cell r="F869" t="str">
            <v>Default</v>
          </cell>
          <cell r="G869">
            <v>70.8</v>
          </cell>
          <cell r="I869" t="str">
            <v>kg CO₂</v>
          </cell>
          <cell r="J869" t="str">
            <v>GJ</v>
          </cell>
        </row>
        <row r="870">
          <cell r="C870" t="str">
            <v>Fontes Estacionárias</v>
          </cell>
          <cell r="E870" t="str">
            <v>Construção e Manufatura</v>
          </cell>
          <cell r="F870" t="str">
            <v>Mínimo</v>
          </cell>
          <cell r="G870">
            <v>1E-3</v>
          </cell>
          <cell r="I870" t="str">
            <v>kg CH₄</v>
          </cell>
          <cell r="J870" t="str">
            <v>GJ</v>
          </cell>
        </row>
        <row r="871">
          <cell r="C871" t="str">
            <v>Fontes Estacionárias</v>
          </cell>
          <cell r="E871" t="str">
            <v>Construção e Manufatura</v>
          </cell>
          <cell r="F871" t="str">
            <v>Máximo</v>
          </cell>
          <cell r="G871">
            <v>0.01</v>
          </cell>
          <cell r="I871" t="str">
            <v>kg CH₄</v>
          </cell>
          <cell r="J871" t="str">
            <v>GJ</v>
          </cell>
        </row>
        <row r="872">
          <cell r="C872" t="str">
            <v>Fontes Estacionárias</v>
          </cell>
          <cell r="E872" t="str">
            <v>Construção e Manufatura</v>
          </cell>
          <cell r="F872" t="str">
            <v>Default</v>
          </cell>
          <cell r="G872">
            <v>3.0000000000000001E-3</v>
          </cell>
          <cell r="I872" t="str">
            <v>kg CH₄</v>
          </cell>
          <cell r="J872" t="str">
            <v>GJ</v>
          </cell>
        </row>
        <row r="873">
          <cell r="C873" t="str">
            <v>Fontes Estacionárias</v>
          </cell>
          <cell r="E873" t="str">
            <v>Construção e Manufatura</v>
          </cell>
          <cell r="F873" t="str">
            <v>Mínimo</v>
          </cell>
          <cell r="G873">
            <v>2.0000000000000001E-4</v>
          </cell>
          <cell r="I873" t="str">
            <v>kg N₂O</v>
          </cell>
          <cell r="J873" t="str">
            <v>GJ</v>
          </cell>
        </row>
        <row r="874">
          <cell r="C874" t="str">
            <v>Fontes Estacionárias</v>
          </cell>
          <cell r="E874" t="str">
            <v>Construção e Manufatura</v>
          </cell>
          <cell r="F874" t="str">
            <v>Máximo</v>
          </cell>
          <cell r="G874">
            <v>2E-3</v>
          </cell>
          <cell r="I874" t="str">
            <v>kg N₂O</v>
          </cell>
          <cell r="J874" t="str">
            <v>GJ</v>
          </cell>
        </row>
        <row r="875">
          <cell r="C875" t="str">
            <v>Fontes Estacionárias</v>
          </cell>
          <cell r="E875" t="str">
            <v>Construção e Manufatura</v>
          </cell>
          <cell r="F875" t="str">
            <v>Default</v>
          </cell>
          <cell r="G875">
            <v>5.9999999999999995E-4</v>
          </cell>
          <cell r="I875" t="str">
            <v>kg N₂O</v>
          </cell>
          <cell r="J875" t="str">
            <v>GJ</v>
          </cell>
        </row>
        <row r="876">
          <cell r="C876" t="str">
            <v>Fontes Estacionárias</v>
          </cell>
          <cell r="E876" t="str">
            <v>Construção e Manufatura</v>
          </cell>
          <cell r="F876" t="str">
            <v>Mínimo</v>
          </cell>
          <cell r="G876">
            <v>67.099999999999994</v>
          </cell>
          <cell r="I876" t="str">
            <v>kg CO₂</v>
          </cell>
          <cell r="J876" t="str">
            <v>GJ</v>
          </cell>
        </row>
        <row r="877">
          <cell r="C877" t="str">
            <v>Fontes Estacionárias</v>
          </cell>
          <cell r="E877" t="str">
            <v>Construção e Manufatura</v>
          </cell>
          <cell r="F877" t="str">
            <v>Máximo</v>
          </cell>
          <cell r="G877">
            <v>95.3</v>
          </cell>
          <cell r="I877" t="str">
            <v>kg CO₂</v>
          </cell>
          <cell r="J877" t="str">
            <v>GJ</v>
          </cell>
        </row>
        <row r="878">
          <cell r="C878" t="str">
            <v>Fontes Estacionárias</v>
          </cell>
          <cell r="E878" t="str">
            <v>Construção e Manufatura</v>
          </cell>
          <cell r="F878" t="str">
            <v>Default</v>
          </cell>
          <cell r="G878">
            <v>79.599999999999994</v>
          </cell>
          <cell r="I878" t="str">
            <v>kg CO₂</v>
          </cell>
          <cell r="J878" t="str">
            <v>GJ</v>
          </cell>
        </row>
        <row r="879">
          <cell r="C879" t="str">
            <v>Fontes Estacionárias</v>
          </cell>
          <cell r="E879" t="str">
            <v>Construção e Manufatura</v>
          </cell>
          <cell r="F879" t="str">
            <v>Mínimo</v>
          </cell>
          <cell r="G879">
            <v>1E-3</v>
          </cell>
          <cell r="I879" t="str">
            <v>kg CH₄</v>
          </cell>
          <cell r="J879" t="str">
            <v>GJ</v>
          </cell>
        </row>
        <row r="880">
          <cell r="C880" t="str">
            <v>Fontes Estacionárias</v>
          </cell>
          <cell r="E880" t="str">
            <v>Construção e Manufatura</v>
          </cell>
          <cell r="F880" t="str">
            <v>Máximo</v>
          </cell>
          <cell r="G880">
            <v>0.01</v>
          </cell>
          <cell r="I880" t="str">
            <v>kg CH₄</v>
          </cell>
          <cell r="J880" t="str">
            <v>GJ</v>
          </cell>
        </row>
        <row r="881">
          <cell r="C881" t="str">
            <v>Fontes Estacionárias</v>
          </cell>
          <cell r="E881" t="str">
            <v>Construção e Manufatura</v>
          </cell>
          <cell r="F881" t="str">
            <v>Default</v>
          </cell>
          <cell r="G881">
            <v>3.0000000000000001E-3</v>
          </cell>
          <cell r="I881" t="str">
            <v>kg CH₄</v>
          </cell>
          <cell r="J881" t="str">
            <v>GJ</v>
          </cell>
        </row>
        <row r="882">
          <cell r="C882" t="str">
            <v>Fontes Estacionárias</v>
          </cell>
          <cell r="E882" t="str">
            <v>Construção e Manufatura</v>
          </cell>
          <cell r="F882" t="str">
            <v>Mínimo</v>
          </cell>
          <cell r="G882">
            <v>2.0000000000000001E-4</v>
          </cell>
          <cell r="I882" t="str">
            <v>kg N₂O</v>
          </cell>
          <cell r="J882" t="str">
            <v>GJ</v>
          </cell>
        </row>
        <row r="883">
          <cell r="C883" t="str">
            <v>Fontes Estacionárias</v>
          </cell>
          <cell r="E883" t="str">
            <v>Construção e Manufatura</v>
          </cell>
          <cell r="F883" t="str">
            <v>Máximo</v>
          </cell>
          <cell r="G883">
            <v>2E-3</v>
          </cell>
          <cell r="I883" t="str">
            <v>kg N₂O</v>
          </cell>
          <cell r="J883" t="str">
            <v>GJ</v>
          </cell>
        </row>
        <row r="884">
          <cell r="C884" t="str">
            <v>Fontes Estacionárias</v>
          </cell>
          <cell r="E884" t="str">
            <v>Construção e Manufatura</v>
          </cell>
          <cell r="F884" t="str">
            <v>Default</v>
          </cell>
          <cell r="G884">
            <v>5.9999999999999995E-4</v>
          </cell>
          <cell r="I884" t="str">
            <v>kg N₂O</v>
          </cell>
          <cell r="J884" t="str">
            <v>GJ</v>
          </cell>
        </row>
        <row r="885">
          <cell r="C885" t="str">
            <v>Fontes Estacionárias</v>
          </cell>
          <cell r="E885" t="str">
            <v>Construção e Manufatura</v>
          </cell>
          <cell r="F885" t="str">
            <v>Mínimo</v>
          </cell>
          <cell r="G885">
            <v>67.099999999999994</v>
          </cell>
          <cell r="I885" t="str">
            <v>kg CO₂</v>
          </cell>
          <cell r="J885" t="str">
            <v>GJ</v>
          </cell>
        </row>
        <row r="886">
          <cell r="C886" t="str">
            <v>Fontes Estacionárias</v>
          </cell>
          <cell r="E886" t="str">
            <v>Construção e Manufatura</v>
          </cell>
          <cell r="F886" t="str">
            <v>Máximo</v>
          </cell>
          <cell r="G886">
            <v>95.3</v>
          </cell>
          <cell r="I886" t="str">
            <v>kg CO₂</v>
          </cell>
          <cell r="J886" t="str">
            <v>GJ</v>
          </cell>
        </row>
        <row r="887">
          <cell r="C887" t="str">
            <v>Fontes Estacionárias</v>
          </cell>
          <cell r="E887" t="str">
            <v>Construção e Manufatura</v>
          </cell>
          <cell r="F887" t="str">
            <v>Default</v>
          </cell>
          <cell r="G887">
            <v>79.599999999999994</v>
          </cell>
          <cell r="I887" t="str">
            <v>kg CO₂</v>
          </cell>
          <cell r="J887" t="str">
            <v>GJ</v>
          </cell>
        </row>
        <row r="888">
          <cell r="C888" t="str">
            <v>Fontes Estacionárias</v>
          </cell>
          <cell r="E888" t="str">
            <v>Construção e Manufatura</v>
          </cell>
          <cell r="F888" t="str">
            <v>Mínimo</v>
          </cell>
          <cell r="G888">
            <v>1E-3</v>
          </cell>
          <cell r="I888" t="str">
            <v>kg CH₄</v>
          </cell>
          <cell r="J888" t="str">
            <v>GJ</v>
          </cell>
        </row>
        <row r="889">
          <cell r="C889" t="str">
            <v>Fontes Estacionárias</v>
          </cell>
          <cell r="E889" t="str">
            <v>Construção e Manufatura</v>
          </cell>
          <cell r="F889" t="str">
            <v>Máximo</v>
          </cell>
          <cell r="G889">
            <v>0.01</v>
          </cell>
          <cell r="I889" t="str">
            <v>kg CH₄</v>
          </cell>
          <cell r="J889" t="str">
            <v>GJ</v>
          </cell>
        </row>
        <row r="890">
          <cell r="C890" t="str">
            <v>Fontes Estacionárias</v>
          </cell>
          <cell r="E890" t="str">
            <v>Construção e Manufatura</v>
          </cell>
          <cell r="F890" t="str">
            <v>Default</v>
          </cell>
          <cell r="G890">
            <v>3.0000000000000001E-3</v>
          </cell>
          <cell r="I890" t="str">
            <v>kg CH₄</v>
          </cell>
          <cell r="J890" t="str">
            <v>GJ</v>
          </cell>
        </row>
        <row r="891">
          <cell r="C891" t="str">
            <v>Fontes Estacionárias</v>
          </cell>
          <cell r="E891" t="str">
            <v>Construção e Manufatura</v>
          </cell>
          <cell r="F891" t="str">
            <v>Mínimo</v>
          </cell>
          <cell r="G891">
            <v>2.0000000000000001E-4</v>
          </cell>
          <cell r="I891" t="str">
            <v>kg N₂O</v>
          </cell>
          <cell r="J891" t="str">
            <v>GJ</v>
          </cell>
        </row>
        <row r="892">
          <cell r="C892" t="str">
            <v>Fontes Estacionárias</v>
          </cell>
          <cell r="E892" t="str">
            <v>Construção e Manufatura</v>
          </cell>
          <cell r="F892" t="str">
            <v>Máximo</v>
          </cell>
          <cell r="G892">
            <v>2E-3</v>
          </cell>
          <cell r="I892" t="str">
            <v>kg N₂O</v>
          </cell>
          <cell r="J892" t="str">
            <v>GJ</v>
          </cell>
        </row>
        <row r="893">
          <cell r="C893" t="str">
            <v>Fontes Estacionárias</v>
          </cell>
          <cell r="E893" t="str">
            <v>Construção e Manufatura</v>
          </cell>
          <cell r="F893" t="str">
            <v>Default</v>
          </cell>
          <cell r="G893">
            <v>5.9999999999999995E-4</v>
          </cell>
          <cell r="I893" t="str">
            <v>kg N₂O</v>
          </cell>
          <cell r="J893" t="str">
            <v>GJ</v>
          </cell>
        </row>
        <row r="894">
          <cell r="C894" t="str">
            <v>Fontes Estacionárias</v>
          </cell>
          <cell r="E894" t="str">
            <v>Construção e Manufatura</v>
          </cell>
          <cell r="F894" t="str">
            <v>Mínimo</v>
          </cell>
          <cell r="G894">
            <v>61.6</v>
          </cell>
          <cell r="I894" t="str">
            <v>kg CO₂</v>
          </cell>
          <cell r="J894" t="str">
            <v>GJ</v>
          </cell>
        </row>
        <row r="895">
          <cell r="C895" t="str">
            <v>Fontes Estacionárias</v>
          </cell>
          <cell r="E895" t="str">
            <v>Construção e Manufatura</v>
          </cell>
          <cell r="F895" t="str">
            <v>Máximo</v>
          </cell>
          <cell r="G895">
            <v>65.599999999999994</v>
          </cell>
          <cell r="I895" t="str">
            <v>kg CO₂</v>
          </cell>
          <cell r="J895" t="str">
            <v>GJ</v>
          </cell>
        </row>
        <row r="896">
          <cell r="C896" t="str">
            <v>Fontes Estacionárias</v>
          </cell>
          <cell r="E896" t="str">
            <v>Construção e Manufatura</v>
          </cell>
          <cell r="F896" t="str">
            <v>Default</v>
          </cell>
          <cell r="G896">
            <v>63.1</v>
          </cell>
          <cell r="I896" t="str">
            <v>kg CO₂</v>
          </cell>
          <cell r="J896" t="str">
            <v>GJ</v>
          </cell>
        </row>
        <row r="897">
          <cell r="C897" t="str">
            <v>Fontes Estacionárias</v>
          </cell>
          <cell r="E897" t="str">
            <v>Construção e Manufatura</v>
          </cell>
          <cell r="F897" t="str">
            <v>Mínimo</v>
          </cell>
          <cell r="G897">
            <v>2.9999999999999997E-4</v>
          </cell>
          <cell r="I897" t="str">
            <v>kg CH₄</v>
          </cell>
          <cell r="J897" t="str">
            <v>GJ</v>
          </cell>
        </row>
        <row r="898">
          <cell r="C898" t="str">
            <v>Fontes Estacionárias</v>
          </cell>
          <cell r="E898" t="str">
            <v>Construção e Manufatura</v>
          </cell>
          <cell r="F898" t="str">
            <v>Máximo</v>
          </cell>
          <cell r="G898">
            <v>3.0000000000000001E-3</v>
          </cell>
          <cell r="I898" t="str">
            <v>kg CH₄</v>
          </cell>
          <cell r="J898" t="str">
            <v>GJ</v>
          </cell>
        </row>
        <row r="899">
          <cell r="C899" t="str">
            <v>Fontes Estacionárias</v>
          </cell>
          <cell r="E899" t="str">
            <v>Construção e Manufatura</v>
          </cell>
          <cell r="F899" t="str">
            <v>Default</v>
          </cell>
          <cell r="G899">
            <v>1E-3</v>
          </cell>
          <cell r="I899" t="str">
            <v>kg CH₄</v>
          </cell>
          <cell r="J899" t="str">
            <v>GJ</v>
          </cell>
        </row>
        <row r="900">
          <cell r="C900" t="str">
            <v>Fontes Estacionárias</v>
          </cell>
          <cell r="E900" t="str">
            <v>Construção e Manufatura</v>
          </cell>
          <cell r="F900" t="str">
            <v>Mínimo</v>
          </cell>
          <cell r="G900">
            <v>2.9999999999999997E-5</v>
          </cell>
          <cell r="I900" t="str">
            <v>kg N₂O</v>
          </cell>
          <cell r="J900" t="str">
            <v>GJ</v>
          </cell>
        </row>
        <row r="901">
          <cell r="C901" t="str">
            <v>Fontes Estacionárias</v>
          </cell>
          <cell r="E901" t="str">
            <v>Construção e Manufatura</v>
          </cell>
          <cell r="F901" t="str">
            <v>Máximo</v>
          </cell>
          <cell r="G901">
            <v>2.9999999999999997E-4</v>
          </cell>
          <cell r="I901" t="str">
            <v>kg N₂O</v>
          </cell>
          <cell r="J901" t="str">
            <v>GJ</v>
          </cell>
        </row>
        <row r="902">
          <cell r="C902" t="str">
            <v>Fontes Estacionárias</v>
          </cell>
          <cell r="E902" t="str">
            <v>Construção e Manufatura</v>
          </cell>
          <cell r="F902" t="str">
            <v>Default</v>
          </cell>
          <cell r="G902">
            <v>1E-4</v>
          </cell>
          <cell r="I902" t="str">
            <v>kg N₂O</v>
          </cell>
          <cell r="J902" t="str">
            <v>GJ</v>
          </cell>
        </row>
        <row r="903">
          <cell r="C903" t="str">
            <v>Fontes Estacionárias</v>
          </cell>
          <cell r="E903" t="str">
            <v>Construção e Manufatura</v>
          </cell>
          <cell r="F903" t="str">
            <v>Mínimo</v>
          </cell>
          <cell r="G903">
            <v>95</v>
          </cell>
          <cell r="I903" t="str">
            <v>kg CO₂</v>
          </cell>
          <cell r="J903" t="str">
            <v>GJ</v>
          </cell>
        </row>
        <row r="904">
          <cell r="C904" t="str">
            <v>Fontes Estacionárias</v>
          </cell>
          <cell r="E904" t="str">
            <v>Construção e Manufatura</v>
          </cell>
          <cell r="F904" t="str">
            <v>Máximo</v>
          </cell>
          <cell r="G904">
            <v>132</v>
          </cell>
          <cell r="I904" t="str">
            <v>kg CO₂</v>
          </cell>
          <cell r="J904" t="str">
            <v>GJ</v>
          </cell>
        </row>
        <row r="905">
          <cell r="C905" t="str">
            <v>Fontes Estacionárias</v>
          </cell>
          <cell r="E905" t="str">
            <v>Construção e Manufatura</v>
          </cell>
          <cell r="F905" t="str">
            <v>Default</v>
          </cell>
          <cell r="G905">
            <v>112</v>
          </cell>
          <cell r="I905" t="str">
            <v>kg CO₂</v>
          </cell>
          <cell r="J905" t="str">
            <v>GJ</v>
          </cell>
        </row>
        <row r="906">
          <cell r="C906" t="str">
            <v>Fontes Estacionárias</v>
          </cell>
          <cell r="E906" t="str">
            <v>Construção e Manufatura</v>
          </cell>
          <cell r="F906" t="str">
            <v>Mínimo</v>
          </cell>
          <cell r="G906">
            <v>7.0000000000000007E-2</v>
          </cell>
          <cell r="I906" t="str">
            <v>kg CH₄</v>
          </cell>
          <cell r="J906" t="str">
            <v>GJ</v>
          </cell>
        </row>
        <row r="907">
          <cell r="C907" t="str">
            <v>Fontes Estacionárias</v>
          </cell>
          <cell r="E907" t="str">
            <v>Construção e Manufatura</v>
          </cell>
          <cell r="F907" t="str">
            <v>Máximo</v>
          </cell>
          <cell r="G907">
            <v>0.6</v>
          </cell>
          <cell r="I907" t="str">
            <v>kg CH₄</v>
          </cell>
          <cell r="J907" t="str">
            <v>GJ</v>
          </cell>
        </row>
        <row r="908">
          <cell r="C908" t="str">
            <v>Fontes Estacionárias</v>
          </cell>
          <cell r="E908" t="str">
            <v>Construção e Manufatura</v>
          </cell>
          <cell r="F908" t="str">
            <v>Default</v>
          </cell>
          <cell r="G908">
            <v>0.2</v>
          </cell>
          <cell r="I908" t="str">
            <v>kg CH₄</v>
          </cell>
          <cell r="J908" t="str">
            <v>GJ</v>
          </cell>
        </row>
        <row r="909">
          <cell r="C909" t="str">
            <v>Fontes Estacionárias</v>
          </cell>
          <cell r="E909" t="str">
            <v>Construção e Manufatura</v>
          </cell>
          <cell r="F909" t="str">
            <v>Mínimo</v>
          </cell>
          <cell r="G909">
            <v>1.5E-3</v>
          </cell>
          <cell r="I909" t="str">
            <v>kg N₂O</v>
          </cell>
          <cell r="J909" t="str">
            <v>GJ</v>
          </cell>
        </row>
        <row r="910">
          <cell r="C910" t="str">
            <v>Fontes Estacionárias</v>
          </cell>
          <cell r="E910" t="str">
            <v>Construção e Manufatura</v>
          </cell>
          <cell r="F910" t="str">
            <v>Máximo</v>
          </cell>
          <cell r="G910">
            <v>1.4999999999999999E-2</v>
          </cell>
          <cell r="I910" t="str">
            <v>kg N₂O</v>
          </cell>
          <cell r="J910" t="str">
            <v>GJ</v>
          </cell>
        </row>
        <row r="911">
          <cell r="C911" t="str">
            <v>Fontes Estacionárias</v>
          </cell>
          <cell r="E911" t="str">
            <v>Construção e Manufatura</v>
          </cell>
          <cell r="F911" t="str">
            <v>Default</v>
          </cell>
          <cell r="G911">
            <v>4.0000000000000001E-3</v>
          </cell>
          <cell r="I911" t="str">
            <v>kg N₂O</v>
          </cell>
          <cell r="J911" t="str">
            <v>GJ</v>
          </cell>
        </row>
        <row r="912">
          <cell r="C912" t="str">
            <v>Fontes Estacionárias</v>
          </cell>
          <cell r="E912" t="str">
            <v>Construção e Manufatura</v>
          </cell>
          <cell r="F912" t="str">
            <v>Mínimo</v>
          </cell>
          <cell r="G912">
            <v>92.8</v>
          </cell>
          <cell r="I912" t="str">
            <v>kg CO₂</v>
          </cell>
          <cell r="J912" t="str">
            <v>GJ</v>
          </cell>
        </row>
        <row r="913">
          <cell r="C913" t="str">
            <v>Fontes Estacionárias</v>
          </cell>
          <cell r="E913" t="str">
            <v>Construção e Manufatura</v>
          </cell>
          <cell r="F913" t="str">
            <v>Máximo</v>
          </cell>
          <cell r="G913">
            <v>100</v>
          </cell>
          <cell r="I913" t="str">
            <v>kg CO₂</v>
          </cell>
          <cell r="J913" t="str">
            <v>GJ</v>
          </cell>
        </row>
        <row r="914">
          <cell r="C914" t="str">
            <v>Fontes Estacionárias</v>
          </cell>
          <cell r="E914" t="str">
            <v>Construção e Manufatura</v>
          </cell>
          <cell r="F914" t="str">
            <v>Default</v>
          </cell>
          <cell r="G914">
            <v>96.1</v>
          </cell>
          <cell r="I914" t="str">
            <v>kg CO₂</v>
          </cell>
          <cell r="J914" t="str">
            <v>GJ</v>
          </cell>
        </row>
        <row r="915">
          <cell r="C915" t="str">
            <v>Fontes Estacionárias</v>
          </cell>
          <cell r="E915" t="str">
            <v>Construção e Manufatura</v>
          </cell>
          <cell r="F915" t="str">
            <v>Mínimo</v>
          </cell>
          <cell r="G915">
            <v>3.0000000000000001E-3</v>
          </cell>
          <cell r="I915" t="str">
            <v>kg CH₄</v>
          </cell>
          <cell r="J915" t="str">
            <v>GJ</v>
          </cell>
        </row>
        <row r="916">
          <cell r="C916" t="str">
            <v>Fontes Estacionárias</v>
          </cell>
          <cell r="E916" t="str">
            <v>Construção e Manufatura</v>
          </cell>
          <cell r="F916" t="str">
            <v>Máximo</v>
          </cell>
          <cell r="G916">
            <v>0.03</v>
          </cell>
          <cell r="I916" t="str">
            <v>kg CH₄</v>
          </cell>
          <cell r="J916" t="str">
            <v>GJ</v>
          </cell>
        </row>
        <row r="917">
          <cell r="C917" t="str">
            <v>Fontes Estacionárias</v>
          </cell>
          <cell r="E917" t="str">
            <v>Construção e Manufatura</v>
          </cell>
          <cell r="F917" t="str">
            <v>Default</v>
          </cell>
          <cell r="G917">
            <v>0.01</v>
          </cell>
          <cell r="I917" t="str">
            <v>kg CH₄</v>
          </cell>
          <cell r="J917" t="str">
            <v>GJ</v>
          </cell>
        </row>
        <row r="918">
          <cell r="C918" t="str">
            <v>Fontes Estacionárias</v>
          </cell>
          <cell r="E918" t="str">
            <v>Construção e Manufatura</v>
          </cell>
          <cell r="F918" t="str">
            <v>Mínimo</v>
          </cell>
          <cell r="G918">
            <v>5.0000000000000001E-4</v>
          </cell>
          <cell r="I918" t="str">
            <v>kg N₂O</v>
          </cell>
          <cell r="J918" t="str">
            <v>GJ</v>
          </cell>
        </row>
        <row r="919">
          <cell r="C919" t="str">
            <v>Fontes Estacionárias</v>
          </cell>
          <cell r="E919" t="str">
            <v>Construção e Manufatura</v>
          </cell>
          <cell r="F919" t="str">
            <v>Máximo</v>
          </cell>
          <cell r="G919">
            <v>5.0000000000000001E-3</v>
          </cell>
          <cell r="I919" t="str">
            <v>kg N₂O</v>
          </cell>
          <cell r="J919" t="str">
            <v>GJ</v>
          </cell>
        </row>
        <row r="920">
          <cell r="C920" t="str">
            <v>Fontes Estacionárias</v>
          </cell>
          <cell r="E920" t="str">
            <v>Construção e Manufatura</v>
          </cell>
          <cell r="F920" t="str">
            <v>Default</v>
          </cell>
          <cell r="G920">
            <v>1.5E-3</v>
          </cell>
          <cell r="I920" t="str">
            <v>kg N₂O</v>
          </cell>
          <cell r="J920" t="str">
            <v>GJ</v>
          </cell>
        </row>
        <row r="921">
          <cell r="C921" t="str">
            <v>Fontes Estacionárias</v>
          </cell>
          <cell r="E921" t="str">
            <v>Construção e Manufatura</v>
          </cell>
          <cell r="F921" t="str">
            <v>Mínimo</v>
          </cell>
          <cell r="G921">
            <v>95</v>
          </cell>
          <cell r="I921" t="str">
            <v>kg CO₂</v>
          </cell>
          <cell r="J921" t="str">
            <v>GJ</v>
          </cell>
        </row>
        <row r="922">
          <cell r="C922" t="str">
            <v>Fontes Estacionárias</v>
          </cell>
          <cell r="E922" t="str">
            <v>Construção e Manufatura</v>
          </cell>
          <cell r="F922" t="str">
            <v>Máximo</v>
          </cell>
          <cell r="G922">
            <v>132</v>
          </cell>
          <cell r="I922" t="str">
            <v>kg CO₂</v>
          </cell>
          <cell r="J922" t="str">
            <v>GJ</v>
          </cell>
        </row>
        <row r="923">
          <cell r="C923" t="str">
            <v>Fontes Estacionárias</v>
          </cell>
          <cell r="E923" t="str">
            <v>Construção e Manufatura</v>
          </cell>
          <cell r="F923" t="str">
            <v>Default</v>
          </cell>
          <cell r="G923">
            <v>112</v>
          </cell>
          <cell r="I923" t="str">
            <v>kg CO₂</v>
          </cell>
          <cell r="J923" t="str">
            <v>GJ</v>
          </cell>
        </row>
        <row r="924">
          <cell r="C924" t="str">
            <v>Fontes Estacionárias</v>
          </cell>
          <cell r="E924" t="str">
            <v>Construção e Manufatura</v>
          </cell>
          <cell r="F924" t="str">
            <v>Mínimo</v>
          </cell>
          <cell r="G924">
            <v>0.01</v>
          </cell>
          <cell r="I924" t="str">
            <v>kg CH₄</v>
          </cell>
          <cell r="J924" t="str">
            <v>GJ</v>
          </cell>
        </row>
        <row r="925">
          <cell r="C925" t="str">
            <v>Fontes Estacionárias</v>
          </cell>
          <cell r="E925" t="str">
            <v>Construção e Manufatura</v>
          </cell>
          <cell r="F925" t="str">
            <v>Máximo</v>
          </cell>
          <cell r="G925">
            <v>0.1</v>
          </cell>
          <cell r="I925" t="str">
            <v>kg CH₄</v>
          </cell>
          <cell r="J925" t="str">
            <v>GJ</v>
          </cell>
        </row>
        <row r="926">
          <cell r="C926" t="str">
            <v>Fontes Estacionárias</v>
          </cell>
          <cell r="E926" t="str">
            <v>Construção e Manufatura</v>
          </cell>
          <cell r="F926" t="str">
            <v>Default</v>
          </cell>
          <cell r="G926">
            <v>0.03</v>
          </cell>
          <cell r="I926" t="str">
            <v>kg CH₄</v>
          </cell>
          <cell r="J926" t="str">
            <v>GJ</v>
          </cell>
        </row>
        <row r="927">
          <cell r="C927" t="str">
            <v>Fontes Estacionárias</v>
          </cell>
          <cell r="E927" t="str">
            <v>Construção e Manufatura</v>
          </cell>
          <cell r="F927" t="str">
            <v>Mínimo</v>
          </cell>
          <cell r="G927">
            <v>1.5E-3</v>
          </cell>
          <cell r="I927" t="str">
            <v>kg N₂O</v>
          </cell>
          <cell r="J927" t="str">
            <v>GJ</v>
          </cell>
        </row>
        <row r="928">
          <cell r="C928" t="str">
            <v>Fontes Estacionárias</v>
          </cell>
          <cell r="E928" t="str">
            <v>Construção e Manufatura</v>
          </cell>
          <cell r="F928" t="str">
            <v>Máximo</v>
          </cell>
          <cell r="G928">
            <v>1.4999999999999999E-2</v>
          </cell>
          <cell r="I928" t="str">
            <v>kg N₂O</v>
          </cell>
          <cell r="J928" t="str">
            <v>GJ</v>
          </cell>
        </row>
        <row r="929">
          <cell r="C929" t="str">
            <v>Fontes Estacionárias</v>
          </cell>
          <cell r="E929" t="str">
            <v>Construção e Manufatura</v>
          </cell>
          <cell r="F929" t="str">
            <v>Default</v>
          </cell>
          <cell r="G929">
            <v>4.0000000000000001E-3</v>
          </cell>
          <cell r="I929" t="str">
            <v>kg N₂O</v>
          </cell>
          <cell r="J929" t="str">
            <v>GJ</v>
          </cell>
        </row>
        <row r="930">
          <cell r="C930" t="str">
            <v>Fontes Estacionárias</v>
          </cell>
          <cell r="E930" t="str">
            <v>Construção e Manufatura</v>
          </cell>
          <cell r="F930" t="str">
            <v>Mínimo</v>
          </cell>
          <cell r="G930">
            <v>55.926565334287076</v>
          </cell>
          <cell r="I930" t="str">
            <v>kg CO₂</v>
          </cell>
          <cell r="J930" t="str">
            <v>GJ</v>
          </cell>
        </row>
        <row r="931">
          <cell r="C931" t="str">
            <v>Fontes Estacionárias</v>
          </cell>
          <cell r="E931" t="str">
            <v>Construção e Manufatura</v>
          </cell>
          <cell r="F931" t="str">
            <v>Máximo</v>
          </cell>
          <cell r="G931">
            <v>60.483544731895655</v>
          </cell>
          <cell r="I931" t="str">
            <v>kg CO₂</v>
          </cell>
          <cell r="J931" t="str">
            <v>GJ</v>
          </cell>
        </row>
        <row r="932">
          <cell r="C932" t="str">
            <v>Fontes Estacionárias</v>
          </cell>
          <cell r="E932" t="str">
            <v>Construção e Manufatura</v>
          </cell>
          <cell r="F932" t="str">
            <v>Default</v>
          </cell>
          <cell r="G932">
            <v>57.417940409868066</v>
          </cell>
          <cell r="I932" t="str">
            <v>kg CO₂</v>
          </cell>
          <cell r="J932" t="str">
            <v>GJ</v>
          </cell>
        </row>
        <row r="933">
          <cell r="C933" t="str">
            <v>Fontes Estacionárias</v>
          </cell>
          <cell r="E933" t="str">
            <v>Construção e Manufatura</v>
          </cell>
          <cell r="F933" t="str">
            <v>Mínimo</v>
          </cell>
          <cell r="G933">
            <v>1E-3</v>
          </cell>
          <cell r="I933" t="str">
            <v>kg CH₄</v>
          </cell>
          <cell r="J933" t="str">
            <v>GJ</v>
          </cell>
        </row>
        <row r="934">
          <cell r="C934" t="str">
            <v>Fontes Estacionárias</v>
          </cell>
          <cell r="E934" t="str">
            <v>Construção e Manufatura</v>
          </cell>
          <cell r="F934" t="str">
            <v>Máximo</v>
          </cell>
          <cell r="G934">
            <v>0.01</v>
          </cell>
          <cell r="I934" t="str">
            <v>kg CH₄</v>
          </cell>
          <cell r="J934" t="str">
            <v>GJ</v>
          </cell>
        </row>
        <row r="935">
          <cell r="C935" t="str">
            <v>Fontes Estacionárias</v>
          </cell>
          <cell r="E935" t="str">
            <v>Construção e Manufatura</v>
          </cell>
          <cell r="F935" t="str">
            <v>Default</v>
          </cell>
          <cell r="G935">
            <v>3.0000000000000001E-3</v>
          </cell>
          <cell r="I935" t="str">
            <v>kg CH₄</v>
          </cell>
          <cell r="J935" t="str">
            <v>GJ</v>
          </cell>
        </row>
        <row r="936">
          <cell r="C936" t="str">
            <v>Fontes Estacionárias</v>
          </cell>
          <cell r="E936" t="str">
            <v>Construção e Manufatura</v>
          </cell>
          <cell r="F936" t="str">
            <v>Mínimo</v>
          </cell>
          <cell r="G936">
            <v>2.0000000000000001E-4</v>
          </cell>
          <cell r="I936" t="str">
            <v>kg N₂O</v>
          </cell>
          <cell r="J936" t="str">
            <v>GJ</v>
          </cell>
        </row>
        <row r="937">
          <cell r="C937" t="str">
            <v>Fontes Estacionárias</v>
          </cell>
          <cell r="E937" t="str">
            <v>Construção e Manufatura</v>
          </cell>
          <cell r="F937" t="str">
            <v>Máximo</v>
          </cell>
          <cell r="G937">
            <v>2E-3</v>
          </cell>
          <cell r="I937" t="str">
            <v>kg N₂O</v>
          </cell>
          <cell r="J937" t="str">
            <v>GJ</v>
          </cell>
        </row>
        <row r="938">
          <cell r="C938" t="str">
            <v>Fontes Estacionárias</v>
          </cell>
          <cell r="E938" t="str">
            <v>Construção e Manufatura</v>
          </cell>
          <cell r="F938" t="str">
            <v>Default</v>
          </cell>
          <cell r="G938">
            <v>5.9999999999999995E-4</v>
          </cell>
          <cell r="I938" t="str">
            <v>kg N₂O</v>
          </cell>
          <cell r="J938" t="str">
            <v>GJ</v>
          </cell>
        </row>
        <row r="939">
          <cell r="C939" t="str">
            <v>Fontes Estacionárias</v>
          </cell>
          <cell r="E939" t="str">
            <v>Construção e Manufatura</v>
          </cell>
          <cell r="F939" t="str">
            <v>Mínimo</v>
          </cell>
          <cell r="G939">
            <v>67.5</v>
          </cell>
          <cell r="I939" t="str">
            <v>kg CO₂</v>
          </cell>
          <cell r="J939" t="str">
            <v>GJ</v>
          </cell>
        </row>
        <row r="940">
          <cell r="C940" t="str">
            <v>Fontes Estacionárias</v>
          </cell>
          <cell r="E940" t="str">
            <v>Construção e Manufatura</v>
          </cell>
          <cell r="F940" t="str">
            <v>Máximo</v>
          </cell>
          <cell r="G940">
            <v>73</v>
          </cell>
          <cell r="I940" t="str">
            <v>kg CO₂</v>
          </cell>
          <cell r="J940" t="str">
            <v>GJ</v>
          </cell>
        </row>
        <row r="941">
          <cell r="C941" t="str">
            <v>Fontes Estacionárias</v>
          </cell>
          <cell r="E941" t="str">
            <v>Construção e Manufatura</v>
          </cell>
          <cell r="F941" t="str">
            <v>Default</v>
          </cell>
          <cell r="G941">
            <v>69.3</v>
          </cell>
          <cell r="I941" t="str">
            <v>kg CO₂</v>
          </cell>
          <cell r="J941" t="str">
            <v>GJ</v>
          </cell>
        </row>
        <row r="942">
          <cell r="C942" t="str">
            <v>Fontes Estacionárias</v>
          </cell>
          <cell r="E942" t="str">
            <v>Construção e Manufatura</v>
          </cell>
          <cell r="F942" t="str">
            <v>Mínimo</v>
          </cell>
          <cell r="G942">
            <v>1E-3</v>
          </cell>
          <cell r="I942" t="str">
            <v>kg CH₄</v>
          </cell>
          <cell r="J942" t="str">
            <v>GJ</v>
          </cell>
        </row>
        <row r="943">
          <cell r="C943" t="str">
            <v>Fontes Estacionárias</v>
          </cell>
          <cell r="E943" t="str">
            <v>Construção e Manufatura</v>
          </cell>
          <cell r="F943" t="str">
            <v>Máximo</v>
          </cell>
          <cell r="G943">
            <v>0.01</v>
          </cell>
          <cell r="I943" t="str">
            <v>kg CH₄</v>
          </cell>
          <cell r="J943" t="str">
            <v>GJ</v>
          </cell>
        </row>
        <row r="944">
          <cell r="C944" t="str">
            <v>Fontes Estacionárias</v>
          </cell>
          <cell r="E944" t="str">
            <v>Construção e Manufatura</v>
          </cell>
          <cell r="F944" t="str">
            <v>Default</v>
          </cell>
          <cell r="G944">
            <v>3.0000000000000001E-3</v>
          </cell>
          <cell r="I944" t="str">
            <v>kg CH₄</v>
          </cell>
          <cell r="J944" t="str">
            <v>GJ</v>
          </cell>
        </row>
        <row r="945">
          <cell r="C945" t="str">
            <v>Fontes Estacionárias</v>
          </cell>
          <cell r="E945" t="str">
            <v>Construção e Manufatura</v>
          </cell>
          <cell r="F945" t="str">
            <v>Mínimo</v>
          </cell>
          <cell r="G945">
            <v>2.0000000000000001E-4</v>
          </cell>
          <cell r="I945" t="str">
            <v>kg N₂O</v>
          </cell>
          <cell r="J945" t="str">
            <v>GJ</v>
          </cell>
        </row>
        <row r="946">
          <cell r="C946" t="str">
            <v>Fontes Estacionárias</v>
          </cell>
          <cell r="E946" t="str">
            <v>Construção e Manufatura</v>
          </cell>
          <cell r="F946" t="str">
            <v>Máximo</v>
          </cell>
          <cell r="G946">
            <v>2E-3</v>
          </cell>
          <cell r="I946" t="str">
            <v>kg N₂O</v>
          </cell>
          <cell r="J946" t="str">
            <v>GJ</v>
          </cell>
        </row>
        <row r="947">
          <cell r="C947" t="str">
            <v>Fontes Estacionárias</v>
          </cell>
          <cell r="E947" t="str">
            <v>Construção e Manufatura</v>
          </cell>
          <cell r="F947" t="str">
            <v>Default</v>
          </cell>
          <cell r="G947">
            <v>5.9999999999999995E-4</v>
          </cell>
          <cell r="I947" t="str">
            <v>kg N₂O</v>
          </cell>
          <cell r="J947" t="str">
            <v>GJ</v>
          </cell>
        </row>
        <row r="948">
          <cell r="C948" t="str">
            <v>Fontes Estacionárias</v>
          </cell>
          <cell r="E948" t="str">
            <v>Construção e Manufatura</v>
          </cell>
          <cell r="F948" t="str">
            <v>Mínimo</v>
          </cell>
          <cell r="G948">
            <v>69.27195726721564</v>
          </cell>
          <cell r="I948" t="str">
            <v>kg CO₂</v>
          </cell>
          <cell r="J948" t="str">
            <v>GJ</v>
          </cell>
        </row>
        <row r="949">
          <cell r="C949" t="str">
            <v>Fontes Estacionárias</v>
          </cell>
          <cell r="E949" t="str">
            <v>Construção e Manufatura</v>
          </cell>
          <cell r="F949" t="str">
            <v>Máximo</v>
          </cell>
          <cell r="G949">
            <v>71.371107487434315</v>
          </cell>
          <cell r="I949" t="str">
            <v>kg CO₂</v>
          </cell>
          <cell r="J949" t="str">
            <v>GJ</v>
          </cell>
        </row>
        <row r="950">
          <cell r="C950" t="str">
            <v>Fontes Estacionárias</v>
          </cell>
          <cell r="E950" t="str">
            <v>Construção e Manufatura</v>
          </cell>
          <cell r="F950" t="str">
            <v>Default</v>
          </cell>
          <cell r="G950">
            <v>70.703196053728377</v>
          </cell>
          <cell r="I950" t="str">
            <v>kg CO₂</v>
          </cell>
          <cell r="J950" t="str">
            <v>GJ</v>
          </cell>
        </row>
        <row r="951">
          <cell r="C951" t="str">
            <v>Fontes Estacionárias</v>
          </cell>
          <cell r="E951" t="str">
            <v>Construção e Manufatura</v>
          </cell>
          <cell r="F951" t="str">
            <v>Mínimo</v>
          </cell>
          <cell r="G951">
            <v>1E-3</v>
          </cell>
          <cell r="I951" t="str">
            <v>kg CH₄</v>
          </cell>
          <cell r="J951" t="str">
            <v>GJ</v>
          </cell>
        </row>
        <row r="952">
          <cell r="C952" t="str">
            <v>Fontes Estacionárias</v>
          </cell>
          <cell r="E952" t="str">
            <v>Construção e Manufatura</v>
          </cell>
          <cell r="F952" t="str">
            <v>Máximo</v>
          </cell>
          <cell r="G952">
            <v>0.01</v>
          </cell>
          <cell r="I952" t="str">
            <v>kg CH₄</v>
          </cell>
          <cell r="J952" t="str">
            <v>GJ</v>
          </cell>
        </row>
        <row r="953">
          <cell r="C953" t="str">
            <v>Fontes Estacionárias</v>
          </cell>
          <cell r="E953" t="str">
            <v>Construção e Manufatura</v>
          </cell>
          <cell r="F953" t="str">
            <v>Default</v>
          </cell>
          <cell r="G953">
            <v>3.0000000000000001E-3</v>
          </cell>
          <cell r="I953" t="str">
            <v>kg CH₄</v>
          </cell>
          <cell r="J953" t="str">
            <v>GJ</v>
          </cell>
        </row>
        <row r="954">
          <cell r="C954" t="str">
            <v>Fontes Estacionárias</v>
          </cell>
          <cell r="E954" t="str">
            <v>Construção e Manufatura</v>
          </cell>
          <cell r="F954" t="str">
            <v>Mínimo</v>
          </cell>
          <cell r="G954">
            <v>2.0000000000000001E-4</v>
          </cell>
          <cell r="I954" t="str">
            <v>kg N₂O</v>
          </cell>
          <cell r="J954" t="str">
            <v>GJ</v>
          </cell>
        </row>
        <row r="955">
          <cell r="C955" t="str">
            <v>Fontes Estacionárias</v>
          </cell>
          <cell r="E955" t="str">
            <v>Construção e Manufatura</v>
          </cell>
          <cell r="F955" t="str">
            <v>Máximo</v>
          </cell>
          <cell r="G955">
            <v>2E-3</v>
          </cell>
          <cell r="I955" t="str">
            <v>kg N₂O</v>
          </cell>
          <cell r="J955" t="str">
            <v>GJ</v>
          </cell>
        </row>
        <row r="956">
          <cell r="C956" t="str">
            <v>Fontes Estacionárias</v>
          </cell>
          <cell r="E956" t="str">
            <v>Construção e Manufatura</v>
          </cell>
          <cell r="F956" t="str">
            <v>Default</v>
          </cell>
          <cell r="G956">
            <v>5.9999999999999995E-4</v>
          </cell>
          <cell r="I956" t="str">
            <v>kg N₂O</v>
          </cell>
          <cell r="J956" t="str">
            <v>GJ</v>
          </cell>
        </row>
        <row r="957">
          <cell r="C957" t="str">
            <v>Fontes Estacionárias</v>
          </cell>
          <cell r="E957" t="str">
            <v>Construção e Manufatura</v>
          </cell>
          <cell r="F957" t="str">
            <v>Mínimo</v>
          </cell>
          <cell r="G957">
            <v>72.599999999999994</v>
          </cell>
          <cell r="I957" t="str">
            <v>kg CO₂</v>
          </cell>
          <cell r="J957" t="str">
            <v>GJ</v>
          </cell>
        </row>
        <row r="958">
          <cell r="C958" t="str">
            <v>Fontes Estacionárias</v>
          </cell>
          <cell r="E958" t="str">
            <v>Construção e Manufatura</v>
          </cell>
          <cell r="F958" t="str">
            <v>Máximo</v>
          </cell>
          <cell r="G958">
            <v>74.8</v>
          </cell>
          <cell r="I958" t="str">
            <v>kg CO₂</v>
          </cell>
          <cell r="J958" t="str">
            <v>GJ</v>
          </cell>
        </row>
        <row r="959">
          <cell r="C959" t="str">
            <v>Fontes Estacionárias</v>
          </cell>
          <cell r="E959" t="str">
            <v>Construção e Manufatura</v>
          </cell>
          <cell r="F959" t="str">
            <v>Default</v>
          </cell>
          <cell r="G959">
            <v>74.099999999999994</v>
          </cell>
          <cell r="I959" t="str">
            <v>kg CO₂</v>
          </cell>
          <cell r="J959" t="str">
            <v>GJ</v>
          </cell>
        </row>
        <row r="960">
          <cell r="C960" t="str">
            <v>Fontes Estacionárias</v>
          </cell>
          <cell r="E960" t="str">
            <v>Construção e Manufatura</v>
          </cell>
          <cell r="F960" t="str">
            <v>Mínimo</v>
          </cell>
          <cell r="G960">
            <v>1E-3</v>
          </cell>
          <cell r="I960" t="str">
            <v>kg CH₄</v>
          </cell>
          <cell r="J960" t="str">
            <v>GJ</v>
          </cell>
        </row>
        <row r="961">
          <cell r="C961" t="str">
            <v>Fontes Estacionárias</v>
          </cell>
          <cell r="E961" t="str">
            <v>Construção e Manufatura</v>
          </cell>
          <cell r="F961" t="str">
            <v>Máximo</v>
          </cell>
          <cell r="G961">
            <v>0.01</v>
          </cell>
          <cell r="I961" t="str">
            <v>kg CH₄</v>
          </cell>
          <cell r="J961" t="str">
            <v>GJ</v>
          </cell>
        </row>
        <row r="962">
          <cell r="C962" t="str">
            <v>Fontes Estacionárias</v>
          </cell>
          <cell r="E962" t="str">
            <v>Construção e Manufatura</v>
          </cell>
          <cell r="F962" t="str">
            <v>Default</v>
          </cell>
          <cell r="G962">
            <v>3.0000000000000001E-3</v>
          </cell>
          <cell r="I962" t="str">
            <v>kg CH₄</v>
          </cell>
          <cell r="J962" t="str">
            <v>GJ</v>
          </cell>
        </row>
        <row r="963">
          <cell r="C963" t="str">
            <v>Fontes Estacionárias</v>
          </cell>
          <cell r="E963" t="str">
            <v>Construção e Manufatura</v>
          </cell>
          <cell r="F963" t="str">
            <v>Mínimo</v>
          </cell>
          <cell r="G963">
            <v>2.0000000000000001E-4</v>
          </cell>
          <cell r="I963" t="str">
            <v>kg N₂O</v>
          </cell>
          <cell r="J963" t="str">
            <v>GJ</v>
          </cell>
        </row>
        <row r="964">
          <cell r="C964" t="str">
            <v>Fontes Estacionárias</v>
          </cell>
          <cell r="E964" t="str">
            <v>Construção e Manufatura</v>
          </cell>
          <cell r="F964" t="str">
            <v>Máximo</v>
          </cell>
          <cell r="G964">
            <v>2E-3</v>
          </cell>
          <cell r="I964" t="str">
            <v>kg N₂O</v>
          </cell>
          <cell r="J964" t="str">
            <v>GJ</v>
          </cell>
        </row>
        <row r="965">
          <cell r="C965" t="str">
            <v>Fontes Estacionárias</v>
          </cell>
          <cell r="E965" t="str">
            <v>Construção e Manufatura</v>
          </cell>
          <cell r="F965" t="str">
            <v>Default</v>
          </cell>
          <cell r="G965">
            <v>5.9999999999999995E-4</v>
          </cell>
          <cell r="I965" t="str">
            <v>kg N₂O</v>
          </cell>
          <cell r="J965" t="str">
            <v>GJ</v>
          </cell>
        </row>
        <row r="966">
          <cell r="C966" t="str">
            <v>Fontes Móveis</v>
          </cell>
          <cell r="E966" t="str">
            <v>N/A</v>
          </cell>
          <cell r="F966" t="str">
            <v>Default</v>
          </cell>
          <cell r="G966">
            <v>74.099999999999994</v>
          </cell>
          <cell r="I966" t="str">
            <v>kg CO₂</v>
          </cell>
          <cell r="J966" t="str">
            <v>GJ</v>
          </cell>
        </row>
        <row r="967">
          <cell r="C967" t="str">
            <v>Fontes Móveis</v>
          </cell>
          <cell r="E967" t="str">
            <v>N/A</v>
          </cell>
          <cell r="F967" t="str">
            <v>Mínimo</v>
          </cell>
          <cell r="G967">
            <v>72.599999999999994</v>
          </cell>
          <cell r="I967" t="str">
            <v>kg CO₂</v>
          </cell>
          <cell r="J967" t="str">
            <v>GJ</v>
          </cell>
        </row>
        <row r="968">
          <cell r="C968" t="str">
            <v>Fontes Móveis</v>
          </cell>
          <cell r="E968" t="str">
            <v>N/A</v>
          </cell>
          <cell r="F968" t="str">
            <v>Máximo</v>
          </cell>
          <cell r="G968">
            <v>74.8</v>
          </cell>
          <cell r="I968" t="str">
            <v>kg CO₂</v>
          </cell>
          <cell r="J968" t="str">
            <v>GJ</v>
          </cell>
        </row>
        <row r="969">
          <cell r="C969" t="str">
            <v>Fontes Móveis</v>
          </cell>
          <cell r="E969" t="str">
            <v>N/A</v>
          </cell>
          <cell r="F969" t="str">
            <v>Default</v>
          </cell>
          <cell r="G969">
            <v>3.8999999999999998E-3</v>
          </cell>
          <cell r="I969" t="str">
            <v>kg CH₄</v>
          </cell>
          <cell r="J969" t="str">
            <v>GJ</v>
          </cell>
        </row>
        <row r="970">
          <cell r="C970" t="str">
            <v>Fontes Móveis</v>
          </cell>
          <cell r="E970" t="str">
            <v>N/A</v>
          </cell>
          <cell r="F970" t="str">
            <v>Mínimo</v>
          </cell>
          <cell r="G970">
            <v>1.6000000000000001E-3</v>
          </cell>
          <cell r="I970" t="str">
            <v>kg CH₄</v>
          </cell>
          <cell r="J970" t="str">
            <v>GJ</v>
          </cell>
        </row>
        <row r="971">
          <cell r="C971" t="str">
            <v>Fontes Móveis</v>
          </cell>
          <cell r="E971" t="str">
            <v>N/A</v>
          </cell>
          <cell r="F971" t="str">
            <v>Máximo</v>
          </cell>
          <cell r="G971">
            <v>9.4999999999999998E-3</v>
          </cell>
          <cell r="I971" t="str">
            <v>kg CH₄</v>
          </cell>
          <cell r="J971" t="str">
            <v>GJ</v>
          </cell>
        </row>
        <row r="972">
          <cell r="C972" t="str">
            <v>Fontes Móveis</v>
          </cell>
          <cell r="E972" t="str">
            <v>N/A</v>
          </cell>
          <cell r="F972" t="str">
            <v>Default</v>
          </cell>
          <cell r="G972">
            <v>3.8999999999999998E-3</v>
          </cell>
          <cell r="I972" t="str">
            <v>kg N₂O</v>
          </cell>
          <cell r="J972" t="str">
            <v>GJ</v>
          </cell>
        </row>
        <row r="973">
          <cell r="C973" t="str">
            <v>Fontes Móveis</v>
          </cell>
          <cell r="E973" t="str">
            <v>N/A</v>
          </cell>
          <cell r="F973" t="str">
            <v>Mínimo</v>
          </cell>
          <cell r="G973">
            <v>1.2999999999999999E-3</v>
          </cell>
          <cell r="I973" t="str">
            <v>kg N₂O</v>
          </cell>
          <cell r="J973" t="str">
            <v>GJ</v>
          </cell>
        </row>
        <row r="974">
          <cell r="C974" t="str">
            <v>Fontes Móveis</v>
          </cell>
          <cell r="E974" t="str">
            <v>N/A</v>
          </cell>
          <cell r="F974" t="str">
            <v>Máximo</v>
          </cell>
          <cell r="G974">
            <v>1.2E-2</v>
          </cell>
          <cell r="I974" t="str">
            <v>kg N₂O</v>
          </cell>
          <cell r="J974" t="str">
            <v>GJ</v>
          </cell>
        </row>
        <row r="975">
          <cell r="C975" t="str">
            <v>Fontes Móveis</v>
          </cell>
          <cell r="E975" t="str">
            <v>N/A</v>
          </cell>
          <cell r="F975" t="str">
            <v>Default</v>
          </cell>
          <cell r="G975">
            <v>74.099999999999994</v>
          </cell>
          <cell r="I975" t="str">
            <v>kg CO₂</v>
          </cell>
          <cell r="J975" t="str">
            <v>GJ</v>
          </cell>
        </row>
        <row r="976">
          <cell r="C976" t="str">
            <v>Fontes Móveis</v>
          </cell>
          <cell r="E976" t="str">
            <v>N/A</v>
          </cell>
          <cell r="F976" t="str">
            <v>Mínimo</v>
          </cell>
          <cell r="G976">
            <v>72.599999999999994</v>
          </cell>
          <cell r="I976" t="str">
            <v>kg CO₂</v>
          </cell>
          <cell r="J976" t="str">
            <v>GJ</v>
          </cell>
        </row>
        <row r="977">
          <cell r="C977" t="str">
            <v>Fontes Móveis</v>
          </cell>
          <cell r="E977" t="str">
            <v>N/A</v>
          </cell>
          <cell r="F977" t="str">
            <v>Máximo</v>
          </cell>
          <cell r="G977">
            <v>74.8</v>
          </cell>
          <cell r="I977" t="str">
            <v>kg CO₂</v>
          </cell>
          <cell r="J977" t="str">
            <v>GJ</v>
          </cell>
        </row>
        <row r="978">
          <cell r="C978" t="str">
            <v>Fontes Móveis</v>
          </cell>
          <cell r="E978" t="str">
            <v>N/A</v>
          </cell>
          <cell r="F978" t="str">
            <v>Default</v>
          </cell>
          <cell r="G978">
            <v>3.8999999999999998E-3</v>
          </cell>
          <cell r="I978" t="str">
            <v>kg CH₄</v>
          </cell>
          <cell r="J978" t="str">
            <v>GJ</v>
          </cell>
        </row>
        <row r="979">
          <cell r="C979" t="str">
            <v>Fontes Móveis</v>
          </cell>
          <cell r="E979" t="str">
            <v>N/A</v>
          </cell>
          <cell r="F979" t="str">
            <v>Mínimo</v>
          </cell>
          <cell r="G979">
            <v>1.6000000000000001E-3</v>
          </cell>
          <cell r="I979" t="str">
            <v>kg CH₄</v>
          </cell>
          <cell r="J979" t="str">
            <v>GJ</v>
          </cell>
        </row>
        <row r="980">
          <cell r="C980" t="str">
            <v>Fontes Móveis</v>
          </cell>
          <cell r="E980" t="str">
            <v>N/A</v>
          </cell>
          <cell r="F980" t="str">
            <v>Máximo</v>
          </cell>
          <cell r="G980">
            <v>9.4999999999999998E-3</v>
          </cell>
          <cell r="I980" t="str">
            <v>kg CH₄</v>
          </cell>
          <cell r="J980" t="str">
            <v>GJ</v>
          </cell>
        </row>
        <row r="981">
          <cell r="C981" t="str">
            <v>Fontes Móveis</v>
          </cell>
          <cell r="E981" t="str">
            <v>N/A</v>
          </cell>
          <cell r="F981" t="str">
            <v>Default</v>
          </cell>
          <cell r="G981">
            <v>3.8999999999999998E-3</v>
          </cell>
          <cell r="I981" t="str">
            <v>kg N₂O</v>
          </cell>
          <cell r="J981" t="str">
            <v>GJ</v>
          </cell>
        </row>
        <row r="982">
          <cell r="C982" t="str">
            <v>Fontes Móveis</v>
          </cell>
          <cell r="E982" t="str">
            <v>N/A</v>
          </cell>
          <cell r="F982" t="str">
            <v>Mínimo</v>
          </cell>
          <cell r="G982">
            <v>1.2999999999999999E-3</v>
          </cell>
          <cell r="I982" t="str">
            <v>kg N₂O</v>
          </cell>
          <cell r="J982" t="str">
            <v>GJ</v>
          </cell>
        </row>
        <row r="983">
          <cell r="C983" t="str">
            <v>Fontes Móveis</v>
          </cell>
          <cell r="E983" t="str">
            <v>N/A</v>
          </cell>
          <cell r="F983" t="str">
            <v>Máximo</v>
          </cell>
          <cell r="G983">
            <v>1.2E-2</v>
          </cell>
          <cell r="I983" t="str">
            <v>kg N₂O</v>
          </cell>
          <cell r="J983" t="str">
            <v>GJ</v>
          </cell>
        </row>
        <row r="984">
          <cell r="C984" t="str">
            <v>Fontes Móveis</v>
          </cell>
          <cell r="E984" t="str">
            <v>N/A</v>
          </cell>
          <cell r="F984" t="str">
            <v>Default</v>
          </cell>
          <cell r="G984">
            <v>56.1</v>
          </cell>
          <cell r="I984" t="str">
            <v>kg CO₂</v>
          </cell>
          <cell r="J984" t="str">
            <v>GJ</v>
          </cell>
        </row>
        <row r="985">
          <cell r="C985" t="str">
            <v>Fontes Móveis</v>
          </cell>
          <cell r="E985" t="str">
            <v>N/A</v>
          </cell>
          <cell r="F985" t="str">
            <v>Mínimo</v>
          </cell>
          <cell r="G985">
            <v>54.3</v>
          </cell>
          <cell r="I985" t="str">
            <v>kg CO₂</v>
          </cell>
          <cell r="J985" t="str">
            <v>GJ</v>
          </cell>
        </row>
        <row r="986">
          <cell r="C986" t="str">
            <v>Fontes Móveis</v>
          </cell>
          <cell r="E986" t="str">
            <v>N/A</v>
          </cell>
          <cell r="F986" t="str">
            <v>Máximo</v>
          </cell>
          <cell r="G986">
            <v>58.3</v>
          </cell>
          <cell r="I986" t="str">
            <v>kg CO₂</v>
          </cell>
          <cell r="J986" t="str">
            <v>GJ</v>
          </cell>
        </row>
        <row r="987">
          <cell r="C987" t="str">
            <v>Fontes Móveis</v>
          </cell>
          <cell r="E987" t="str">
            <v>N/A</v>
          </cell>
          <cell r="F987" t="str">
            <v>Default</v>
          </cell>
          <cell r="G987">
            <v>9.1999999999999998E-2</v>
          </cell>
          <cell r="I987" t="str">
            <v>kg CH₄</v>
          </cell>
          <cell r="J987" t="str">
            <v>GJ</v>
          </cell>
        </row>
        <row r="988">
          <cell r="C988" t="str">
            <v>Fontes Móveis</v>
          </cell>
          <cell r="E988" t="str">
            <v>N/A</v>
          </cell>
          <cell r="F988" t="str">
            <v>Mínimo</v>
          </cell>
          <cell r="G988">
            <v>0.05</v>
          </cell>
          <cell r="I988" t="str">
            <v>kg CH₄</v>
          </cell>
          <cell r="J988" t="str">
            <v>GJ</v>
          </cell>
        </row>
        <row r="989">
          <cell r="C989" t="str">
            <v>Fontes Móveis</v>
          </cell>
          <cell r="E989" t="str">
            <v>N/A</v>
          </cell>
          <cell r="F989" t="str">
            <v>Máximo</v>
          </cell>
          <cell r="G989">
            <v>1.54</v>
          </cell>
          <cell r="I989" t="str">
            <v>kg CH₄</v>
          </cell>
          <cell r="J989" t="str">
            <v>GJ</v>
          </cell>
        </row>
        <row r="990">
          <cell r="C990" t="str">
            <v>Fontes Móveis</v>
          </cell>
          <cell r="E990" t="str">
            <v>N/A</v>
          </cell>
          <cell r="F990" t="str">
            <v>Default</v>
          </cell>
          <cell r="G990">
            <v>3.0000000000000001E-3</v>
          </cell>
          <cell r="I990" t="str">
            <v>kg N₂O</v>
          </cell>
          <cell r="J990" t="str">
            <v>GJ</v>
          </cell>
        </row>
        <row r="991">
          <cell r="C991" t="str">
            <v>Fontes Móveis</v>
          </cell>
          <cell r="E991" t="str">
            <v>N/A</v>
          </cell>
          <cell r="F991" t="str">
            <v>Mínimo</v>
          </cell>
          <cell r="G991">
            <v>1E-3</v>
          </cell>
          <cell r="I991" t="str">
            <v>kg N₂O</v>
          </cell>
          <cell r="J991" t="str">
            <v>GJ</v>
          </cell>
        </row>
        <row r="992">
          <cell r="C992" t="str">
            <v>Fontes Móveis</v>
          </cell>
          <cell r="E992" t="str">
            <v>N/A</v>
          </cell>
          <cell r="F992" t="str">
            <v>Máximo</v>
          </cell>
          <cell r="G992">
            <v>7.6999999999999999E-2</v>
          </cell>
          <cell r="I992" t="str">
            <v>kg N₂O</v>
          </cell>
          <cell r="J992" t="str">
            <v>GJ</v>
          </cell>
        </row>
        <row r="993">
          <cell r="C993" t="str">
            <v>Fontes Móveis</v>
          </cell>
          <cell r="E993" t="str">
            <v>N/A</v>
          </cell>
          <cell r="F993" t="str">
            <v>Default</v>
          </cell>
          <cell r="G993">
            <v>57.417940409868066</v>
          </cell>
          <cell r="I993" t="str">
            <v>kg CO₂</v>
          </cell>
          <cell r="J993" t="str">
            <v>GJ</v>
          </cell>
        </row>
        <row r="994">
          <cell r="C994" t="str">
            <v>Fontes Móveis</v>
          </cell>
          <cell r="E994" t="str">
            <v>N/A</v>
          </cell>
          <cell r="F994" t="str">
            <v>Mínimo</v>
          </cell>
          <cell r="G994">
            <v>55.926565334287076</v>
          </cell>
          <cell r="I994" t="str">
            <v>kg CO₂</v>
          </cell>
          <cell r="J994" t="str">
            <v>GJ</v>
          </cell>
        </row>
        <row r="995">
          <cell r="C995" t="str">
            <v>Fontes Móveis</v>
          </cell>
          <cell r="E995" t="str">
            <v>N/A</v>
          </cell>
          <cell r="F995" t="str">
            <v>Máximo</v>
          </cell>
          <cell r="G995">
            <v>60.483544731895655</v>
          </cell>
          <cell r="I995" t="str">
            <v>kg CO₂</v>
          </cell>
          <cell r="J995" t="str">
            <v>GJ</v>
          </cell>
        </row>
        <row r="996">
          <cell r="C996" t="str">
            <v>Fontes Móveis</v>
          </cell>
          <cell r="E996" t="str">
            <v>N/A</v>
          </cell>
          <cell r="F996" t="str">
            <v>Default</v>
          </cell>
          <cell r="G996">
            <v>2.3799791960592738E-2</v>
          </cell>
          <cell r="I996" t="str">
            <v>kg CH₄</v>
          </cell>
          <cell r="J996" t="str">
            <v>GJ</v>
          </cell>
        </row>
        <row r="997">
          <cell r="C997" t="str">
            <v>Fontes Móveis</v>
          </cell>
          <cell r="E997" t="str">
            <v>N/A</v>
          </cell>
          <cell r="F997" t="str">
            <v>Mínimo</v>
          </cell>
          <cell r="G997">
            <v>8.4430206023914222E-3</v>
          </cell>
          <cell r="I997" t="str">
            <v>kg CH₄</v>
          </cell>
          <cell r="J997" t="str">
            <v>GJ</v>
          </cell>
        </row>
        <row r="998">
          <cell r="C998" t="str">
            <v>Fontes Móveis</v>
          </cell>
          <cell r="E998" t="str">
            <v>N/A</v>
          </cell>
          <cell r="F998" t="str">
            <v>Máximo</v>
          </cell>
          <cell r="G998">
            <v>8.5657083417312208E-2</v>
          </cell>
          <cell r="I998" t="str">
            <v>kg CH₄</v>
          </cell>
          <cell r="J998" t="str">
            <v>GJ</v>
          </cell>
        </row>
        <row r="999">
          <cell r="C999" t="str">
            <v>Fontes Móveis</v>
          </cell>
          <cell r="E999" t="str">
            <v>N/A</v>
          </cell>
          <cell r="F999" t="str">
            <v>Default</v>
          </cell>
          <cell r="G999">
            <v>6.7312086440551771E-3</v>
          </cell>
          <cell r="I999" t="str">
            <v>kg N₂O</v>
          </cell>
          <cell r="J999" t="str">
            <v>GJ</v>
          </cell>
        </row>
        <row r="1000">
          <cell r="C1000" t="str">
            <v>Fontes Móveis</v>
          </cell>
          <cell r="E1000" t="str">
            <v>N/A</v>
          </cell>
          <cell r="F1000" t="str">
            <v>Mínimo</v>
          </cell>
          <cell r="G1000">
            <v>2.1885001007746511E-3</v>
          </cell>
          <cell r="I1000" t="str">
            <v>kg N₂O</v>
          </cell>
          <cell r="J1000" t="str">
            <v>GJ</v>
          </cell>
        </row>
        <row r="1001">
          <cell r="C1001" t="str">
            <v>Fontes Móveis</v>
          </cell>
          <cell r="E1001" t="str">
            <v>N/A</v>
          </cell>
          <cell r="F1001" t="str">
            <v>Máximo</v>
          </cell>
          <cell r="G1001">
            <v>2.0227917590434307E-2</v>
          </cell>
          <cell r="I1001" t="str">
            <v>kg N₂O</v>
          </cell>
          <cell r="J1001" t="str">
            <v>GJ</v>
          </cell>
        </row>
        <row r="1002">
          <cell r="C1002" t="str">
            <v>Fontes Móveis</v>
          </cell>
          <cell r="E1002" t="str">
            <v>N/A</v>
          </cell>
          <cell r="F1002" t="str">
            <v>Default</v>
          </cell>
          <cell r="G1002">
            <v>69.3</v>
          </cell>
          <cell r="I1002" t="str">
            <v>kg CO₂</v>
          </cell>
          <cell r="J1002" t="str">
            <v>GJ</v>
          </cell>
        </row>
        <row r="1003">
          <cell r="C1003" t="str">
            <v>Fontes Móveis</v>
          </cell>
          <cell r="E1003" t="str">
            <v>N/A</v>
          </cell>
          <cell r="F1003" t="str">
            <v>Mínimo</v>
          </cell>
          <cell r="G1003">
            <v>67.5</v>
          </cell>
          <cell r="I1003" t="str">
            <v>kg CO₂</v>
          </cell>
          <cell r="J1003" t="str">
            <v>GJ</v>
          </cell>
        </row>
        <row r="1004">
          <cell r="C1004" t="str">
            <v>Fontes Móveis</v>
          </cell>
          <cell r="E1004" t="str">
            <v>N/A</v>
          </cell>
          <cell r="F1004" t="str">
            <v>Máximo</v>
          </cell>
          <cell r="G1004">
            <v>73</v>
          </cell>
          <cell r="I1004" t="str">
            <v>kg CO₂</v>
          </cell>
          <cell r="J1004" t="str">
            <v>GJ</v>
          </cell>
        </row>
        <row r="1005">
          <cell r="C1005" t="str">
            <v>Fontes Móveis</v>
          </cell>
          <cell r="E1005" t="str">
            <v>N/A</v>
          </cell>
          <cell r="F1005" t="str">
            <v>Default</v>
          </cell>
          <cell r="G1005">
            <v>2.5000000000000001E-2</v>
          </cell>
          <cell r="I1005" t="str">
            <v>kg CH₄</v>
          </cell>
          <cell r="J1005" t="str">
            <v>GJ</v>
          </cell>
        </row>
        <row r="1006">
          <cell r="C1006" t="str">
            <v>Fontes Móveis</v>
          </cell>
          <cell r="E1006" t="str">
            <v>N/A</v>
          </cell>
          <cell r="F1006" t="str">
            <v>Mínimo</v>
          </cell>
          <cell r="G1006">
            <v>7.4999999999999997E-3</v>
          </cell>
          <cell r="I1006" t="str">
            <v>kg CH₄</v>
          </cell>
          <cell r="J1006" t="str">
            <v>GJ</v>
          </cell>
        </row>
        <row r="1007">
          <cell r="C1007" t="str">
            <v>Fontes Móveis</v>
          </cell>
          <cell r="E1007" t="str">
            <v>N/A</v>
          </cell>
          <cell r="F1007" t="str">
            <v>Máximo</v>
          </cell>
          <cell r="G1007">
            <v>8.5999999999999993E-2</v>
          </cell>
          <cell r="I1007" t="str">
            <v>kg CH₄</v>
          </cell>
          <cell r="J1007" t="str">
            <v>GJ</v>
          </cell>
        </row>
        <row r="1008">
          <cell r="C1008" t="str">
            <v>Fontes Móveis</v>
          </cell>
          <cell r="E1008" t="str">
            <v>N/A</v>
          </cell>
          <cell r="F1008" t="str">
            <v>Default</v>
          </cell>
          <cell r="G1008">
            <v>8.0000000000000002E-3</v>
          </cell>
          <cell r="I1008" t="str">
            <v>kg N₂O</v>
          </cell>
          <cell r="J1008" t="str">
            <v>GJ</v>
          </cell>
        </row>
        <row r="1009">
          <cell r="C1009" t="str">
            <v>Fontes Móveis</v>
          </cell>
          <cell r="E1009" t="str">
            <v>N/A</v>
          </cell>
          <cell r="F1009" t="str">
            <v>Mínimo</v>
          </cell>
          <cell r="G1009">
            <v>2.5999999999999999E-3</v>
          </cell>
          <cell r="I1009" t="str">
            <v>kg N₂O</v>
          </cell>
          <cell r="J1009" t="str">
            <v>GJ</v>
          </cell>
        </row>
        <row r="1010">
          <cell r="C1010" t="str">
            <v>Fontes Móveis</v>
          </cell>
          <cell r="E1010" t="str">
            <v>N/A</v>
          </cell>
          <cell r="F1010" t="str">
            <v>Máximo</v>
          </cell>
          <cell r="G1010">
            <v>2.4E-2</v>
          </cell>
          <cell r="I1010" t="str">
            <v>kg N₂O</v>
          </cell>
          <cell r="J1010" t="str">
            <v>GJ</v>
          </cell>
        </row>
        <row r="1011">
          <cell r="C1011" t="str">
            <v>Fontes Móveis</v>
          </cell>
          <cell r="E1011" t="str">
            <v>N/A</v>
          </cell>
          <cell r="F1011" t="str">
            <v>Default</v>
          </cell>
          <cell r="G1011">
            <v>71.5</v>
          </cell>
          <cell r="I1011" t="str">
            <v>kg CO₂</v>
          </cell>
          <cell r="J1011" t="str">
            <v>GJ</v>
          </cell>
        </row>
        <row r="1012">
          <cell r="C1012" t="str">
            <v>Fontes Móveis</v>
          </cell>
          <cell r="E1012" t="str">
            <v>N/A</v>
          </cell>
          <cell r="F1012" t="str">
            <v>Mínimo</v>
          </cell>
          <cell r="G1012">
            <v>69.7</v>
          </cell>
          <cell r="I1012" t="str">
            <v>kg CO₂</v>
          </cell>
          <cell r="J1012" t="str">
            <v>GJ</v>
          </cell>
        </row>
        <row r="1013">
          <cell r="C1013" t="str">
            <v>Fontes Móveis</v>
          </cell>
          <cell r="E1013" t="str">
            <v>N/A</v>
          </cell>
          <cell r="F1013" t="str">
            <v>Máximo</v>
          </cell>
          <cell r="G1013">
            <v>74.400000000000006</v>
          </cell>
          <cell r="I1013" t="str">
            <v>kg CO₂</v>
          </cell>
          <cell r="J1013" t="str">
            <v>GJ</v>
          </cell>
        </row>
        <row r="1014">
          <cell r="C1014" t="str">
            <v>Fontes Móveis</v>
          </cell>
          <cell r="E1014" t="str">
            <v>N/A</v>
          </cell>
          <cell r="F1014" t="str">
            <v>Default</v>
          </cell>
          <cell r="G1014">
            <v>0.01</v>
          </cell>
          <cell r="I1014" t="str">
            <v>kg CH₄</v>
          </cell>
          <cell r="J1014" t="str">
            <v>GJ</v>
          </cell>
        </row>
        <row r="1015">
          <cell r="C1015" t="str">
            <v>Fontes Móveis</v>
          </cell>
          <cell r="E1015" t="str">
            <v>N/A</v>
          </cell>
          <cell r="F1015" t="str">
            <v>Mínimo</v>
          </cell>
          <cell r="G1015">
            <v>3.0000000000000001E-3</v>
          </cell>
          <cell r="I1015" t="str">
            <v>kg CH₄</v>
          </cell>
          <cell r="J1015" t="str">
            <v>GJ</v>
          </cell>
        </row>
        <row r="1016">
          <cell r="C1016" t="str">
            <v>Fontes Móveis</v>
          </cell>
          <cell r="E1016" t="str">
            <v>N/A</v>
          </cell>
          <cell r="F1016" t="str">
            <v>Máximo</v>
          </cell>
          <cell r="G1016">
            <v>0.03</v>
          </cell>
          <cell r="I1016" t="str">
            <v>kg CH₄</v>
          </cell>
          <cell r="J1016" t="str">
            <v>GJ</v>
          </cell>
        </row>
        <row r="1017">
          <cell r="C1017" t="str">
            <v>Fontes Móveis</v>
          </cell>
          <cell r="E1017" t="str">
            <v>N/A</v>
          </cell>
          <cell r="F1017" t="str">
            <v>Default</v>
          </cell>
          <cell r="G1017">
            <v>5.9999999999999995E-4</v>
          </cell>
          <cell r="I1017" t="str">
            <v>kg N₂O</v>
          </cell>
          <cell r="J1017" t="str">
            <v>GJ</v>
          </cell>
        </row>
        <row r="1018">
          <cell r="C1018" t="str">
            <v>Fontes Móveis</v>
          </cell>
          <cell r="E1018" t="str">
            <v>N/A</v>
          </cell>
          <cell r="F1018" t="str">
            <v>Mínimo</v>
          </cell>
          <cell r="G1018">
            <v>2.0000000000000001E-4</v>
          </cell>
          <cell r="I1018" t="str">
            <v>kg N₂O</v>
          </cell>
          <cell r="J1018" t="str">
            <v>GJ</v>
          </cell>
        </row>
        <row r="1019">
          <cell r="C1019" t="str">
            <v>Fontes Móveis</v>
          </cell>
          <cell r="E1019" t="str">
            <v>N/A</v>
          </cell>
          <cell r="F1019" t="str">
            <v>Máximo</v>
          </cell>
          <cell r="G1019">
            <v>2E-3</v>
          </cell>
          <cell r="I1019" t="str">
            <v>kg N₂O</v>
          </cell>
          <cell r="J1019" t="str">
            <v>GJ</v>
          </cell>
        </row>
        <row r="1020">
          <cell r="C1020" t="str">
            <v>Fontes Móveis</v>
          </cell>
          <cell r="E1020" t="str">
            <v>N/A</v>
          </cell>
          <cell r="F1020" t="str">
            <v>Default</v>
          </cell>
          <cell r="G1020">
            <v>0</v>
          </cell>
          <cell r="I1020" t="str">
            <v>kg CO₂</v>
          </cell>
          <cell r="J1020" t="str">
            <v>GJ</v>
          </cell>
        </row>
        <row r="1021">
          <cell r="C1021" t="str">
            <v>Fontes Móveis</v>
          </cell>
          <cell r="E1021" t="str">
            <v>N/A</v>
          </cell>
          <cell r="F1021" t="str">
            <v>Mínimo</v>
          </cell>
          <cell r="G1021">
            <v>0</v>
          </cell>
          <cell r="I1021" t="str">
            <v>kg CO₂</v>
          </cell>
          <cell r="J1021" t="str">
            <v>GJ</v>
          </cell>
        </row>
        <row r="1022">
          <cell r="C1022" t="str">
            <v>Fontes Móveis</v>
          </cell>
          <cell r="E1022" t="str">
            <v>N/A</v>
          </cell>
          <cell r="F1022" t="str">
            <v>Máximo</v>
          </cell>
          <cell r="G1022">
            <v>0</v>
          </cell>
          <cell r="I1022" t="str">
            <v>kg CO₂</v>
          </cell>
          <cell r="J1022" t="str">
            <v>GJ</v>
          </cell>
        </row>
        <row r="1023">
          <cell r="C1023" t="str">
            <v>Fontes Móveis</v>
          </cell>
          <cell r="E1023" t="str">
            <v>N/A</v>
          </cell>
          <cell r="F1023" t="str">
            <v>Default</v>
          </cell>
          <cell r="G1023">
            <v>1.7999999999999999E-2</v>
          </cell>
          <cell r="I1023" t="str">
            <v>kg CH₄</v>
          </cell>
          <cell r="J1023" t="str">
            <v>GJ</v>
          </cell>
        </row>
        <row r="1024">
          <cell r="C1024" t="str">
            <v>Fontes Móveis</v>
          </cell>
          <cell r="E1024" t="str">
            <v>N/A</v>
          </cell>
          <cell r="F1024" t="str">
            <v>Mínimo</v>
          </cell>
          <cell r="G1024">
            <v>1.2999999999999999E-2</v>
          </cell>
          <cell r="I1024" t="str">
            <v>kg CH₄</v>
          </cell>
          <cell r="J1024" t="str">
            <v>GJ</v>
          </cell>
        </row>
        <row r="1025">
          <cell r="C1025" t="str">
            <v>Fontes Móveis</v>
          </cell>
          <cell r="E1025" t="str">
            <v>N/A</v>
          </cell>
          <cell r="F1025" t="str">
            <v>Máximo</v>
          </cell>
          <cell r="G1025">
            <v>8.4000000000000005E-2</v>
          </cell>
          <cell r="I1025" t="str">
            <v>kg CH₄</v>
          </cell>
          <cell r="J1025" t="str">
            <v>GJ</v>
          </cell>
        </row>
        <row r="1026">
          <cell r="C1026" t="str">
            <v>Fontes Móveis</v>
          </cell>
          <cell r="E1026" t="str">
            <v>N/A</v>
          </cell>
          <cell r="F1026" t="str">
            <v>Default</v>
          </cell>
          <cell r="G1026">
            <v>5.9999999999999995E-4</v>
          </cell>
          <cell r="I1026" t="str">
            <v>kg N₂O</v>
          </cell>
          <cell r="J1026" t="str">
            <v>GJ</v>
          </cell>
        </row>
        <row r="1027">
          <cell r="C1027" t="str">
            <v>Fontes Móveis</v>
          </cell>
          <cell r="E1027" t="str">
            <v>N/A</v>
          </cell>
          <cell r="F1027" t="str">
            <v>Mínimo</v>
          </cell>
          <cell r="G1027">
            <v>2.0000000000000001E-4</v>
          </cell>
          <cell r="I1027" t="str">
            <v>kg N₂O</v>
          </cell>
          <cell r="J1027" t="str">
            <v>GJ</v>
          </cell>
        </row>
        <row r="1028">
          <cell r="C1028" t="str">
            <v>Fontes Móveis</v>
          </cell>
          <cell r="E1028" t="str">
            <v>N/A</v>
          </cell>
          <cell r="F1028" t="str">
            <v>Máximo</v>
          </cell>
          <cell r="G1028">
            <v>2E-3</v>
          </cell>
          <cell r="I1028" t="str">
            <v>kg N₂O</v>
          </cell>
          <cell r="J1028" t="str">
            <v>GJ</v>
          </cell>
        </row>
        <row r="1029">
          <cell r="C1029" t="str">
            <v>Fontes Móveis</v>
          </cell>
          <cell r="E1029" t="str">
            <v>N/A</v>
          </cell>
          <cell r="F1029" t="str">
            <v>Default</v>
          </cell>
          <cell r="G1029">
            <v>0</v>
          </cell>
          <cell r="I1029" t="str">
            <v>kg CO₂</v>
          </cell>
          <cell r="J1029" t="str">
            <v>GJ</v>
          </cell>
        </row>
        <row r="1030">
          <cell r="C1030" t="str">
            <v>Fontes Móveis</v>
          </cell>
          <cell r="E1030" t="str">
            <v>N/A</v>
          </cell>
          <cell r="F1030" t="str">
            <v>Mínimo</v>
          </cell>
          <cell r="G1030">
            <v>0</v>
          </cell>
          <cell r="I1030" t="str">
            <v>kg CO₂</v>
          </cell>
          <cell r="J1030" t="str">
            <v>GJ</v>
          </cell>
        </row>
        <row r="1031">
          <cell r="C1031" t="str">
            <v>Fontes Móveis</v>
          </cell>
          <cell r="E1031" t="str">
            <v>N/A</v>
          </cell>
          <cell r="F1031" t="str">
            <v>Máximo</v>
          </cell>
          <cell r="G1031">
            <v>0</v>
          </cell>
          <cell r="I1031" t="str">
            <v>kg CO₂</v>
          </cell>
          <cell r="J1031" t="str">
            <v>GJ</v>
          </cell>
        </row>
        <row r="1032">
          <cell r="C1032" t="str">
            <v>Fontes Móveis</v>
          </cell>
          <cell r="E1032" t="str">
            <v>N/A</v>
          </cell>
          <cell r="F1032" t="str">
            <v>Default</v>
          </cell>
          <cell r="G1032">
            <v>1.7999999999999999E-2</v>
          </cell>
          <cell r="I1032" t="str">
            <v>kg CH₄</v>
          </cell>
          <cell r="J1032" t="str">
            <v>GJ</v>
          </cell>
        </row>
        <row r="1033">
          <cell r="C1033" t="str">
            <v>Fontes Móveis</v>
          </cell>
          <cell r="E1033" t="str">
            <v>N/A</v>
          </cell>
          <cell r="F1033" t="str">
            <v>Mínimo</v>
          </cell>
          <cell r="G1033">
            <v>1.2999999999999999E-2</v>
          </cell>
          <cell r="I1033" t="str">
            <v>kg CH₄</v>
          </cell>
          <cell r="J1033" t="str">
            <v>GJ</v>
          </cell>
        </row>
        <row r="1034">
          <cell r="C1034" t="str">
            <v>Fontes Móveis</v>
          </cell>
          <cell r="E1034" t="str">
            <v>N/A</v>
          </cell>
          <cell r="F1034" t="str">
            <v>Máximo</v>
          </cell>
          <cell r="G1034">
            <v>8.4000000000000005E-2</v>
          </cell>
          <cell r="I1034" t="str">
            <v>kg CH₄</v>
          </cell>
          <cell r="J1034" t="str">
            <v>GJ</v>
          </cell>
        </row>
        <row r="1035">
          <cell r="C1035" t="str">
            <v>Fontes Móveis</v>
          </cell>
          <cell r="E1035" t="str">
            <v>N/A</v>
          </cell>
          <cell r="F1035" t="str">
            <v>Default</v>
          </cell>
          <cell r="G1035">
            <v>5.9999999999999995E-4</v>
          </cell>
          <cell r="I1035" t="str">
            <v>kg N₂O</v>
          </cell>
          <cell r="J1035" t="str">
            <v>GJ</v>
          </cell>
        </row>
        <row r="1036">
          <cell r="C1036" t="str">
            <v>Fontes Móveis</v>
          </cell>
          <cell r="E1036" t="str">
            <v>N/A</v>
          </cell>
          <cell r="F1036" t="str">
            <v>Mínimo</v>
          </cell>
          <cell r="G1036">
            <v>2.0000000000000001E-4</v>
          </cell>
          <cell r="I1036" t="str">
            <v>kg N₂O</v>
          </cell>
          <cell r="J1036" t="str">
            <v>GJ</v>
          </cell>
        </row>
        <row r="1037">
          <cell r="C1037" t="str">
            <v>Fontes Móveis</v>
          </cell>
          <cell r="E1037" t="str">
            <v>N/A</v>
          </cell>
          <cell r="F1037" t="str">
            <v>Máximo</v>
          </cell>
          <cell r="G1037">
            <v>2E-3</v>
          </cell>
          <cell r="I1037" t="str">
            <v>kg N₂O</v>
          </cell>
          <cell r="J1037" t="str">
            <v>GJ</v>
          </cell>
        </row>
        <row r="1038">
          <cell r="C1038" t="str">
            <v>Fontes Móveis</v>
          </cell>
          <cell r="E1038" t="str">
            <v>N/A</v>
          </cell>
          <cell r="F1038" t="str">
            <v>Default</v>
          </cell>
          <cell r="G1038">
            <v>70.8</v>
          </cell>
          <cell r="I1038" t="str">
            <v>kg CO₂</v>
          </cell>
          <cell r="J1038" t="str">
            <v>GJ</v>
          </cell>
        </row>
        <row r="1039">
          <cell r="C1039" t="str">
            <v>Fontes Móveis</v>
          </cell>
          <cell r="E1039" t="str">
            <v>N/A</v>
          </cell>
          <cell r="F1039" t="str">
            <v>Mínimo</v>
          </cell>
          <cell r="G1039">
            <v>59</v>
          </cell>
          <cell r="I1039" t="str">
            <v>kg CO₂</v>
          </cell>
          <cell r="J1039" t="str">
            <v>GJ</v>
          </cell>
        </row>
        <row r="1040">
          <cell r="C1040" t="str">
            <v>Fontes Móveis</v>
          </cell>
          <cell r="E1040" t="str">
            <v>N/A</v>
          </cell>
          <cell r="F1040" t="str">
            <v>Máximo</v>
          </cell>
          <cell r="G1040">
            <v>84.3</v>
          </cell>
          <cell r="I1040" t="str">
            <v>kg CO₂</v>
          </cell>
          <cell r="J1040" t="str">
            <v>GJ</v>
          </cell>
        </row>
        <row r="1041">
          <cell r="C1041" t="str">
            <v>Fontes Móveis</v>
          </cell>
          <cell r="E1041" t="str">
            <v>N/A</v>
          </cell>
          <cell r="F1041" t="str">
            <v>Default</v>
          </cell>
          <cell r="G1041">
            <v>0.01</v>
          </cell>
          <cell r="I1041" t="str">
            <v>kg CH₄</v>
          </cell>
          <cell r="J1041" t="str">
            <v>GJ</v>
          </cell>
        </row>
        <row r="1042">
          <cell r="C1042" t="str">
            <v>Fontes Móveis</v>
          </cell>
          <cell r="E1042" t="str">
            <v>N/A</v>
          </cell>
          <cell r="F1042" t="str">
            <v>Mínimo</v>
          </cell>
          <cell r="G1042">
            <v>3.0000000000000001E-3</v>
          </cell>
          <cell r="I1042" t="str">
            <v>kg CH₄</v>
          </cell>
          <cell r="J1042" t="str">
            <v>GJ</v>
          </cell>
        </row>
        <row r="1043">
          <cell r="C1043" t="str">
            <v>Fontes Móveis</v>
          </cell>
          <cell r="E1043" t="str">
            <v>N/A</v>
          </cell>
          <cell r="F1043" t="str">
            <v>Máximo</v>
          </cell>
          <cell r="G1043">
            <v>0.03</v>
          </cell>
          <cell r="I1043" t="str">
            <v>kg CH₄</v>
          </cell>
          <cell r="J1043" t="str">
            <v>GJ</v>
          </cell>
        </row>
        <row r="1044">
          <cell r="C1044" t="str">
            <v>Fontes Móveis</v>
          </cell>
          <cell r="E1044" t="str">
            <v>N/A</v>
          </cell>
          <cell r="F1044" t="str">
            <v>Default</v>
          </cell>
          <cell r="G1044">
            <v>5.9999999999999995E-4</v>
          </cell>
          <cell r="I1044" t="str">
            <v>kg N₂O</v>
          </cell>
          <cell r="J1044" t="str">
            <v>GJ</v>
          </cell>
        </row>
        <row r="1045">
          <cell r="C1045" t="str">
            <v>Fontes Móveis</v>
          </cell>
          <cell r="E1045" t="str">
            <v>N/A</v>
          </cell>
          <cell r="F1045" t="str">
            <v>Mínimo</v>
          </cell>
          <cell r="G1045">
            <v>2.0000000000000001E-4</v>
          </cell>
          <cell r="I1045" t="str">
            <v>kg N₂O</v>
          </cell>
          <cell r="J1045" t="str">
            <v>GJ</v>
          </cell>
        </row>
        <row r="1046">
          <cell r="C1046" t="str">
            <v>Fontes Móveis</v>
          </cell>
          <cell r="E1046" t="str">
            <v>N/A</v>
          </cell>
          <cell r="F1046" t="str">
            <v>Máximo</v>
          </cell>
          <cell r="G1046">
            <v>2E-3</v>
          </cell>
          <cell r="I1046" t="str">
            <v>kg N₂O</v>
          </cell>
          <cell r="J1046" t="str">
            <v>GJ</v>
          </cell>
        </row>
        <row r="1047">
          <cell r="C1047" t="str">
            <v>Fontes Móveis</v>
          </cell>
          <cell r="E1047" t="str">
            <v>N/A</v>
          </cell>
          <cell r="F1047" t="str">
            <v>Default</v>
          </cell>
          <cell r="G1047">
            <v>63.1</v>
          </cell>
          <cell r="I1047" t="str">
            <v>kg CO₂</v>
          </cell>
          <cell r="J1047" t="str">
            <v>GJ</v>
          </cell>
        </row>
        <row r="1048">
          <cell r="C1048" t="str">
            <v>Fontes Móveis</v>
          </cell>
          <cell r="E1048" t="str">
            <v>N/A</v>
          </cell>
          <cell r="F1048" t="str">
            <v>Mínimo</v>
          </cell>
          <cell r="G1048">
            <v>61.6</v>
          </cell>
          <cell r="I1048" t="str">
            <v>kg CO₂</v>
          </cell>
          <cell r="J1048" t="str">
            <v>GJ</v>
          </cell>
        </row>
        <row r="1049">
          <cell r="C1049" t="str">
            <v>Fontes Móveis</v>
          </cell>
          <cell r="E1049" t="str">
            <v>N/A</v>
          </cell>
          <cell r="F1049" t="str">
            <v>Máximo</v>
          </cell>
          <cell r="G1049">
            <v>65.599999999999994</v>
          </cell>
          <cell r="I1049" t="str">
            <v>kg CO₂</v>
          </cell>
          <cell r="J1049" t="str">
            <v>GJ</v>
          </cell>
        </row>
        <row r="1050">
          <cell r="C1050" t="str">
            <v>Fontes Móveis</v>
          </cell>
          <cell r="E1050" t="str">
            <v>N/A</v>
          </cell>
          <cell r="F1050" t="str">
            <v>Default</v>
          </cell>
          <cell r="G1050">
            <v>6.2E-2</v>
          </cell>
          <cell r="I1050" t="str">
            <v>kg CH₄</v>
          </cell>
          <cell r="J1050" t="str">
            <v>GJ</v>
          </cell>
        </row>
        <row r="1051">
          <cell r="C1051" t="str">
            <v>Fontes Móveis</v>
          </cell>
          <cell r="E1051" t="str">
            <v>N/A</v>
          </cell>
          <cell r="F1051" t="str">
            <v>Mínimo</v>
          </cell>
          <cell r="G1051">
            <v>6.2E-2</v>
          </cell>
          <cell r="I1051" t="str">
            <v>kg CH₄</v>
          </cell>
          <cell r="J1051" t="str">
            <v>GJ</v>
          </cell>
        </row>
        <row r="1052">
          <cell r="C1052" t="str">
            <v>Fontes Móveis</v>
          </cell>
          <cell r="E1052" t="str">
            <v>N/A</v>
          </cell>
          <cell r="F1052" t="str">
            <v>Máximo</v>
          </cell>
          <cell r="G1052">
            <v>6.2E-2</v>
          </cell>
          <cell r="I1052" t="str">
            <v>kg CH₄</v>
          </cell>
          <cell r="J1052" t="str">
            <v>GJ</v>
          </cell>
        </row>
        <row r="1053">
          <cell r="C1053" t="str">
            <v>Fontes Móveis</v>
          </cell>
          <cell r="E1053" t="str">
            <v>N/A</v>
          </cell>
          <cell r="F1053" t="str">
            <v>Default</v>
          </cell>
          <cell r="G1053">
            <v>2.0000000000000001E-4</v>
          </cell>
          <cell r="I1053" t="str">
            <v>kg N₂O</v>
          </cell>
          <cell r="J1053" t="str">
            <v>GJ</v>
          </cell>
        </row>
        <row r="1054">
          <cell r="C1054" t="str">
            <v>Fontes Móveis</v>
          </cell>
          <cell r="E1054" t="str">
            <v>N/A</v>
          </cell>
          <cell r="F1054" t="str">
            <v>Mínimo</v>
          </cell>
          <cell r="G1054">
            <v>2.0000000000000001E-4</v>
          </cell>
          <cell r="I1054" t="str">
            <v>kg N₂O</v>
          </cell>
          <cell r="J1054" t="str">
            <v>GJ</v>
          </cell>
        </row>
        <row r="1055">
          <cell r="C1055" t="str">
            <v>Fontes Móveis</v>
          </cell>
          <cell r="E1055" t="str">
            <v>N/A</v>
          </cell>
          <cell r="F1055" t="str">
            <v>Máximo</v>
          </cell>
          <cell r="G1055">
            <v>2.0000000000000001E-4</v>
          </cell>
          <cell r="I1055" t="str">
            <v>kg N₂O</v>
          </cell>
          <cell r="J1055" t="str">
            <v>GJ</v>
          </cell>
        </row>
        <row r="1056">
          <cell r="C1056" t="str">
            <v>Fertilizantes</v>
          </cell>
          <cell r="E1056" t="str">
            <v>N/A</v>
          </cell>
          <cell r="F1056" t="str">
            <v>Default</v>
          </cell>
          <cell r="G1056">
            <v>0.01</v>
          </cell>
          <cell r="I1056" t="str">
            <v>N/A</v>
          </cell>
          <cell r="J1056" t="str">
            <v>N/A</v>
          </cell>
        </row>
        <row r="1057">
          <cell r="C1057" t="str">
            <v>Fertilizantes</v>
          </cell>
          <cell r="E1057" t="str">
            <v>N/A</v>
          </cell>
          <cell r="F1057" t="str">
            <v>Mínimo</v>
          </cell>
          <cell r="G1057">
            <v>3.0000000000000001E-3</v>
          </cell>
          <cell r="I1057" t="str">
            <v>N/A</v>
          </cell>
          <cell r="J1057" t="str">
            <v>N/A</v>
          </cell>
        </row>
        <row r="1058">
          <cell r="C1058" t="str">
            <v>Fertilizantes</v>
          </cell>
          <cell r="E1058" t="str">
            <v>N/A</v>
          </cell>
          <cell r="F1058" t="str">
            <v>Máximo</v>
          </cell>
          <cell r="G1058">
            <v>0.03</v>
          </cell>
          <cell r="I1058" t="str">
            <v>N/A</v>
          </cell>
          <cell r="J1058" t="str">
            <v>N/A</v>
          </cell>
        </row>
        <row r="1059">
          <cell r="C1059" t="str">
            <v>Fertilizantes</v>
          </cell>
          <cell r="E1059" t="str">
            <v>N/A</v>
          </cell>
          <cell r="F1059" t="str">
            <v>Default</v>
          </cell>
          <cell r="G1059">
            <v>0.1</v>
          </cell>
          <cell r="I1059" t="str">
            <v>N/A</v>
          </cell>
          <cell r="J1059" t="str">
            <v>N/A</v>
          </cell>
        </row>
        <row r="1060">
          <cell r="C1060" t="str">
            <v>Fertilizantes</v>
          </cell>
          <cell r="E1060" t="str">
            <v>N/A</v>
          </cell>
          <cell r="F1060" t="str">
            <v>Mínimo</v>
          </cell>
          <cell r="G1060">
            <v>0.03</v>
          </cell>
          <cell r="I1060" t="str">
            <v>N/A</v>
          </cell>
          <cell r="J1060" t="str">
            <v>N/A</v>
          </cell>
        </row>
        <row r="1061">
          <cell r="C1061" t="str">
            <v>Fertilizantes</v>
          </cell>
          <cell r="E1061" t="str">
            <v>N/A</v>
          </cell>
          <cell r="F1061" t="str">
            <v>Máximo</v>
          </cell>
          <cell r="G1061">
            <v>0.3</v>
          </cell>
          <cell r="I1061" t="str">
            <v>N/A</v>
          </cell>
          <cell r="J1061" t="str">
            <v>N/A</v>
          </cell>
        </row>
        <row r="1062">
          <cell r="C1062" t="str">
            <v>Fertilizantes</v>
          </cell>
          <cell r="E1062" t="str">
            <v>N/A</v>
          </cell>
          <cell r="F1062" t="str">
            <v>Default</v>
          </cell>
          <cell r="G1062">
            <v>0.01</v>
          </cell>
          <cell r="I1062" t="str">
            <v>N/A</v>
          </cell>
          <cell r="J1062" t="str">
            <v>N/A</v>
          </cell>
        </row>
        <row r="1063">
          <cell r="C1063" t="str">
            <v>Fertilizantes</v>
          </cell>
          <cell r="E1063" t="str">
            <v>N/A</v>
          </cell>
          <cell r="F1063" t="str">
            <v>Mínimo</v>
          </cell>
          <cell r="G1063">
            <v>2E-3</v>
          </cell>
          <cell r="I1063" t="str">
            <v>N/A</v>
          </cell>
          <cell r="J1063" t="str">
            <v>N/A</v>
          </cell>
        </row>
        <row r="1064">
          <cell r="C1064" t="str">
            <v>Fertilizantes</v>
          </cell>
          <cell r="E1064" t="str">
            <v>N/A</v>
          </cell>
          <cell r="F1064" t="str">
            <v>Máximo</v>
          </cell>
          <cell r="G1064">
            <v>0.05</v>
          </cell>
          <cell r="I1064" t="str">
            <v>N/A</v>
          </cell>
          <cell r="J1064" t="str">
            <v>N/A</v>
          </cell>
        </row>
        <row r="1065">
          <cell r="C1065" t="str">
            <v>Fertilizantes</v>
          </cell>
          <cell r="E1065" t="str">
            <v>N/A</v>
          </cell>
          <cell r="F1065" t="str">
            <v>Default</v>
          </cell>
          <cell r="G1065">
            <v>0.3</v>
          </cell>
          <cell r="I1065" t="str">
            <v>N/A</v>
          </cell>
          <cell r="J1065" t="str">
            <v>N/A</v>
          </cell>
        </row>
        <row r="1066">
          <cell r="C1066" t="str">
            <v>Fertilizantes</v>
          </cell>
          <cell r="E1066" t="str">
            <v>N/A</v>
          </cell>
          <cell r="F1066" t="str">
            <v>Mínimo</v>
          </cell>
          <cell r="G1066">
            <v>0.1</v>
          </cell>
          <cell r="I1066" t="str">
            <v>N/A</v>
          </cell>
          <cell r="J1066" t="str">
            <v>N/A</v>
          </cell>
        </row>
        <row r="1067">
          <cell r="C1067" t="str">
            <v>Fertilizantes</v>
          </cell>
          <cell r="E1067" t="str">
            <v>N/A</v>
          </cell>
          <cell r="F1067" t="str">
            <v>Máximo</v>
          </cell>
          <cell r="G1067">
            <v>0.8</v>
          </cell>
          <cell r="I1067" t="str">
            <v>N/A</v>
          </cell>
          <cell r="J1067" t="str">
            <v>N/A</v>
          </cell>
        </row>
        <row r="1068">
          <cell r="C1068" t="str">
            <v>Fertilizantes</v>
          </cell>
          <cell r="E1068" t="str">
            <v>N/A</v>
          </cell>
          <cell r="F1068" t="str">
            <v>Default</v>
          </cell>
          <cell r="G1068">
            <v>7.4999999999999997E-3</v>
          </cell>
          <cell r="I1068" t="str">
            <v>N/A</v>
          </cell>
          <cell r="J1068" t="str">
            <v>N/A</v>
          </cell>
        </row>
        <row r="1069">
          <cell r="C1069" t="str">
            <v>Fertilizantes</v>
          </cell>
          <cell r="E1069" t="str">
            <v>N/A</v>
          </cell>
          <cell r="F1069" t="str">
            <v>Mínimo</v>
          </cell>
          <cell r="G1069">
            <v>5.0000000000000001E-4</v>
          </cell>
          <cell r="I1069" t="str">
            <v>N/A</v>
          </cell>
          <cell r="J1069" t="str">
            <v>N/A</v>
          </cell>
        </row>
        <row r="1070">
          <cell r="C1070" t="str">
            <v>Fertilizantes</v>
          </cell>
          <cell r="E1070" t="str">
            <v>N/A</v>
          </cell>
          <cell r="F1070" t="str">
            <v>Máximo</v>
          </cell>
          <cell r="G1070">
            <v>2.5000000000000001E-2</v>
          </cell>
          <cell r="I1070" t="str">
            <v>N/A</v>
          </cell>
          <cell r="J1070" t="str">
            <v>N/A</v>
          </cell>
        </row>
        <row r="1071">
          <cell r="C1071" t="str">
            <v>Fertilizantes</v>
          </cell>
          <cell r="E1071" t="str">
            <v>N/A</v>
          </cell>
          <cell r="F1071" t="str">
            <v>Default</v>
          </cell>
          <cell r="G1071">
            <v>1.325E-2</v>
          </cell>
          <cell r="I1071" t="str">
            <v>kg N₂O</v>
          </cell>
          <cell r="J1071" t="str">
            <v>kg N</v>
          </cell>
        </row>
        <row r="1072">
          <cell r="C1072" t="str">
            <v>Fertilizantes</v>
          </cell>
          <cell r="E1072" t="str">
            <v>N/A</v>
          </cell>
          <cell r="F1072" t="str">
            <v>Mínimo</v>
          </cell>
          <cell r="G1072">
            <v>-0.76528301886792449</v>
          </cell>
          <cell r="I1072" t="str">
            <v>kg N₂O</v>
          </cell>
          <cell r="J1072" t="str">
            <v>kg N</v>
          </cell>
        </row>
        <row r="1073">
          <cell r="C1073" t="str">
            <v>Fertilizantes</v>
          </cell>
          <cell r="E1073" t="str">
            <v>N/A</v>
          </cell>
          <cell r="F1073" t="str">
            <v>Máximo</v>
          </cell>
          <cell r="G1073">
            <v>3.9056603773584908</v>
          </cell>
          <cell r="I1073" t="str">
            <v>kg N₂O</v>
          </cell>
          <cell r="J1073" t="str">
            <v>kg N</v>
          </cell>
        </row>
        <row r="1074">
          <cell r="C1074" t="str">
            <v>Gerenciamento de Resíduos</v>
          </cell>
          <cell r="E1074" t="str">
            <v>N/A</v>
          </cell>
          <cell r="F1074" t="str">
            <v>Default</v>
          </cell>
          <cell r="G1074">
            <v>10</v>
          </cell>
          <cell r="I1074" t="str">
            <v>g CH₄</v>
          </cell>
          <cell r="J1074" t="str">
            <v>kg resíduo</v>
          </cell>
        </row>
        <row r="1075">
          <cell r="C1075" t="str">
            <v>Gerenciamento de Resíduos</v>
          </cell>
          <cell r="E1075" t="str">
            <v>N/A</v>
          </cell>
          <cell r="F1075" t="str">
            <v>Mínimo</v>
          </cell>
          <cell r="G1075">
            <v>0.08</v>
          </cell>
          <cell r="I1075" t="str">
            <v>g CH₄</v>
          </cell>
          <cell r="J1075" t="str">
            <v>kg resíduo</v>
          </cell>
        </row>
        <row r="1076">
          <cell r="C1076" t="str">
            <v>Gerenciamento de Resíduos</v>
          </cell>
          <cell r="E1076" t="str">
            <v>N/A</v>
          </cell>
          <cell r="F1076" t="str">
            <v>Máximo</v>
          </cell>
          <cell r="G1076">
            <v>20</v>
          </cell>
          <cell r="I1076" t="str">
            <v>g CH₄</v>
          </cell>
          <cell r="J1076" t="str">
            <v>kg resíduo</v>
          </cell>
        </row>
        <row r="1077">
          <cell r="C1077" t="str">
            <v>Gerenciamento de Resíduos</v>
          </cell>
          <cell r="E1077" t="str">
            <v>N/A</v>
          </cell>
          <cell r="F1077" t="str">
            <v>Default</v>
          </cell>
          <cell r="G1077">
            <v>0.6</v>
          </cell>
          <cell r="I1077" t="str">
            <v>g N₂O</v>
          </cell>
          <cell r="J1077" t="str">
            <v>kg resíduo</v>
          </cell>
        </row>
        <row r="1078">
          <cell r="C1078" t="str">
            <v>Gerenciamento de Resíduos</v>
          </cell>
          <cell r="E1078" t="str">
            <v>N/A</v>
          </cell>
          <cell r="F1078" t="str">
            <v>Mínimo</v>
          </cell>
          <cell r="G1078">
            <v>0.2</v>
          </cell>
          <cell r="I1078" t="str">
            <v>g N₂O</v>
          </cell>
          <cell r="J1078" t="str">
            <v>kg resíduo</v>
          </cell>
        </row>
        <row r="1079">
          <cell r="C1079" t="str">
            <v>Gerenciamento de Resíduos</v>
          </cell>
          <cell r="E1079" t="str">
            <v>N/A</v>
          </cell>
          <cell r="F1079" t="str">
            <v>Máximo</v>
          </cell>
          <cell r="G1079">
            <v>1.6</v>
          </cell>
          <cell r="I1079" t="str">
            <v>g N₂O</v>
          </cell>
          <cell r="J1079" t="str">
            <v>kg resíduo</v>
          </cell>
        </row>
        <row r="1080">
          <cell r="C1080" t="str">
            <v>Gerenciamento de Resíduos</v>
          </cell>
          <cell r="E1080" t="str">
            <v>N/A</v>
          </cell>
          <cell r="F1080" t="str">
            <v>Mínimo</v>
          </cell>
          <cell r="G1080">
            <v>0</v>
          </cell>
          <cell r="I1080" t="str">
            <v>kg CO₂</v>
          </cell>
          <cell r="J1080" t="str">
            <v>t resíduo</v>
          </cell>
        </row>
        <row r="1081">
          <cell r="C1081" t="str">
            <v>Gerenciamento de Resíduos</v>
          </cell>
          <cell r="E1081" t="str">
            <v>N/A</v>
          </cell>
          <cell r="F1081" t="str">
            <v>Máximo</v>
          </cell>
          <cell r="G1081">
            <v>0</v>
          </cell>
          <cell r="I1081" t="str">
            <v>kg CO₂</v>
          </cell>
          <cell r="J1081" t="str">
            <v>t resíduo</v>
          </cell>
        </row>
        <row r="1082">
          <cell r="C1082" t="str">
            <v>Gerenciamento de Resíduos</v>
          </cell>
          <cell r="E1082" t="str">
            <v>N/A</v>
          </cell>
          <cell r="F1082" t="str">
            <v>Mínimo</v>
          </cell>
          <cell r="G1082">
            <v>7.0000000000000009</v>
          </cell>
          <cell r="I1082" t="str">
            <v>kg CH₄</v>
          </cell>
          <cell r="J1082" t="str">
            <v>t resíduo</v>
          </cell>
        </row>
        <row r="1083">
          <cell r="C1083" t="str">
            <v>Gerenciamento de Resíduos</v>
          </cell>
          <cell r="E1083" t="str">
            <v>N/A</v>
          </cell>
          <cell r="F1083" t="str">
            <v>Máximo</v>
          </cell>
          <cell r="G1083">
            <v>1998.9999999999998</v>
          </cell>
          <cell r="I1083" t="str">
            <v>kg CH₄</v>
          </cell>
          <cell r="J1083" t="str">
            <v>t resíduo</v>
          </cell>
        </row>
        <row r="1084">
          <cell r="C1084" t="str">
            <v>Gerenciamento de Resíduos</v>
          </cell>
          <cell r="E1084" t="str">
            <v>N/A</v>
          </cell>
          <cell r="F1084" t="str">
            <v>Mínimo</v>
          </cell>
          <cell r="G1084">
            <v>1</v>
          </cell>
          <cell r="I1084" t="str">
            <v>kg N₂O</v>
          </cell>
          <cell r="J1084" t="str">
            <v>t resíduo</v>
          </cell>
        </row>
        <row r="1085">
          <cell r="C1085" t="str">
            <v>Gerenciamento de Resíduos</v>
          </cell>
          <cell r="E1085" t="str">
            <v>N/A</v>
          </cell>
          <cell r="F1085" t="str">
            <v>Máximo</v>
          </cell>
          <cell r="G1085">
            <v>15</v>
          </cell>
          <cell r="I1085" t="str">
            <v>kg N₂O</v>
          </cell>
          <cell r="J1085" t="str">
            <v>t resíduo</v>
          </cell>
        </row>
        <row r="1086">
          <cell r="C1086" t="str">
            <v>Gerenciamento de Resíduos</v>
          </cell>
          <cell r="E1086" t="str">
            <v>Taxa de Geração de Metano</v>
          </cell>
          <cell r="F1086" t="str">
            <v>Default</v>
          </cell>
          <cell r="G1086">
            <v>0.4</v>
          </cell>
          <cell r="I1086" t="str">
            <v>N/A</v>
          </cell>
          <cell r="J1086" t="str">
            <v>N/A</v>
          </cell>
        </row>
        <row r="1087">
          <cell r="C1087" t="str">
            <v>Gerenciamento de Resíduos</v>
          </cell>
          <cell r="E1087" t="str">
            <v>Taxa de Geração de Metano</v>
          </cell>
          <cell r="F1087" t="str">
            <v>Mínimo</v>
          </cell>
          <cell r="G1087">
            <v>0.17</v>
          </cell>
          <cell r="I1087" t="str">
            <v>N/A</v>
          </cell>
          <cell r="J1087" t="str">
            <v>N/A</v>
          </cell>
        </row>
        <row r="1088">
          <cell r="C1088" t="str">
            <v>Gerenciamento de Resíduos</v>
          </cell>
          <cell r="E1088" t="str">
            <v>Taxa de Geração de Metano</v>
          </cell>
          <cell r="F1088" t="str">
            <v>Máximo</v>
          </cell>
          <cell r="G1088">
            <v>0.7</v>
          </cell>
          <cell r="I1088" t="str">
            <v>N/A</v>
          </cell>
          <cell r="J1088" t="str">
            <v>N/A</v>
          </cell>
        </row>
        <row r="1089">
          <cell r="C1089" t="str">
            <v>Gerenciamento de Resíduos</v>
          </cell>
          <cell r="E1089" t="str">
            <v>Conteúdo de Carbono Orgânico Dissolvido</v>
          </cell>
          <cell r="F1089" t="str">
            <v>Default</v>
          </cell>
          <cell r="G1089">
            <v>0.5</v>
          </cell>
          <cell r="I1089" t="str">
            <v>N/A</v>
          </cell>
          <cell r="J1089" t="str">
            <v>N/A</v>
          </cell>
        </row>
        <row r="1090">
          <cell r="C1090" t="str">
            <v>Gerenciamento de Resíduos</v>
          </cell>
          <cell r="E1090" t="str">
            <v>Conteúdo de Carbono Orgânico Dissolvido</v>
          </cell>
          <cell r="F1090" t="str">
            <v>Mínimo</v>
          </cell>
          <cell r="G1090">
            <v>0.4</v>
          </cell>
          <cell r="I1090" t="str">
            <v>N/A</v>
          </cell>
          <cell r="J1090" t="str">
            <v>N/A</v>
          </cell>
        </row>
        <row r="1091">
          <cell r="C1091" t="str">
            <v>Gerenciamento de Resíduos</v>
          </cell>
          <cell r="E1091" t="str">
            <v>Conteúdo de Carbono Orgânico Dissolvido</v>
          </cell>
          <cell r="F1091" t="str">
            <v>Máximo</v>
          </cell>
          <cell r="G1091">
            <v>0.6</v>
          </cell>
          <cell r="I1091" t="str">
            <v>N/A</v>
          </cell>
          <cell r="J1091" t="str">
            <v>N/A</v>
          </cell>
        </row>
        <row r="1092">
          <cell r="C1092" t="str">
            <v>Gerenciamento de Resíduos</v>
          </cell>
          <cell r="E1092" t="str">
            <v>Fração do volume de CH4 no Gás de Aterro</v>
          </cell>
          <cell r="F1092" t="str">
            <v>Default</v>
          </cell>
          <cell r="G1092">
            <v>0.5</v>
          </cell>
          <cell r="I1092" t="str">
            <v>N/A</v>
          </cell>
          <cell r="J1092" t="str">
            <v>N/A</v>
          </cell>
        </row>
        <row r="1093">
          <cell r="C1093" t="str">
            <v>Gerenciamento de Resíduos</v>
          </cell>
          <cell r="E1093" t="str">
            <v>Fração do volume de CH4 no Gás de Aterro</v>
          </cell>
          <cell r="F1093" t="str">
            <v>Mínimo</v>
          </cell>
          <cell r="G1093">
            <v>0.47499999999999998</v>
          </cell>
          <cell r="I1093" t="str">
            <v>N/A</v>
          </cell>
          <cell r="J1093" t="str">
            <v>N/A</v>
          </cell>
        </row>
        <row r="1094">
          <cell r="C1094" t="str">
            <v>Gerenciamento de Resíduos</v>
          </cell>
          <cell r="E1094" t="str">
            <v>Fração do volume de CH4 no Gás de Aterro</v>
          </cell>
          <cell r="F1094" t="str">
            <v>Máximo</v>
          </cell>
          <cell r="G1094">
            <v>0.52500000000000002</v>
          </cell>
          <cell r="I1094" t="str">
            <v>N/A</v>
          </cell>
          <cell r="J1094" t="str">
            <v>N/A</v>
          </cell>
        </row>
        <row r="1095">
          <cell r="C1095" t="str">
            <v>Gerenciamento de Resíduos</v>
          </cell>
          <cell r="E1095" t="str">
            <v>Conteúdo de COD</v>
          </cell>
          <cell r="F1095" t="str">
            <v>Default</v>
          </cell>
          <cell r="G1095">
            <v>0.15</v>
          </cell>
          <cell r="I1095" t="str">
            <v>N/A</v>
          </cell>
          <cell r="J1095" t="str">
            <v>N/A</v>
          </cell>
        </row>
        <row r="1096">
          <cell r="C1096" t="str">
            <v>Gerenciamento de Resíduos</v>
          </cell>
          <cell r="E1096" t="str">
            <v>Conteúdo de COD</v>
          </cell>
          <cell r="F1096" t="str">
            <v>Mínimo</v>
          </cell>
          <cell r="G1096">
            <v>0.12</v>
          </cell>
          <cell r="I1096" t="str">
            <v>N/A</v>
          </cell>
          <cell r="J1096" t="str">
            <v>N/A</v>
          </cell>
        </row>
        <row r="1097">
          <cell r="C1097" t="str">
            <v>Gerenciamento de Resíduos</v>
          </cell>
          <cell r="E1097" t="str">
            <v>Conteúdo de COD</v>
          </cell>
          <cell r="F1097" t="str">
            <v>Máximo</v>
          </cell>
          <cell r="G1097">
            <v>0.18</v>
          </cell>
          <cell r="I1097" t="str">
            <v>N/A</v>
          </cell>
          <cell r="J1097" t="str">
            <v>N/A</v>
          </cell>
        </row>
        <row r="1098">
          <cell r="C1098" t="str">
            <v>Gerenciamento de Resíduos</v>
          </cell>
          <cell r="E1098" t="str">
            <v>Fator de Correção do Metano</v>
          </cell>
          <cell r="F1098" t="str">
            <v>Default</v>
          </cell>
          <cell r="G1098">
            <v>0.8</v>
          </cell>
          <cell r="I1098" t="str">
            <v>N/A</v>
          </cell>
          <cell r="J1098" t="str">
            <v>N/A</v>
          </cell>
        </row>
        <row r="1099">
          <cell r="C1099" t="str">
            <v>Gerenciamento de Resíduos</v>
          </cell>
          <cell r="E1099" t="str">
            <v>Fator de Correção do Metano</v>
          </cell>
          <cell r="F1099" t="str">
            <v>Mínimo</v>
          </cell>
          <cell r="G1099">
            <v>0.64000000000000012</v>
          </cell>
          <cell r="I1099" t="str">
            <v>N/A</v>
          </cell>
          <cell r="J1099" t="str">
            <v>N/A</v>
          </cell>
        </row>
        <row r="1100">
          <cell r="C1100" t="str">
            <v>Gerenciamento de Resíduos</v>
          </cell>
          <cell r="E1100" t="str">
            <v>Fator de Correção do Metano</v>
          </cell>
          <cell r="F1100" t="str">
            <v>Máximo</v>
          </cell>
          <cell r="G1100">
            <v>0.96</v>
          </cell>
          <cell r="I1100" t="str">
            <v>N/A</v>
          </cell>
          <cell r="J1100" t="str">
            <v>N/A</v>
          </cell>
        </row>
        <row r="1101">
          <cell r="C1101" t="str">
            <v>Gerenciamento de Resíduos</v>
          </cell>
          <cell r="E1101" t="str">
            <v>Total</v>
          </cell>
          <cell r="F1101" t="str">
            <v>Default</v>
          </cell>
          <cell r="G1101">
            <v>9.8903986189308197E-3</v>
          </cell>
          <cell r="I1101" t="str">
            <v>kg CH₄</v>
          </cell>
          <cell r="J1101" t="str">
            <v>kg resíduo</v>
          </cell>
        </row>
        <row r="1102">
          <cell r="C1102" t="str">
            <v>Gerenciamento de Resíduos</v>
          </cell>
          <cell r="E1102" t="str">
            <v>Total</v>
          </cell>
          <cell r="F1102" t="str">
            <v>Mínimo</v>
          </cell>
          <cell r="G1102">
            <v>-0.76934771952880321</v>
          </cell>
          <cell r="I1102" t="str">
            <v>kg CH₄</v>
          </cell>
          <cell r="J1102" t="str">
            <v>kg resíduo</v>
          </cell>
        </row>
        <row r="1103">
          <cell r="C1103" t="str">
            <v>Gerenciamento de Resíduos</v>
          </cell>
          <cell r="E1103" t="str">
            <v>Total</v>
          </cell>
          <cell r="F1103" t="str">
            <v>Máximo</v>
          </cell>
          <cell r="G1103">
            <v>1.7705525125728665</v>
          </cell>
          <cell r="I1103" t="str">
            <v>kg CH₄</v>
          </cell>
          <cell r="J1103" t="str">
            <v>kg resíduo</v>
          </cell>
        </row>
        <row r="1104">
          <cell r="C1104" t="str">
            <v>Gerenciamento de Resíduos</v>
          </cell>
          <cell r="E1104" t="str">
            <v>N/A</v>
          </cell>
          <cell r="F1104" t="str">
            <v>Mínimo</v>
          </cell>
          <cell r="G1104">
            <v>-0.2</v>
          </cell>
          <cell r="I1104" t="str">
            <v>kg CO₂</v>
          </cell>
          <cell r="J1104" t="str">
            <v>kg material</v>
          </cell>
        </row>
        <row r="1105">
          <cell r="C1105" t="str">
            <v>Gerenciamento de Resíduos</v>
          </cell>
          <cell r="E1105" t="str">
            <v>N/A</v>
          </cell>
          <cell r="F1105" t="str">
            <v>Máximo</v>
          </cell>
          <cell r="G1105">
            <v>0.2</v>
          </cell>
          <cell r="I1105" t="str">
            <v>kg CO₂</v>
          </cell>
          <cell r="J1105" t="str">
            <v>kg material</v>
          </cell>
        </row>
        <row r="1106">
          <cell r="C1106" t="str">
            <v>Viagens Aéreas</v>
          </cell>
          <cell r="E1106" t="str">
            <v>N/A</v>
          </cell>
          <cell r="F1106" t="str">
            <v>Mínimo</v>
          </cell>
          <cell r="G1106">
            <v>-0.45</v>
          </cell>
          <cell r="I1106" t="str">
            <v>kg CH₄</v>
          </cell>
          <cell r="J1106" t="str">
            <v>p-km</v>
          </cell>
        </row>
        <row r="1107">
          <cell r="C1107" t="str">
            <v>Viagens Aéreas</v>
          </cell>
          <cell r="E1107" t="str">
            <v>N/A</v>
          </cell>
          <cell r="F1107" t="str">
            <v>Máximo</v>
          </cell>
          <cell r="G1107">
            <v>0.45</v>
          </cell>
          <cell r="I1107" t="str">
            <v>kg CH₄</v>
          </cell>
          <cell r="J1107" t="str">
            <v>p-km</v>
          </cell>
        </row>
        <row r="1108">
          <cell r="C1108" t="str">
            <v>Viagens Aéreas</v>
          </cell>
          <cell r="E1108" t="str">
            <v>N/A</v>
          </cell>
          <cell r="F1108" t="str">
            <v>Mínimo</v>
          </cell>
          <cell r="G1108">
            <v>-0.45</v>
          </cell>
          <cell r="I1108" t="str">
            <v>kg CO₂</v>
          </cell>
          <cell r="J1108" t="str">
            <v>p-km</v>
          </cell>
        </row>
        <row r="1109">
          <cell r="C1109" t="str">
            <v>Viagens Aéreas</v>
          </cell>
          <cell r="E1109" t="str">
            <v>N/A</v>
          </cell>
          <cell r="F1109" t="str">
            <v>Máximo</v>
          </cell>
          <cell r="G1109">
            <v>0.45</v>
          </cell>
          <cell r="I1109" t="str">
            <v>kg CO₂</v>
          </cell>
          <cell r="J1109" t="str">
            <v>p-km</v>
          </cell>
        </row>
        <row r="1110">
          <cell r="C1110" t="str">
            <v>Viagens Aéreas</v>
          </cell>
          <cell r="E1110" t="str">
            <v>N/A</v>
          </cell>
          <cell r="F1110" t="str">
            <v>Mínimo</v>
          </cell>
          <cell r="G1110">
            <v>-0.45</v>
          </cell>
          <cell r="I1110" t="str">
            <v>kg N₂O</v>
          </cell>
          <cell r="J1110" t="str">
            <v>p-km</v>
          </cell>
        </row>
        <row r="1111">
          <cell r="C1111" t="str">
            <v>Viagens Aéreas</v>
          </cell>
          <cell r="E1111" t="str">
            <v>N/A</v>
          </cell>
          <cell r="F1111" t="str">
            <v>Máximo</v>
          </cell>
          <cell r="G1111">
            <v>0.45</v>
          </cell>
          <cell r="I1111" t="str">
            <v>kg N₂O</v>
          </cell>
          <cell r="J1111" t="str">
            <v>p-km</v>
          </cell>
        </row>
        <row r="1112">
          <cell r="C1112" t="str">
            <v>Fontes Estacionárias</v>
          </cell>
          <cell r="E1112" t="str">
            <v>Comercial e Institucional</v>
          </cell>
          <cell r="F1112" t="str">
            <v>Mínimo</v>
          </cell>
          <cell r="G1112">
            <v>72.599999999999994</v>
          </cell>
          <cell r="I1112" t="str">
            <v>kg CO₂</v>
          </cell>
          <cell r="J1112" t="str">
            <v>GJ</v>
          </cell>
        </row>
        <row r="1113">
          <cell r="C1113" t="str">
            <v>Fontes Estacionárias</v>
          </cell>
          <cell r="E1113" t="str">
            <v>Comercial e Institucional</v>
          </cell>
          <cell r="F1113" t="str">
            <v>Máximo</v>
          </cell>
          <cell r="G1113">
            <v>74.8</v>
          </cell>
          <cell r="I1113" t="str">
            <v>kg CO₂</v>
          </cell>
          <cell r="J1113" t="str">
            <v>GJ</v>
          </cell>
        </row>
        <row r="1114">
          <cell r="C1114" t="str">
            <v>Fontes Estacionárias</v>
          </cell>
          <cell r="E1114" t="str">
            <v>Comercial e Institucional</v>
          </cell>
          <cell r="F1114" t="str">
            <v>Mínimo</v>
          </cell>
          <cell r="G1114">
            <v>72.599999999999994</v>
          </cell>
          <cell r="I1114" t="str">
            <v>kg CO₂</v>
          </cell>
          <cell r="J1114" t="str">
            <v>GJ</v>
          </cell>
        </row>
        <row r="1115">
          <cell r="C1115" t="str">
            <v>Fontes Estacionárias</v>
          </cell>
          <cell r="E1115" t="str">
            <v>Comercial e Institucional</v>
          </cell>
          <cell r="F1115" t="str">
            <v>Máximo</v>
          </cell>
          <cell r="G1115">
            <v>74.8</v>
          </cell>
          <cell r="I1115" t="str">
            <v>kg CO₂</v>
          </cell>
          <cell r="J1115" t="str">
            <v>GJ</v>
          </cell>
        </row>
        <row r="1116">
          <cell r="C1116" t="str">
            <v>Fontes Estacionárias</v>
          </cell>
          <cell r="E1116" t="str">
            <v>Comercial e Institucional</v>
          </cell>
          <cell r="F1116" t="str">
            <v>Mínimo</v>
          </cell>
          <cell r="G1116">
            <v>54.3</v>
          </cell>
          <cell r="I1116" t="str">
            <v>kg CO₂</v>
          </cell>
          <cell r="J1116" t="str">
            <v>GJ</v>
          </cell>
        </row>
        <row r="1117">
          <cell r="C1117" t="str">
            <v>Fontes Estacionárias</v>
          </cell>
          <cell r="E1117" t="str">
            <v>Comercial e Institucional</v>
          </cell>
          <cell r="F1117" t="str">
            <v>Máximo</v>
          </cell>
          <cell r="G1117">
            <v>58.3</v>
          </cell>
          <cell r="I1117" t="str">
            <v>kg CO₂</v>
          </cell>
          <cell r="J1117" t="str">
            <v>GJ</v>
          </cell>
        </row>
        <row r="1118">
          <cell r="C1118" t="str">
            <v>Fontes Estacionárias</v>
          </cell>
          <cell r="E1118" t="str">
            <v>Comercial e Institucional</v>
          </cell>
          <cell r="F1118" t="str">
            <v>Mínimo</v>
          </cell>
          <cell r="G1118">
            <v>61.6</v>
          </cell>
          <cell r="I1118" t="str">
            <v>kg CO₂</v>
          </cell>
          <cell r="J1118" t="str">
            <v>GJ</v>
          </cell>
        </row>
        <row r="1119">
          <cell r="C1119" t="str">
            <v>Fontes Estacionárias</v>
          </cell>
          <cell r="E1119" t="str">
            <v>Comercial e Institucional</v>
          </cell>
          <cell r="F1119" t="str">
            <v>Máximo</v>
          </cell>
          <cell r="G1119">
            <v>65.599999999999994</v>
          </cell>
          <cell r="I1119" t="str">
            <v>kg CO₂</v>
          </cell>
          <cell r="J1119" t="str">
            <v>GJ</v>
          </cell>
        </row>
        <row r="1120">
          <cell r="C1120" t="str">
            <v>Fontes Estacionárias</v>
          </cell>
          <cell r="E1120" t="str">
            <v>Comercial e Institucional</v>
          </cell>
          <cell r="F1120" t="str">
            <v>Mínimo</v>
          </cell>
          <cell r="G1120">
            <v>54.3</v>
          </cell>
          <cell r="I1120" t="str">
            <v>kg CO₂</v>
          </cell>
          <cell r="J1120" t="str">
            <v>GJ</v>
          </cell>
        </row>
        <row r="1121">
          <cell r="C1121" t="str">
            <v>Fontes Estacionárias</v>
          </cell>
          <cell r="E1121" t="str">
            <v>Comercial e Institucional</v>
          </cell>
          <cell r="F1121" t="str">
            <v>Máximo</v>
          </cell>
          <cell r="G1121">
            <v>58.3</v>
          </cell>
          <cell r="I1121" t="str">
            <v>kg CO₂</v>
          </cell>
          <cell r="J1121" t="str">
            <v>GJ</v>
          </cell>
        </row>
        <row r="1122">
          <cell r="C1122" t="str">
            <v>Fontes Estacionárias</v>
          </cell>
          <cell r="E1122" t="str">
            <v>Comercial e Institucional</v>
          </cell>
          <cell r="F1122" t="str">
            <v>Mínimo</v>
          </cell>
          <cell r="G1122">
            <v>3.0000000000000001E-3</v>
          </cell>
          <cell r="I1122" t="str">
            <v>kg CH₄</v>
          </cell>
          <cell r="J1122" t="str">
            <v>GJ</v>
          </cell>
        </row>
        <row r="1123">
          <cell r="C1123" t="str">
            <v>Fontes Estacionárias</v>
          </cell>
          <cell r="E1123" t="str">
            <v>Comercial e Institucional</v>
          </cell>
          <cell r="F1123" t="str">
            <v>Máximo</v>
          </cell>
          <cell r="G1123">
            <v>0.03</v>
          </cell>
          <cell r="I1123" t="str">
            <v>kg CH₄</v>
          </cell>
          <cell r="J1123" t="str">
            <v>GJ</v>
          </cell>
        </row>
        <row r="1124">
          <cell r="C1124" t="str">
            <v>Fontes Estacionárias</v>
          </cell>
          <cell r="E1124" t="str">
            <v>Comercial e Institucional</v>
          </cell>
          <cell r="F1124" t="str">
            <v>Mínimo</v>
          </cell>
          <cell r="G1124">
            <v>3.0000000000000001E-3</v>
          </cell>
          <cell r="I1124" t="str">
            <v>kg CH₄</v>
          </cell>
          <cell r="J1124" t="str">
            <v>GJ</v>
          </cell>
        </row>
        <row r="1125">
          <cell r="C1125" t="str">
            <v>Fontes Estacionárias</v>
          </cell>
          <cell r="E1125" t="str">
            <v>Comercial e Institucional</v>
          </cell>
          <cell r="F1125" t="str">
            <v>Máximo</v>
          </cell>
          <cell r="G1125">
            <v>0.03</v>
          </cell>
          <cell r="I1125" t="str">
            <v>kg CH₄</v>
          </cell>
          <cell r="J1125" t="str">
            <v>GJ</v>
          </cell>
        </row>
        <row r="1126">
          <cell r="C1126" t="str">
            <v>Fontes Estacionárias</v>
          </cell>
          <cell r="E1126" t="str">
            <v>Comercial e Institucional</v>
          </cell>
          <cell r="F1126" t="str">
            <v>Mínimo</v>
          </cell>
          <cell r="G1126">
            <v>1.5E-3</v>
          </cell>
          <cell r="I1126" t="str">
            <v>kg CH₄</v>
          </cell>
          <cell r="J1126" t="str">
            <v>GJ</v>
          </cell>
        </row>
        <row r="1127">
          <cell r="C1127" t="str">
            <v>Fontes Estacionárias</v>
          </cell>
          <cell r="E1127" t="str">
            <v>Comercial e Institucional</v>
          </cell>
          <cell r="F1127" t="str">
            <v>Máximo</v>
          </cell>
          <cell r="G1127">
            <v>1.4999999999999999E-2</v>
          </cell>
          <cell r="I1127" t="str">
            <v>kg CH₄</v>
          </cell>
          <cell r="J1127" t="str">
            <v>GJ</v>
          </cell>
        </row>
        <row r="1128">
          <cell r="C1128" t="str">
            <v>Fontes Estacionárias</v>
          </cell>
          <cell r="E1128" t="str">
            <v>Comercial e Institucional</v>
          </cell>
          <cell r="F1128" t="str">
            <v>Mínimo</v>
          </cell>
          <cell r="G1128">
            <v>1.5E-3</v>
          </cell>
          <cell r="I1128" t="str">
            <v>kg CH₄</v>
          </cell>
          <cell r="J1128" t="str">
            <v>GJ</v>
          </cell>
        </row>
        <row r="1129">
          <cell r="C1129" t="str">
            <v>Fontes Estacionárias</v>
          </cell>
          <cell r="E1129" t="str">
            <v>Comercial e Institucional</v>
          </cell>
          <cell r="F1129" t="str">
            <v>Máximo</v>
          </cell>
          <cell r="G1129">
            <v>1.4999999999999999E-2</v>
          </cell>
          <cell r="I1129" t="str">
            <v>kg CH₄</v>
          </cell>
          <cell r="J1129" t="str">
            <v>GJ</v>
          </cell>
        </row>
        <row r="1130">
          <cell r="C1130" t="str">
            <v>Fontes Estacionárias</v>
          </cell>
          <cell r="E1130" t="str">
            <v>Comercial e Institucional</v>
          </cell>
          <cell r="F1130" t="str">
            <v>Mínimo</v>
          </cell>
          <cell r="G1130">
            <v>0</v>
          </cell>
          <cell r="I1130" t="str">
            <v>kg CH₄</v>
          </cell>
          <cell r="J1130" t="str">
            <v>GJ</v>
          </cell>
        </row>
        <row r="1131">
          <cell r="C1131" t="str">
            <v>Fontes Estacionárias</v>
          </cell>
          <cell r="E1131" t="str">
            <v>Comercial e Institucional</v>
          </cell>
          <cell r="F1131" t="str">
            <v>Máximo</v>
          </cell>
          <cell r="G1131">
            <v>0</v>
          </cell>
          <cell r="I1131" t="str">
            <v>kg CH₄</v>
          </cell>
          <cell r="J1131" t="str">
            <v>GJ</v>
          </cell>
        </row>
        <row r="1132">
          <cell r="C1132" t="str">
            <v>Fontes Estacionárias</v>
          </cell>
          <cell r="E1132" t="str">
            <v>Comercial e Institucional</v>
          </cell>
          <cell r="F1132" t="str">
            <v>Mínimo</v>
          </cell>
          <cell r="G1132">
            <v>2.0000000000000001E-4</v>
          </cell>
          <cell r="I1132" t="str">
            <v>kg N₂O</v>
          </cell>
          <cell r="J1132" t="str">
            <v>GJ</v>
          </cell>
        </row>
        <row r="1133">
          <cell r="C1133" t="str">
            <v>Fontes Estacionárias</v>
          </cell>
          <cell r="E1133" t="str">
            <v>Comercial e Institucional</v>
          </cell>
          <cell r="F1133" t="str">
            <v>Máximo</v>
          </cell>
          <cell r="G1133">
            <v>2E-3</v>
          </cell>
          <cell r="I1133" t="str">
            <v>kg N₂O</v>
          </cell>
          <cell r="J1133" t="str">
            <v>GJ</v>
          </cell>
        </row>
        <row r="1134">
          <cell r="C1134" t="str">
            <v>Fontes Estacionárias</v>
          </cell>
          <cell r="E1134" t="str">
            <v>Comercial e Institucional</v>
          </cell>
          <cell r="F1134" t="str">
            <v>Mínimo</v>
          </cell>
          <cell r="G1134">
            <v>2.0000000000000001E-4</v>
          </cell>
          <cell r="I1134" t="str">
            <v>kg N₂O</v>
          </cell>
          <cell r="J1134" t="str">
            <v>GJ</v>
          </cell>
        </row>
        <row r="1135">
          <cell r="C1135" t="str">
            <v>Fontes Estacionárias</v>
          </cell>
          <cell r="E1135" t="str">
            <v>Comercial e Institucional</v>
          </cell>
          <cell r="F1135" t="str">
            <v>Máximo</v>
          </cell>
          <cell r="G1135">
            <v>2E-3</v>
          </cell>
          <cell r="I1135" t="str">
            <v>kg N₂O</v>
          </cell>
          <cell r="J1135" t="str">
            <v>GJ</v>
          </cell>
        </row>
        <row r="1136">
          <cell r="C1136" t="str">
            <v>Fontes Estacionárias</v>
          </cell>
          <cell r="E1136" t="str">
            <v>Comercial e Institucional</v>
          </cell>
          <cell r="F1136" t="str">
            <v>Mínimo</v>
          </cell>
          <cell r="G1136">
            <v>2.9999999999999997E-5</v>
          </cell>
          <cell r="I1136" t="str">
            <v>kg N₂O</v>
          </cell>
          <cell r="J1136" t="str">
            <v>GJ</v>
          </cell>
        </row>
        <row r="1137">
          <cell r="C1137" t="str">
            <v>Fontes Estacionárias</v>
          </cell>
          <cell r="E1137" t="str">
            <v>Comercial e Institucional</v>
          </cell>
          <cell r="F1137" t="str">
            <v>Máximo</v>
          </cell>
          <cell r="G1137">
            <v>2.9999999999999997E-4</v>
          </cell>
          <cell r="I1137" t="str">
            <v>kg N₂O</v>
          </cell>
          <cell r="J1137" t="str">
            <v>GJ</v>
          </cell>
        </row>
        <row r="1138">
          <cell r="C1138" t="str">
            <v>Fontes Estacionárias</v>
          </cell>
          <cell r="E1138" t="str">
            <v>Comercial e Institucional</v>
          </cell>
          <cell r="F1138" t="str">
            <v>Mínimo</v>
          </cell>
          <cell r="G1138">
            <v>2.9999999999999997E-5</v>
          </cell>
          <cell r="I1138" t="str">
            <v>kg N₂O</v>
          </cell>
          <cell r="J1138" t="str">
            <v>GJ</v>
          </cell>
        </row>
        <row r="1139">
          <cell r="C1139" t="str">
            <v>Fontes Estacionárias</v>
          </cell>
          <cell r="E1139" t="str">
            <v>Comercial e Institucional</v>
          </cell>
          <cell r="F1139" t="str">
            <v>Máximo</v>
          </cell>
          <cell r="G1139">
            <v>2.9999999999999997E-4</v>
          </cell>
          <cell r="I1139" t="str">
            <v>kg N₂O</v>
          </cell>
          <cell r="J1139" t="str">
            <v>GJ</v>
          </cell>
        </row>
        <row r="1140">
          <cell r="C1140" t="str">
            <v>Fontes Estacionárias</v>
          </cell>
          <cell r="E1140" t="str">
            <v>Comercial e Institucional</v>
          </cell>
          <cell r="F1140" t="str">
            <v>Mínimo</v>
          </cell>
          <cell r="G1140">
            <v>0</v>
          </cell>
          <cell r="I1140" t="str">
            <v>kg N₂O</v>
          </cell>
          <cell r="J1140" t="str">
            <v>GJ</v>
          </cell>
        </row>
        <row r="1141">
          <cell r="C1141" t="str">
            <v>Fontes Estacionárias</v>
          </cell>
          <cell r="E1141" t="str">
            <v>Comercial e Institucional</v>
          </cell>
          <cell r="F1141" t="str">
            <v>Máximo</v>
          </cell>
          <cell r="G1141">
            <v>0</v>
          </cell>
          <cell r="I1141" t="str">
            <v>kg N₂O</v>
          </cell>
          <cell r="J1141" t="str">
            <v>GJ</v>
          </cell>
        </row>
        <row r="1142">
          <cell r="C1142" t="str">
            <v>Fontes Estacionárias</v>
          </cell>
          <cell r="E1142" t="str">
            <v>Comercial e Institucional</v>
          </cell>
          <cell r="F1142" t="str">
            <v>Default</v>
          </cell>
          <cell r="G1142">
            <v>74.099999999999994</v>
          </cell>
          <cell r="I1142" t="str">
            <v>kg CO₂</v>
          </cell>
          <cell r="J1142" t="str">
            <v>GJ</v>
          </cell>
        </row>
        <row r="1143">
          <cell r="C1143" t="str">
            <v>Fontes Estacionárias</v>
          </cell>
          <cell r="E1143" t="str">
            <v>Comercial e Institucional</v>
          </cell>
          <cell r="F1143" t="str">
            <v>Default</v>
          </cell>
          <cell r="G1143">
            <v>74.099999999999994</v>
          </cell>
          <cell r="I1143" t="str">
            <v>kg CO₂</v>
          </cell>
          <cell r="J1143" t="str">
            <v>GJ</v>
          </cell>
        </row>
        <row r="1144">
          <cell r="C1144" t="str">
            <v>Fontes Estacionárias</v>
          </cell>
          <cell r="E1144" t="str">
            <v>Comercial e Institucional</v>
          </cell>
          <cell r="F1144" t="str">
            <v>Default</v>
          </cell>
          <cell r="G1144">
            <v>56.1</v>
          </cell>
          <cell r="I1144" t="str">
            <v>kg CO₂</v>
          </cell>
          <cell r="J1144" t="str">
            <v>GJ</v>
          </cell>
        </row>
        <row r="1145">
          <cell r="C1145" t="str">
            <v>Fontes Estacionárias</v>
          </cell>
          <cell r="E1145" t="str">
            <v>Comercial e Institucional</v>
          </cell>
          <cell r="F1145" t="str">
            <v>Default</v>
          </cell>
          <cell r="G1145">
            <v>63.1</v>
          </cell>
          <cell r="I1145" t="str">
            <v>kg CO₂</v>
          </cell>
          <cell r="J1145" t="str">
            <v>GJ</v>
          </cell>
        </row>
        <row r="1146">
          <cell r="C1146" t="str">
            <v>Fontes Estacionárias</v>
          </cell>
          <cell r="E1146" t="str">
            <v>Comercial e Institucional</v>
          </cell>
          <cell r="F1146" t="str">
            <v>Default</v>
          </cell>
          <cell r="G1146">
            <v>56.1</v>
          </cell>
          <cell r="I1146" t="str">
            <v>kg CO₂</v>
          </cell>
          <cell r="J1146" t="str">
            <v>GJ</v>
          </cell>
        </row>
        <row r="1147">
          <cell r="C1147" t="str">
            <v>Fontes Estacionárias</v>
          </cell>
          <cell r="E1147" t="str">
            <v>Comercial e Institucional</v>
          </cell>
          <cell r="F1147" t="str">
            <v>Default</v>
          </cell>
          <cell r="G1147">
            <v>0.01</v>
          </cell>
          <cell r="I1147" t="str">
            <v>kg CH₄</v>
          </cell>
          <cell r="J1147" t="str">
            <v>GJ</v>
          </cell>
        </row>
        <row r="1148">
          <cell r="C1148" t="str">
            <v>Fontes Estacionárias</v>
          </cell>
          <cell r="E1148" t="str">
            <v>Comercial e Institucional</v>
          </cell>
          <cell r="F1148" t="str">
            <v>Default</v>
          </cell>
          <cell r="G1148">
            <v>0.01</v>
          </cell>
          <cell r="I1148" t="str">
            <v>kg CH₄</v>
          </cell>
          <cell r="J1148" t="str">
            <v>GJ</v>
          </cell>
        </row>
        <row r="1149">
          <cell r="C1149" t="str">
            <v>Fontes Estacionárias</v>
          </cell>
          <cell r="E1149" t="str">
            <v>Comercial e Institucional</v>
          </cell>
          <cell r="F1149" t="str">
            <v>Default</v>
          </cell>
          <cell r="G1149">
            <v>5.0000000000000001E-3</v>
          </cell>
          <cell r="I1149" t="str">
            <v>kg CH₄</v>
          </cell>
          <cell r="J1149" t="str">
            <v>GJ</v>
          </cell>
        </row>
        <row r="1150">
          <cell r="C1150" t="str">
            <v>Fontes Estacionárias</v>
          </cell>
          <cell r="E1150" t="str">
            <v>Comercial e Institucional</v>
          </cell>
          <cell r="F1150" t="str">
            <v>Default</v>
          </cell>
          <cell r="G1150">
            <v>5.0000000000000001E-3</v>
          </cell>
          <cell r="I1150" t="str">
            <v>kg CH₄</v>
          </cell>
          <cell r="J1150" t="str">
            <v>GJ</v>
          </cell>
        </row>
        <row r="1151">
          <cell r="C1151" t="str">
            <v>Fontes Estacionárias</v>
          </cell>
          <cell r="E1151" t="str">
            <v>Comercial e Institucional</v>
          </cell>
          <cell r="F1151" t="str">
            <v>Default</v>
          </cell>
          <cell r="G1151">
            <v>0</v>
          </cell>
          <cell r="I1151" t="str">
            <v>kg CH₄</v>
          </cell>
          <cell r="J1151" t="str">
            <v>GJ</v>
          </cell>
        </row>
        <row r="1152">
          <cell r="C1152" t="str">
            <v>Fontes Estacionárias</v>
          </cell>
          <cell r="E1152" t="str">
            <v>Comercial e Institucional</v>
          </cell>
          <cell r="F1152" t="str">
            <v>Default</v>
          </cell>
          <cell r="G1152">
            <v>5.9999999999999995E-4</v>
          </cell>
          <cell r="I1152" t="str">
            <v>kg N₂O</v>
          </cell>
          <cell r="J1152" t="str">
            <v>GJ</v>
          </cell>
        </row>
        <row r="1153">
          <cell r="C1153" t="str">
            <v>Fontes Estacionárias</v>
          </cell>
          <cell r="E1153" t="str">
            <v>Comercial e Institucional</v>
          </cell>
          <cell r="F1153" t="str">
            <v>Default</v>
          </cell>
          <cell r="G1153">
            <v>5.9999999999999995E-4</v>
          </cell>
          <cell r="I1153" t="str">
            <v>kg N₂O</v>
          </cell>
          <cell r="J1153" t="str">
            <v>GJ</v>
          </cell>
        </row>
        <row r="1154">
          <cell r="C1154" t="str">
            <v>Fontes Estacionárias</v>
          </cell>
          <cell r="E1154" t="str">
            <v>Comercial e Institucional</v>
          </cell>
          <cell r="F1154" t="str">
            <v>Default</v>
          </cell>
          <cell r="G1154">
            <v>1E-4</v>
          </cell>
          <cell r="I1154" t="str">
            <v>kg N₂O</v>
          </cell>
          <cell r="J1154" t="str">
            <v>GJ</v>
          </cell>
        </row>
        <row r="1155">
          <cell r="C1155" t="str">
            <v>Fontes Estacionárias</v>
          </cell>
          <cell r="E1155" t="str">
            <v>Comercial e Institucional</v>
          </cell>
          <cell r="F1155" t="str">
            <v>Default</v>
          </cell>
          <cell r="G1155">
            <v>1E-4</v>
          </cell>
          <cell r="I1155" t="str">
            <v>kg N₂O</v>
          </cell>
          <cell r="J1155" t="str">
            <v>GJ</v>
          </cell>
        </row>
        <row r="1156">
          <cell r="C1156" t="str">
            <v>Fontes Estacionárias</v>
          </cell>
          <cell r="E1156" t="str">
            <v>Comercial e Institucional</v>
          </cell>
          <cell r="F1156" t="str">
            <v>Default</v>
          </cell>
          <cell r="G1156">
            <v>0</v>
          </cell>
          <cell r="I1156" t="str">
            <v>kg N₂O</v>
          </cell>
          <cell r="J1156" t="str">
            <v>GJ</v>
          </cell>
        </row>
        <row r="1160">
          <cell r="G1160">
            <v>74.343000000000004</v>
          </cell>
        </row>
        <row r="1161">
          <cell r="G1161">
            <v>267.63480000000004</v>
          </cell>
        </row>
        <row r="1162">
          <cell r="G1162">
            <v>0.26763480000000006</v>
          </cell>
        </row>
        <row r="1164">
          <cell r="G1164">
            <v>0.24299999999999999</v>
          </cell>
          <cell r="I1164" t="str">
            <v>GJ</v>
          </cell>
          <cell r="J1164" t="str">
            <v>GJ</v>
          </cell>
        </row>
        <row r="1165">
          <cell r="G1165">
            <v>0.87480000000000002</v>
          </cell>
          <cell r="I1165" t="str">
            <v>tonne</v>
          </cell>
          <cell r="J1165" t="str">
            <v>MWh</v>
          </cell>
        </row>
        <row r="1166">
          <cell r="C1166" t="str">
            <v>Diesel</v>
          </cell>
          <cell r="G1166">
            <v>8.7480000000000001E-4</v>
          </cell>
        </row>
        <row r="1167">
          <cell r="C1167">
            <v>74.099999999999994</v>
          </cell>
        </row>
        <row r="1168">
          <cell r="C1168">
            <v>3.8999999999999998E-3</v>
          </cell>
        </row>
        <row r="1169">
          <cell r="C1169">
            <v>3.8999999999999998E-3</v>
          </cell>
        </row>
        <row r="1170">
          <cell r="C1170">
            <v>75.242699999999999</v>
          </cell>
        </row>
        <row r="1171">
          <cell r="C1171">
            <v>2.7177663239999998</v>
          </cell>
        </row>
        <row r="1173">
          <cell r="C1173" t="str">
            <v>gasolina</v>
          </cell>
          <cell r="F1173" t="str">
            <v>GJ / tonne</v>
          </cell>
        </row>
        <row r="1174">
          <cell r="C1174">
            <v>69.3</v>
          </cell>
          <cell r="E1174" t="str">
            <v>biodiesel</v>
          </cell>
          <cell r="F1174">
            <v>27.4</v>
          </cell>
          <cell r="G1174">
            <v>7.6111111111111107</v>
          </cell>
        </row>
        <row r="1175">
          <cell r="C1175">
            <v>2.5000000000000001E-2</v>
          </cell>
          <cell r="E1175" t="str">
            <v>biogas</v>
          </cell>
          <cell r="F1175">
            <v>50.4</v>
          </cell>
          <cell r="G1175">
            <v>14</v>
          </cell>
        </row>
        <row r="1176">
          <cell r="C1176">
            <v>8.0000000000000002E-3</v>
          </cell>
          <cell r="E1176" t="str">
            <v>biomass</v>
          </cell>
          <cell r="F1176">
            <v>11.6</v>
          </cell>
          <cell r="G1176">
            <v>3.2222222222222219</v>
          </cell>
        </row>
        <row r="1177">
          <cell r="C1177">
            <v>72.12</v>
          </cell>
        </row>
        <row r="1178">
          <cell r="C1178">
            <v>2.3706276720000004</v>
          </cell>
        </row>
        <row r="1179">
          <cell r="C1179" t="str">
            <v>gas natural</v>
          </cell>
        </row>
        <row r="1180">
          <cell r="C1180">
            <v>56.1</v>
          </cell>
        </row>
        <row r="1181">
          <cell r="C1181">
            <v>1E-3</v>
          </cell>
        </row>
        <row r="1182">
          <cell r="C1182">
            <v>1E-4</v>
          </cell>
        </row>
        <row r="1183">
          <cell r="C1183">
            <v>56.154499999999999</v>
          </cell>
        </row>
        <row r="1184">
          <cell r="C1184">
            <v>2.532</v>
          </cell>
        </row>
        <row r="1185">
          <cell r="C1185">
            <v>2.532E-3</v>
          </cell>
        </row>
        <row r="1190">
          <cell r="C1190" t="str">
            <v>Gás Natural</v>
          </cell>
          <cell r="E1190" t="str">
            <v>GJ/m³</v>
          </cell>
        </row>
        <row r="1194">
          <cell r="C1194">
            <v>2.5323297999999999</v>
          </cell>
        </row>
        <row r="1195">
          <cell r="C1195">
            <v>2.5323297999999997E-3</v>
          </cell>
        </row>
        <row r="1196">
          <cell r="C1196">
            <v>6.8731429731537216E-2</v>
          </cell>
        </row>
        <row r="1197">
          <cell r="C1197">
            <v>68.731429731537219</v>
          </cell>
        </row>
      </sheetData>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rning - macro security level"/>
      <sheetName val="Start (macro's disabled)"/>
      <sheetName val="Start"/>
      <sheetName val="About"/>
      <sheetName val="Directory"/>
      <sheetName val="LUC"/>
      <sheetName val="E-Wt (NG-chp)"/>
      <sheetName val="Esca"/>
      <sheetName val="N2O emissions IPCC "/>
      <sheetName val="Calculate efficiencies"/>
      <sheetName val="E-Sb"/>
      <sheetName val="E-Wt (not.spec.)"/>
      <sheetName val="E-Wt (Lign-chp)"/>
      <sheetName val="E-Wt (NG-b)"/>
      <sheetName val="E-Wt (Str-chp)"/>
      <sheetName val="E-Co"/>
      <sheetName val="E-Sc"/>
      <sheetName val="F-Rs"/>
      <sheetName val="F-Sf"/>
      <sheetName val="F-Sy"/>
      <sheetName val="F-Po"/>
      <sheetName val="F-Po (CH4 capt)"/>
      <sheetName val="F-Wo"/>
      <sheetName val="H-Rs"/>
      <sheetName val="H-Sf"/>
      <sheetName val="H-Po"/>
      <sheetName val="H-Po (CH4 capt)"/>
      <sheetName val="P-Rs"/>
      <sheetName val="CNG-OW"/>
      <sheetName val="CNG-wM"/>
      <sheetName val="CNG-dM"/>
      <sheetName val="User specific calculations"/>
      <sheetName val="User defined standard values"/>
      <sheetName val="Standard values"/>
    </sheetNames>
    <sheetDataSet>
      <sheetData sheetId="0" refreshError="1"/>
      <sheetData sheetId="1" refreshError="1"/>
      <sheetData sheetId="2" refreshError="1"/>
      <sheetData sheetId="3">
        <row r="87">
          <cell r="B87">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file:///C:\Users\Eva-Ingrid.Room\RED%20II\KHG%20hindamise%20delegeeritud%20akti%20eeln%25C3%25B5u%20cellar_feeb65a8-d86c-11ec-a95f-01aa75ed71a1.0001.01_DOC_2%20(1).docx%3fweb=1"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s://unfccc.int/ghg-inventories-annex-i-parties/2022" TargetMode="External"/><Relationship Id="rId2" Type="http://schemas.openxmlformats.org/officeDocument/2006/relationships/hyperlink" Target="https://unfccc.int/ghg-inventories-annex-i-parties/2022" TargetMode="External"/><Relationship Id="rId1" Type="http://schemas.openxmlformats.org/officeDocument/2006/relationships/hyperlink" Target="https://unfccc.int/ghg-inventories-annex-i-parties/2022" TargetMode="External"/><Relationship Id="rId6" Type="http://schemas.openxmlformats.org/officeDocument/2006/relationships/printerSettings" Target="../printerSettings/printerSettings2.bin"/><Relationship Id="rId5" Type="http://schemas.openxmlformats.org/officeDocument/2006/relationships/hyperlink" Target="https://unfccc.int/ghg-inventories-annex-i-parties/2022" TargetMode="External"/><Relationship Id="rId4" Type="http://schemas.openxmlformats.org/officeDocument/2006/relationships/hyperlink" Target="https://unfccc.int/ghg-inventories-annex-i-parties/202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unfccc.int/ghg-inventories-annex-i-parties/2022" TargetMode="External"/><Relationship Id="rId2" Type="http://schemas.openxmlformats.org/officeDocument/2006/relationships/hyperlink" Target="https://unfccc.int/ghg-inventories-annex-i-parties/2022" TargetMode="External"/><Relationship Id="rId1" Type="http://schemas.openxmlformats.org/officeDocument/2006/relationships/hyperlink" Target="https://unfccc.int/ghg-inventories-annex-i-parties/2022" TargetMode="External"/><Relationship Id="rId6" Type="http://schemas.openxmlformats.org/officeDocument/2006/relationships/printerSettings" Target="../printerSettings/printerSettings3.bin"/><Relationship Id="rId5" Type="http://schemas.openxmlformats.org/officeDocument/2006/relationships/hyperlink" Target="https://unfccc.int/ghg-inventories-annex-i-parties/2022" TargetMode="External"/><Relationship Id="rId4" Type="http://schemas.openxmlformats.org/officeDocument/2006/relationships/hyperlink" Target="https://unfccc.int/ghg-inventories-annex-i-parties/2022" TargetMode="External"/></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riigiteataja.ee/akt/174925" TargetMode="External"/><Relationship Id="rId7" Type="http://schemas.openxmlformats.org/officeDocument/2006/relationships/vmlDrawing" Target="../drawings/vmlDrawing1.vml"/><Relationship Id="rId2" Type="http://schemas.openxmlformats.org/officeDocument/2006/relationships/hyperlink" Target="https://www.trea.ee/wp-content/uploads/2021/02/Puitk%C3%BCtuste-kasutaja-k%C3%A4siraamat.pdf" TargetMode="External"/><Relationship Id="rId1" Type="http://schemas.openxmlformats.org/officeDocument/2006/relationships/hyperlink" Target="https://www.trea.ee/wp-content/uploads/2021/02/Puitk%C3%BCtuste-kasutaja-k%C3%A4siraamat.pdf" TargetMode="External"/><Relationship Id="rId6" Type="http://schemas.openxmlformats.org/officeDocument/2006/relationships/printerSettings" Target="../printerSettings/printerSettings4.bin"/><Relationship Id="rId5" Type="http://schemas.openxmlformats.org/officeDocument/2006/relationships/hyperlink" Target="https://unfccc.int/sites/default/files/resource/est-2022-nir-12apr22_0.zip" TargetMode="External"/><Relationship Id="rId4" Type="http://schemas.openxmlformats.org/officeDocument/2006/relationships/hyperlink" Target="https://unfccc.int/sites/default/files/resource/est-2022-nir-12apr22_0.zip"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eb.archive.org/web/20061206183329/http:/www2.inrets.fr/infos/cost319/MEETDeliverable17.PDF" TargetMode="External"/><Relationship Id="rId13" Type="http://schemas.openxmlformats.org/officeDocument/2006/relationships/hyperlink" Target="https://unfccc.int/sites/default/files/resource/est-2022-nir-12apr22_0.zip" TargetMode="External"/><Relationship Id="rId18" Type="http://schemas.openxmlformats.org/officeDocument/2006/relationships/image" Target="../media/image2.emf"/><Relationship Id="rId3" Type="http://schemas.openxmlformats.org/officeDocument/2006/relationships/hyperlink" Target="https://www.ccr-zkr.org/files/documents/rapports/Thg_ber_en.pdf" TargetMode="External"/><Relationship Id="rId7" Type="http://schemas.openxmlformats.org/officeDocument/2006/relationships/hyperlink" Target="https://en.wikipedia.org/wiki/Energy_efficiency_in_transport" TargetMode="External"/><Relationship Id="rId12" Type="http://schemas.openxmlformats.org/officeDocument/2006/relationships/hyperlink" Target="https://andmed.stat.ee/et/stat/majandus__energeetika__energia-tarbimine-ja-tootmine__aastastatistika/KE0240/table/tableViewLayout2" TargetMode="External"/><Relationship Id="rId17" Type="http://schemas.openxmlformats.org/officeDocument/2006/relationships/oleObject" Target="../embeddings/oleObject1.bin"/><Relationship Id="rId2" Type="http://schemas.openxmlformats.org/officeDocument/2006/relationships/hyperlink" Target="https://unfccc.int/ghg-inventories-annex-i-parties/2022" TargetMode="External"/><Relationship Id="rId16" Type="http://schemas.openxmlformats.org/officeDocument/2006/relationships/vmlDrawing" Target="../drawings/vmlDrawing2.vml"/><Relationship Id="rId1" Type="http://schemas.openxmlformats.org/officeDocument/2006/relationships/hyperlink" Target="https://unfccc.int/ghg-inventories-annex-i-parties/2022" TargetMode="External"/><Relationship Id="rId6" Type="http://schemas.openxmlformats.org/officeDocument/2006/relationships/hyperlink" Target="https://www.researchgate.net/figure/Average-fuel-consumption-by-train-type-per-kilometer_fig4_321058362" TargetMode="External"/><Relationship Id="rId11" Type="http://schemas.openxmlformats.org/officeDocument/2006/relationships/hyperlink" Target="https://www.neste.ee/ee/kui-palju-tarbib-kytust-kuurakett-voi-elroni-diislirong" TargetMode="External"/><Relationship Id="rId5" Type="http://schemas.openxmlformats.org/officeDocument/2006/relationships/hyperlink" Target="https://www.emta.ee/ariklient/maksud-ja-tasumine/aktsiisid/vedelkutuse-kaitlemine-ja-andmekogud/sadhes-ja-complex-andmete-liikumine-kksi" TargetMode="External"/><Relationship Id="rId15" Type="http://schemas.openxmlformats.org/officeDocument/2006/relationships/drawing" Target="../drawings/drawing2.xml"/><Relationship Id="rId10" Type="http://schemas.openxmlformats.org/officeDocument/2006/relationships/hyperlink" Target="https://www.bts.gov/content/class-i-rail-freight-fuel-consumption-and-travel-metric" TargetMode="External"/><Relationship Id="rId19" Type="http://schemas.openxmlformats.org/officeDocument/2006/relationships/comments" Target="../comments2.xml"/><Relationship Id="rId4" Type="http://schemas.openxmlformats.org/officeDocument/2006/relationships/hyperlink" Target="https://www.riigiteataja.ee/akt/174925" TargetMode="External"/><Relationship Id="rId9" Type="http://schemas.openxmlformats.org/officeDocument/2006/relationships/hyperlink" Target="https://en.wikipedia.org/wiki/Energy_efficiency_in_transport"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ec.europa.eu/jrc/en/publication/eur-scientific-and-technical-research-reports/jec-well-tank-report-v5" TargetMode="External"/><Relationship Id="rId1" Type="http://schemas.openxmlformats.org/officeDocument/2006/relationships/hyperlink" Target="https://ec.europa.eu/jrc/en/publication/eur-scientific-and-technical-research-reports/jec-well-tank-report-v5"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hyperlink" Target="https://ec.europa.eu/eurostat/documents/38154/4956088/SUMMARY-results-SHARES_2021.xlsx/a3ec29ed-95d3-8dfd-6f2f-4acd1eafdc91?t=1673009663750" TargetMode="External"/><Relationship Id="rId7" Type="http://schemas.openxmlformats.org/officeDocument/2006/relationships/comments" Target="../comments4.xml"/><Relationship Id="rId2" Type="http://schemas.openxmlformats.org/officeDocument/2006/relationships/hyperlink" Target="https://ec.europa.eu/eurostat/web/energy/data/shares" TargetMode="External"/><Relationship Id="rId1" Type="http://schemas.openxmlformats.org/officeDocument/2006/relationships/hyperlink" Target="https://eu-central-1.protection.sophos.com/?d=stat.ee&amp;u=aHR0cHM6Ly9hbmRtZWQuc3RhdC5lZS9ldC9zdGF0L21hamFuZHVzX19lbmVyZ2VldGlrYV9fZW5lcmdpYS10YXJiaW1pbmUtamEtdG9vdG1pbmVfX2Fhc3Rhc3RhdGlzdGlrYS9LRTAzMw==&amp;i=NWViMDVkYzYyODNiMmExNjY4NjE2Zjgx&amp;t=NVlmaVhWUXgxRWdGeWVXSWo3NVMzSlFkREJlYWZxUGNHTk9LcVFpVTRmYz0=&amp;h=5eb2c95a18f84ee5b7cd65dbca0984ed" TargetMode="External"/><Relationship Id="rId6" Type="http://schemas.openxmlformats.org/officeDocument/2006/relationships/vmlDrawing" Target="../drawings/vmlDrawing4.vml"/><Relationship Id="rId5" Type="http://schemas.openxmlformats.org/officeDocument/2006/relationships/printerSettings" Target="../printerSettings/printerSettings7.bin"/><Relationship Id="rId4" Type="http://schemas.openxmlformats.org/officeDocument/2006/relationships/hyperlink" Target="https://eu-central-1.protection.sophos.com/?d=stat.ee&amp;u=aHR0cHM6Ly9hbmRtZWQuc3RhdC5lZS9ldC9zdGF0L21hamFuZHVzX19lbmVyZ2VldGlrYV9fZW5lcmdpYS10YXJiaW1pbmUtamEtdG9vdG1pbmVfX2Fhc3Rhc3RhdGlzdGlrYS9LRTAzMw==&amp;i=NWViMDVkYzYyODNiMmExNjY4NjE2Zjgx&amp;t=NVlmaVhWUXgxRWdGeWVXSWo3NVMzSlFkREJlYWZxUGNHTk9LcVFpVTRmYz0=&amp;h=5eb2c95a18f84ee5b7cd65dbca0984ed" TargetMode="Externa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0349-C52E-4B3A-848C-A16FB408614C}">
  <sheetPr>
    <tabColor rgb="FF92D050"/>
  </sheetPr>
  <dimension ref="A1:T39"/>
  <sheetViews>
    <sheetView zoomScale="81" zoomScaleNormal="81" workbookViewId="0">
      <selection activeCell="B11" sqref="B11"/>
    </sheetView>
  </sheetViews>
  <sheetFormatPr defaultColWidth="7.21875" defaultRowHeight="14.4"/>
  <cols>
    <col min="1" max="1" width="60" style="64" customWidth="1"/>
    <col min="2" max="2" width="29.5546875" style="271" customWidth="1"/>
    <col min="3" max="3" width="11.5546875" style="59" customWidth="1"/>
    <col min="4" max="4" width="78.77734375" style="46" customWidth="1"/>
    <col min="5" max="5" width="24.5546875" customWidth="1"/>
    <col min="6" max="6" width="25.33203125" style="170" customWidth="1"/>
    <col min="7" max="7" width="18.21875" customWidth="1"/>
    <col min="8" max="8" width="29.33203125" customWidth="1"/>
    <col min="9" max="9" width="24.33203125" customWidth="1"/>
    <col min="10" max="10" width="22.88671875" customWidth="1"/>
    <col min="11" max="11" width="30.88671875" customWidth="1"/>
    <col min="12" max="12" width="11.77734375" customWidth="1"/>
    <col min="13" max="13" width="11.5546875" customWidth="1"/>
    <col min="14" max="14" width="16.5546875" customWidth="1"/>
    <col min="15" max="15" width="8.44140625" customWidth="1"/>
    <col min="16" max="16" width="11.77734375" customWidth="1"/>
    <col min="17" max="17" width="13.44140625" customWidth="1"/>
    <col min="18" max="18" width="6.44140625" customWidth="1"/>
    <col min="20" max="20" width="7.21875" style="46"/>
  </cols>
  <sheetData>
    <row r="1" spans="1:20">
      <c r="A1" s="652" t="s">
        <v>20</v>
      </c>
      <c r="B1" s="652"/>
      <c r="C1" s="652"/>
      <c r="D1" s="176"/>
      <c r="F1" s="168"/>
      <c r="G1" s="22"/>
      <c r="H1" s="41"/>
    </row>
    <row r="2" spans="1:20">
      <c r="D2" s="45"/>
      <c r="E2" s="23"/>
      <c r="R2" s="49"/>
      <c r="T2"/>
    </row>
    <row r="3" spans="1:20">
      <c r="A3" s="653" t="s">
        <v>842</v>
      </c>
      <c r="B3" s="654"/>
      <c r="C3" s="655"/>
      <c r="D3" s="45"/>
      <c r="E3" s="23"/>
      <c r="R3" s="49"/>
      <c r="T3"/>
    </row>
    <row r="4" spans="1:20">
      <c r="A4" s="551" t="s">
        <v>871</v>
      </c>
      <c r="B4" s="656"/>
      <c r="C4" s="657"/>
      <c r="D4" s="45"/>
      <c r="E4" s="23"/>
      <c r="R4" s="49"/>
      <c r="T4"/>
    </row>
    <row r="5" spans="1:20">
      <c r="D5" s="45"/>
      <c r="E5" s="23"/>
      <c r="R5" s="49"/>
      <c r="T5"/>
    </row>
    <row r="6" spans="1:20">
      <c r="A6" s="653" t="s">
        <v>51</v>
      </c>
      <c r="B6" s="654"/>
      <c r="C6" s="655"/>
      <c r="D6" s="47"/>
      <c r="E6" s="490"/>
      <c r="J6" s="167"/>
      <c r="Q6" s="46"/>
      <c r="T6"/>
    </row>
    <row r="7" spans="1:20" ht="57.6">
      <c r="A7" s="73" t="s">
        <v>1010</v>
      </c>
      <c r="B7" s="597" t="s">
        <v>1007</v>
      </c>
      <c r="C7" s="44"/>
      <c r="D7" s="50" t="s">
        <v>1059</v>
      </c>
      <c r="T7"/>
    </row>
    <row r="8" spans="1:20" ht="28.8">
      <c r="A8" s="73" t="s">
        <v>1009</v>
      </c>
      <c r="B8" s="597" t="s">
        <v>1007</v>
      </c>
      <c r="C8" s="44"/>
      <c r="D8" s="50" t="s">
        <v>1059</v>
      </c>
      <c r="T8"/>
    </row>
    <row r="9" spans="1:20" ht="28.8">
      <c r="A9" s="537" t="s">
        <v>1021</v>
      </c>
      <c r="B9" s="586">
        <f>IF('Tulemused Tööstus'!B51="Rohevesinik",'Tulemused Tööstus'!B57,0)+'Tulemused Transport'!B19</f>
        <v>0</v>
      </c>
      <c r="C9" s="44" t="s">
        <v>31</v>
      </c>
      <c r="D9" s="49" t="s">
        <v>1060</v>
      </c>
      <c r="E9" s="628"/>
      <c r="T9"/>
    </row>
    <row r="10" spans="1:20" ht="43.8">
      <c r="A10" s="629" t="s">
        <v>1017</v>
      </c>
      <c r="B10" s="488">
        <f>B31*B39</f>
        <v>26.111132000000001</v>
      </c>
      <c r="C10" s="44" t="s">
        <v>1018</v>
      </c>
      <c r="D10" s="49" t="s">
        <v>1061</v>
      </c>
      <c r="E10" s="17"/>
      <c r="T10"/>
    </row>
    <row r="11" spans="1:20" ht="59.4">
      <c r="A11" s="65" t="s">
        <v>1024</v>
      </c>
      <c r="B11" s="530">
        <f>IF(B7="JAH",IF(B8="JAH",0*B9,"ei vasta nõutele"),"Ei vasta nõuetele")</f>
        <v>0</v>
      </c>
      <c r="C11" s="44" t="s">
        <v>30</v>
      </c>
      <c r="D11" s="49" t="s">
        <v>1008</v>
      </c>
      <c r="E11" s="513"/>
      <c r="T11"/>
    </row>
    <row r="12" spans="1:20" ht="58.8">
      <c r="A12" s="65" t="s">
        <v>1025</v>
      </c>
      <c r="B12" s="530">
        <f>IFERROR(IF(B9&gt;0,(B10*B9-B11*B9)/B10/B9,0)*100,0)</f>
        <v>0</v>
      </c>
      <c r="C12" s="44" t="s">
        <v>27</v>
      </c>
      <c r="D12" s="49" t="s">
        <v>1027</v>
      </c>
      <c r="E12" s="554"/>
      <c r="N12" s="60"/>
      <c r="Q12" s="34"/>
      <c r="T12"/>
    </row>
    <row r="13" spans="1:20" ht="43.2">
      <c r="A13" s="630" t="s">
        <v>1028</v>
      </c>
      <c r="B13" s="530">
        <v>70</v>
      </c>
      <c r="C13" s="44" t="s">
        <v>27</v>
      </c>
      <c r="D13" s="49" t="s">
        <v>1030</v>
      </c>
      <c r="E13" s="554"/>
      <c r="N13" s="60"/>
      <c r="Q13" s="34"/>
      <c r="T13"/>
    </row>
    <row r="14" spans="1:20" ht="43.2">
      <c r="A14" s="630" t="s">
        <v>1026</v>
      </c>
      <c r="B14" s="530" t="str">
        <f>IF(B9&gt;0,IF(B12&gt;B13,"JAH","EI"),"Ei kohaldu")</f>
        <v>Ei kohaldu</v>
      </c>
      <c r="C14" s="44"/>
      <c r="D14" s="49" t="s">
        <v>1029</v>
      </c>
      <c r="E14" s="554"/>
      <c r="N14" s="60"/>
      <c r="Q14" s="34"/>
      <c r="T14"/>
    </row>
    <row r="15" spans="1:20">
      <c r="B15" s="131"/>
      <c r="C15" s="55"/>
      <c r="E15" s="17"/>
      <c r="F15" s="169"/>
      <c r="H15" s="150"/>
      <c r="K15" s="598"/>
      <c r="L15" s="599"/>
      <c r="O15" s="599"/>
      <c r="P15" s="599"/>
      <c r="Q15" s="48"/>
      <c r="T15"/>
    </row>
    <row r="16" spans="1:20">
      <c r="E16" s="17"/>
      <c r="F16" s="169"/>
      <c r="H16" s="150"/>
      <c r="K16" s="598"/>
      <c r="L16" s="599"/>
      <c r="O16" s="599"/>
      <c r="P16" s="599"/>
      <c r="Q16" s="48"/>
      <c r="T16"/>
    </row>
    <row r="17" spans="1:20">
      <c r="A17" s="631" t="s">
        <v>1034</v>
      </c>
      <c r="B17" s="632"/>
      <c r="C17" s="633"/>
      <c r="D17" s="634"/>
      <c r="E17" s="17"/>
      <c r="F17" s="169"/>
      <c r="H17" s="150"/>
      <c r="K17" s="598"/>
      <c r="L17" s="599"/>
      <c r="O17" s="599"/>
      <c r="P17" s="599"/>
      <c r="Q17" s="48"/>
      <c r="T17"/>
    </row>
    <row r="18" spans="1:20">
      <c r="A18" s="635" t="s">
        <v>1022</v>
      </c>
      <c r="B18" s="595"/>
      <c r="C18" s="633"/>
      <c r="D18" s="634"/>
      <c r="E18" s="17"/>
      <c r="F18" s="169"/>
      <c r="H18" s="150"/>
      <c r="K18" s="598"/>
      <c r="L18" s="599"/>
      <c r="O18" s="599"/>
      <c r="P18" s="599"/>
      <c r="Q18" s="48"/>
      <c r="T18"/>
    </row>
    <row r="19" spans="1:20">
      <c r="A19" s="636" t="s">
        <v>1023</v>
      </c>
      <c r="B19" s="595"/>
      <c r="C19" s="633"/>
      <c r="D19" s="634"/>
      <c r="E19" s="17"/>
      <c r="F19" s="169"/>
      <c r="H19" s="150"/>
      <c r="K19" s="598"/>
      <c r="L19" s="599"/>
      <c r="O19" s="599"/>
      <c r="P19" s="599"/>
      <c r="Q19" s="48"/>
      <c r="T19"/>
    </row>
    <row r="20" spans="1:20">
      <c r="A20" s="635"/>
      <c r="B20" s="632"/>
      <c r="C20" s="633"/>
      <c r="D20" s="634"/>
      <c r="E20" s="17"/>
      <c r="F20" s="169"/>
      <c r="H20" s="150"/>
      <c r="K20" s="598"/>
      <c r="L20" s="599"/>
      <c r="O20" s="599"/>
      <c r="P20" s="599"/>
      <c r="Q20" s="48"/>
      <c r="T20"/>
    </row>
    <row r="21" spans="1:20">
      <c r="B21" s="635" t="s">
        <v>1011</v>
      </c>
      <c r="C21" s="637"/>
      <c r="D21" s="634"/>
      <c r="F21"/>
    </row>
    <row r="22" spans="1:20">
      <c r="A22" s="638"/>
      <c r="B22" s="627" t="s">
        <v>1015</v>
      </c>
      <c r="C22" s="637"/>
      <c r="D22" s="634"/>
      <c r="F22"/>
    </row>
    <row r="23" spans="1:20" ht="15.6">
      <c r="A23" s="639"/>
      <c r="B23" s="640" t="s">
        <v>1035</v>
      </c>
      <c r="C23" s="637"/>
      <c r="D23" s="634"/>
      <c r="F23"/>
    </row>
    <row r="24" spans="1:20">
      <c r="A24" s="639"/>
      <c r="B24" s="595" t="s">
        <v>1012</v>
      </c>
      <c r="C24" s="637"/>
      <c r="D24" s="634"/>
      <c r="F24"/>
    </row>
    <row r="25" spans="1:20">
      <c r="A25" s="639"/>
      <c r="B25" s="640" t="s">
        <v>1013</v>
      </c>
      <c r="C25" s="637"/>
      <c r="D25" s="634"/>
    </row>
    <row r="26" spans="1:20" ht="15.6">
      <c r="A26" s="639"/>
      <c r="B26" s="640" t="s">
        <v>1036</v>
      </c>
      <c r="C26" s="637"/>
      <c r="D26" s="634"/>
    </row>
    <row r="27" spans="1:20">
      <c r="A27" s="641"/>
      <c r="B27" s="595"/>
      <c r="C27" s="637"/>
      <c r="D27" s="634"/>
    </row>
    <row r="28" spans="1:20" ht="27.45" customHeight="1">
      <c r="A28" s="639"/>
      <c r="B28" s="650" t="s">
        <v>1037</v>
      </c>
      <c r="C28" s="650"/>
      <c r="D28" s="650"/>
    </row>
    <row r="29" spans="1:20" ht="14.55" customHeight="1">
      <c r="A29" s="639"/>
      <c r="B29" s="595"/>
      <c r="C29" s="637"/>
      <c r="D29" s="634"/>
      <c r="E29" s="642"/>
    </row>
    <row r="30" spans="1:20">
      <c r="A30" s="643"/>
      <c r="B30" s="640" t="s">
        <v>1016</v>
      </c>
      <c r="C30" s="637"/>
      <c r="D30" s="634"/>
    </row>
    <row r="31" spans="1:20" ht="15.6">
      <c r="A31" s="641"/>
      <c r="B31" s="644">
        <v>94</v>
      </c>
      <c r="C31" s="645" t="s">
        <v>1038</v>
      </c>
      <c r="D31" s="645" t="s">
        <v>1039</v>
      </c>
      <c r="E31" s="645" t="s">
        <v>1040</v>
      </c>
    </row>
    <row r="32" spans="1:20" ht="30" customHeight="1">
      <c r="A32" s="646"/>
      <c r="B32" s="651" t="s">
        <v>1033</v>
      </c>
      <c r="C32" s="651"/>
      <c r="D32" s="651"/>
    </row>
    <row r="33" spans="1:4" ht="28.5" customHeight="1">
      <c r="A33" s="647"/>
      <c r="B33" s="651" t="s">
        <v>1014</v>
      </c>
      <c r="C33" s="651"/>
      <c r="D33" s="651"/>
    </row>
    <row r="34" spans="1:4">
      <c r="A34" s="635"/>
      <c r="B34" s="595"/>
      <c r="C34" s="637"/>
      <c r="D34" s="634"/>
    </row>
    <row r="35" spans="1:4">
      <c r="A35" s="648" t="s">
        <v>1031</v>
      </c>
      <c r="B35" s="595"/>
      <c r="C35" s="637"/>
      <c r="D35" s="634"/>
    </row>
    <row r="36" spans="1:4">
      <c r="A36" s="649" t="s">
        <v>1007</v>
      </c>
      <c r="B36" s="595"/>
      <c r="C36" s="637"/>
      <c r="D36" s="634"/>
    </row>
    <row r="37" spans="1:4">
      <c r="A37" s="649" t="s">
        <v>1032</v>
      </c>
      <c r="B37" s="595"/>
      <c r="C37" s="637"/>
      <c r="D37" s="634"/>
    </row>
    <row r="38" spans="1:4">
      <c r="A38" s="635"/>
      <c r="B38" s="595"/>
      <c r="C38" s="637"/>
      <c r="D38" s="634"/>
    </row>
    <row r="39" spans="1:4">
      <c r="A39" s="635" t="s">
        <v>1062</v>
      </c>
      <c r="B39" s="596">
        <v>0.27777800000000002</v>
      </c>
      <c r="C39" s="633" t="s">
        <v>1058</v>
      </c>
      <c r="D39" s="634"/>
    </row>
  </sheetData>
  <sheetProtection algorithmName="SHA-512" hashValue="jXQ0N3yIKJCqnzMEWEODJVrWEDvSMd5dmC9Mp8edFb36lPGqBPgUggvj1QSs9LAICYpZ4u7gOYyjOb9jBoqI1Q==" saltValue="G7lHHB5MEpjqmtziI6Ahsg==" spinCount="100000" sheet="1" objects="1" scenarios="1"/>
  <mergeCells count="7">
    <mergeCell ref="B28:D28"/>
    <mergeCell ref="B33:D33"/>
    <mergeCell ref="B32:D32"/>
    <mergeCell ref="A1:C1"/>
    <mergeCell ref="A3:C3"/>
    <mergeCell ref="B4:C4"/>
    <mergeCell ref="A6:C6"/>
  </mergeCells>
  <dataValidations count="1">
    <dataValidation type="list" allowBlank="1" showInputMessage="1" showErrorMessage="1" sqref="B7:B8" xr:uid="{924DF5A8-9510-4CAB-A3CC-AE73F3BEDCE3}">
      <formula1>$A$36:$A$37</formula1>
    </dataValidation>
  </dataValidations>
  <hyperlinks>
    <hyperlink ref="B22" r:id="rId1" display="../RED II/KHG hindamise delegeeritud akti eeln%C3%B5u cellar_feeb65a8-d86c-11ec-a95f-01aa75ed71a1.0001.01_DOC_2 (1).docx?web=1" xr:uid="{FF83AD52-5086-4CFC-B0D5-EC64DFD4FDFA}"/>
  </hyperlinks>
  <pageMargins left="0.7" right="0.7" top="0.75" bottom="0.75" header="0.3" footer="0.3"/>
  <pageSetup paperSize="9" orientation="portrait"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105DE-C45D-43BB-97CF-924FFBC7311C}">
  <dimension ref="A1"/>
  <sheetViews>
    <sheetView zoomScale="70" zoomScaleNormal="70" workbookViewId="0"/>
  </sheetViews>
  <sheetFormatPr defaultColWidth="8.77734375" defaultRowHeight="14.4"/>
  <cols>
    <col min="1" max="16384" width="8.77734375" style="483"/>
  </cols>
  <sheetData/>
  <sheetProtection algorithmName="SHA-512" hashValue="vFIbYP7EQ5k2YXVft4m9nIbvfQAS7vqSoeng9/R6H4f7zDg29m+QxUrADuTNGRbi+MHYXq1C+0ZBkkEREMbX7A==" saltValue="xg22wHo590GeHOcUDaxPRQ==" spinCount="100000" sheet="1" objects="1" scenarios="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1380C-964E-4144-B019-3ACBA395CCD1}">
  <dimension ref="A1:J37"/>
  <sheetViews>
    <sheetView workbookViewId="0">
      <selection activeCell="B1" sqref="B1"/>
    </sheetView>
  </sheetViews>
  <sheetFormatPr defaultRowHeight="14.4"/>
  <sheetData>
    <row r="1" spans="1:10">
      <c r="A1" s="174" t="s">
        <v>197</v>
      </c>
      <c r="J1" s="125"/>
    </row>
    <row r="2" spans="1:10">
      <c r="A2" s="9" t="s">
        <v>86</v>
      </c>
      <c r="J2" s="125"/>
    </row>
    <row r="3" spans="1:10">
      <c r="A3" s="9" t="s">
        <v>87</v>
      </c>
      <c r="J3" s="125"/>
    </row>
    <row r="4" spans="1:10">
      <c r="A4" s="9" t="s">
        <v>88</v>
      </c>
      <c r="J4" s="125"/>
    </row>
    <row r="5" spans="1:10">
      <c r="A5" s="9" t="s">
        <v>71</v>
      </c>
    </row>
    <row r="6" spans="1:10">
      <c r="A6" s="9" t="s">
        <v>72</v>
      </c>
    </row>
    <row r="7" spans="1:10">
      <c r="A7" s="9" t="s">
        <v>73</v>
      </c>
    </row>
    <row r="8" spans="1:10">
      <c r="A8" s="11" t="s">
        <v>74</v>
      </c>
    </row>
    <row r="9" spans="1:10">
      <c r="A9" s="9" t="s">
        <v>75</v>
      </c>
    </row>
    <row r="10" spans="1:10">
      <c r="A10" s="9" t="s">
        <v>76</v>
      </c>
    </row>
    <row r="11" spans="1:10">
      <c r="A11" s="9" t="s">
        <v>77</v>
      </c>
    </row>
    <row r="12" spans="1:10">
      <c r="A12" s="9" t="s">
        <v>78</v>
      </c>
      <c r="F12" t="s">
        <v>110</v>
      </c>
    </row>
    <row r="13" spans="1:10">
      <c r="A13" t="s">
        <v>79</v>
      </c>
    </row>
    <row r="14" spans="1:10">
      <c r="A14" s="9" t="s">
        <v>80</v>
      </c>
    </row>
    <row r="15" spans="1:10">
      <c r="A15" s="9" t="s">
        <v>81</v>
      </c>
    </row>
    <row r="16" spans="1:10">
      <c r="A16" s="9" t="s">
        <v>82</v>
      </c>
    </row>
    <row r="17" spans="1:4">
      <c r="A17" s="9" t="s">
        <v>83</v>
      </c>
    </row>
    <row r="18" spans="1:4">
      <c r="A18" s="9" t="s">
        <v>84</v>
      </c>
    </row>
    <row r="19" spans="1:4">
      <c r="A19" s="9" t="s">
        <v>85</v>
      </c>
    </row>
    <row r="20" spans="1:4">
      <c r="A20" t="s">
        <v>111</v>
      </c>
    </row>
    <row r="21" spans="1:4">
      <c r="A21" s="501" t="s">
        <v>755</v>
      </c>
    </row>
    <row r="22" spans="1:4">
      <c r="A22" s="501" t="s">
        <v>754</v>
      </c>
    </row>
    <row r="23" spans="1:4">
      <c r="A23" s="32"/>
      <c r="B23" s="32"/>
      <c r="C23" s="32"/>
      <c r="D23" s="32"/>
    </row>
    <row r="35" spans="2:3">
      <c r="B35" s="43"/>
    </row>
    <row r="36" spans="2:3">
      <c r="C36" s="43"/>
    </row>
    <row r="37" spans="2:3">
      <c r="C37" s="17"/>
    </row>
  </sheetData>
  <sheetProtection algorithmName="SHA-512" hashValue="AlLVrTAAQokG/BiGsK4xDUs1DvcP1DYSx6R+dWb0nV6XOujUBPAz1tMYoGerbhi/z23rQdfoM9FFpfCoPApjYA==" saltValue="IJ4TY7ZnQuKEOwxyqoN2oA==" spinCount="100000" sheet="1" objects="1" scenarios="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52C2C-6787-4B03-A473-F2F1F5A80DEC}">
  <sheetPr>
    <tabColor rgb="FF92D050"/>
  </sheetPr>
  <dimension ref="A1:U190"/>
  <sheetViews>
    <sheetView tabSelected="1" topLeftCell="A196" zoomScale="81" zoomScaleNormal="81" workbookViewId="0">
      <selection activeCell="A7" sqref="A7:XFD8"/>
    </sheetView>
  </sheetViews>
  <sheetFormatPr defaultColWidth="7.21875" defaultRowHeight="14.4"/>
  <cols>
    <col min="1" max="1" width="60" style="64" customWidth="1"/>
    <col min="2" max="2" width="29.5546875" style="271" customWidth="1"/>
    <col min="3" max="3" width="11.5546875" style="59" customWidth="1"/>
    <col min="4" max="4" width="78.77734375" style="46" customWidth="1"/>
    <col min="5" max="5" width="24.5546875" customWidth="1"/>
    <col min="6" max="6" width="25.33203125" style="170" customWidth="1"/>
    <col min="7" max="7" width="18.21875" customWidth="1"/>
    <col min="8" max="8" width="29.33203125" customWidth="1"/>
    <col min="9" max="9" width="24.33203125" customWidth="1"/>
    <col min="10" max="10" width="22.88671875" customWidth="1"/>
    <col min="11" max="11" width="30.88671875" customWidth="1"/>
    <col min="12" max="12" width="11.77734375" customWidth="1"/>
    <col min="13" max="13" width="11.5546875" customWidth="1"/>
    <col min="14" max="14" width="16.5546875" customWidth="1"/>
    <col min="15" max="15" width="8.44140625" customWidth="1"/>
    <col min="16" max="16" width="11.77734375" customWidth="1"/>
    <col min="17" max="17" width="13.44140625" customWidth="1"/>
    <col min="18" max="18" width="6.44140625" customWidth="1"/>
    <col min="20" max="20" width="7.21875" style="46"/>
  </cols>
  <sheetData>
    <row r="1" spans="1:20">
      <c r="A1" s="652" t="s">
        <v>20</v>
      </c>
      <c r="B1" s="652"/>
      <c r="C1" s="652"/>
      <c r="D1" s="176"/>
      <c r="F1" s="168"/>
      <c r="G1" s="22"/>
      <c r="H1" s="41"/>
    </row>
    <row r="2" spans="1:20">
      <c r="D2" s="45"/>
      <c r="E2" s="23"/>
      <c r="R2" s="49"/>
      <c r="T2"/>
    </row>
    <row r="3" spans="1:20">
      <c r="A3" s="653" t="s">
        <v>842</v>
      </c>
      <c r="B3" s="654"/>
      <c r="C3" s="655"/>
      <c r="D3" s="45"/>
      <c r="E3" s="23"/>
      <c r="R3" s="49"/>
      <c r="T3"/>
    </row>
    <row r="4" spans="1:20">
      <c r="A4" s="551" t="s">
        <v>871</v>
      </c>
      <c r="B4" s="656"/>
      <c r="C4" s="657"/>
      <c r="D4" s="45"/>
      <c r="E4" s="23"/>
      <c r="R4" s="49"/>
      <c r="T4"/>
    </row>
    <row r="5" spans="1:20" ht="115.2">
      <c r="A5" s="551" t="s">
        <v>843</v>
      </c>
      <c r="B5" s="583">
        <v>0</v>
      </c>
      <c r="C5" s="472" t="s">
        <v>844</v>
      </c>
      <c r="D5" s="552" t="s">
        <v>933</v>
      </c>
      <c r="E5" s="23"/>
      <c r="R5" s="49"/>
      <c r="T5"/>
    </row>
    <row r="6" spans="1:20" ht="30">
      <c r="A6" s="538" t="s">
        <v>866</v>
      </c>
      <c r="B6" s="586">
        <f>IFERROR(B5/(B22*5),0)</f>
        <v>0</v>
      </c>
      <c r="C6" s="44" t="s">
        <v>845</v>
      </c>
      <c r="D6" s="50" t="s">
        <v>846</v>
      </c>
      <c r="E6" s="554" t="s">
        <v>867</v>
      </c>
      <c r="R6" s="49"/>
      <c r="T6"/>
    </row>
    <row r="7" spans="1:20">
      <c r="A7" s="538" t="s">
        <v>1065</v>
      </c>
      <c r="B7" s="583">
        <v>0</v>
      </c>
      <c r="C7" s="44" t="s">
        <v>1066</v>
      </c>
      <c r="D7" s="144" t="s">
        <v>1069</v>
      </c>
      <c r="E7" s="554"/>
      <c r="R7" s="49"/>
      <c r="T7"/>
    </row>
    <row r="8" spans="1:20" ht="72">
      <c r="A8" s="538" t="s">
        <v>1068</v>
      </c>
      <c r="B8" s="586">
        <f>IFERROR(B5/B7,0)</f>
        <v>0</v>
      </c>
      <c r="C8" s="44" t="s">
        <v>1067</v>
      </c>
      <c r="D8" s="50" t="s">
        <v>1070</v>
      </c>
      <c r="E8" s="554" t="s">
        <v>867</v>
      </c>
      <c r="R8" s="49"/>
      <c r="T8"/>
    </row>
    <row r="9" spans="1:20">
      <c r="A9" s="538" t="s">
        <v>848</v>
      </c>
      <c r="B9" s="522">
        <v>0</v>
      </c>
      <c r="C9" s="44" t="s">
        <v>847</v>
      </c>
      <c r="D9" s="144" t="s">
        <v>934</v>
      </c>
      <c r="E9" s="554" t="s">
        <v>867</v>
      </c>
      <c r="R9" s="49"/>
      <c r="T9"/>
    </row>
    <row r="10" spans="1:20" ht="28.8">
      <c r="A10" s="539" t="s">
        <v>849</v>
      </c>
      <c r="B10" s="586">
        <f>B20/'Kütuste ümberarvutused'!F5</f>
        <v>0</v>
      </c>
      <c r="C10" s="44" t="s">
        <v>30</v>
      </c>
      <c r="D10" s="50" t="s">
        <v>935</v>
      </c>
      <c r="E10" s="554" t="s">
        <v>867</v>
      </c>
      <c r="R10" s="49"/>
      <c r="T10"/>
    </row>
    <row r="11" spans="1:20">
      <c r="A11" s="553" t="s">
        <v>865</v>
      </c>
      <c r="B11" s="586">
        <f>SUM(B87,B111,B129)</f>
        <v>0</v>
      </c>
      <c r="C11" s="44" t="s">
        <v>30</v>
      </c>
      <c r="D11" s="50" t="s">
        <v>872</v>
      </c>
      <c r="E11" s="23"/>
      <c r="R11" s="49"/>
      <c r="T11"/>
    </row>
    <row r="12" spans="1:20" ht="43.2">
      <c r="A12" s="553" t="s">
        <v>870</v>
      </c>
      <c r="B12" s="586">
        <f>COUNTIF(B51,"Rohevesinik")*B52</f>
        <v>0</v>
      </c>
      <c r="C12" s="44" t="s">
        <v>28</v>
      </c>
      <c r="D12" s="50" t="s">
        <v>883</v>
      </c>
      <c r="F12" s="169"/>
      <c r="Q12" s="46"/>
      <c r="T12"/>
    </row>
    <row r="13" spans="1:20">
      <c r="D13" s="45"/>
      <c r="E13" s="23"/>
      <c r="R13" s="49"/>
      <c r="T13"/>
    </row>
    <row r="14" spans="1:20">
      <c r="A14" s="653" t="s">
        <v>51</v>
      </c>
      <c r="B14" s="654"/>
      <c r="C14" s="655"/>
      <c r="D14" s="47"/>
      <c r="E14" s="490"/>
      <c r="J14" s="167"/>
      <c r="Q14" s="46"/>
      <c r="T14"/>
    </row>
    <row r="15" spans="1:20" ht="28.8">
      <c r="A15" s="65" t="s">
        <v>70</v>
      </c>
      <c r="B15" s="586">
        <f>B33+B44+B56+B66+B94+B117+B151</f>
        <v>0</v>
      </c>
      <c r="C15" s="44" t="s">
        <v>593</v>
      </c>
      <c r="D15" s="376" t="s">
        <v>873</v>
      </c>
      <c r="E15" s="480"/>
      <c r="T15"/>
    </row>
    <row r="16" spans="1:20" ht="28.8">
      <c r="A16" s="65" t="s">
        <v>123</v>
      </c>
      <c r="B16" s="529">
        <f>IFERROR((B33*B31/C159+B44*B42/C159+B56*B54/C159+B66*B64/C159+B94*(1-B95/C159)+B117*(1-B118/C159)+B151*(1-B152/C159))/B15*C159,0)</f>
        <v>0</v>
      </c>
      <c r="C16" s="44" t="s">
        <v>27</v>
      </c>
      <c r="D16" s="45" t="s">
        <v>824</v>
      </c>
      <c r="E16" s="480"/>
      <c r="T16"/>
    </row>
    <row r="17" spans="1:20">
      <c r="A17" s="66" t="s">
        <v>185</v>
      </c>
      <c r="B17" s="530">
        <f>IF(B15=0,0,C159-B16)</f>
        <v>0</v>
      </c>
      <c r="C17" s="44" t="s">
        <v>27</v>
      </c>
      <c r="D17" s="48"/>
      <c r="T17"/>
    </row>
    <row r="18" spans="1:20">
      <c r="A18" s="65" t="s">
        <v>52</v>
      </c>
      <c r="B18" s="586">
        <f>B34</f>
        <v>0</v>
      </c>
      <c r="C18" s="44" t="s">
        <v>31</v>
      </c>
      <c r="E18" s="17"/>
      <c r="T18"/>
    </row>
    <row r="19" spans="1:20">
      <c r="A19" s="65" t="s">
        <v>199</v>
      </c>
      <c r="B19" s="586">
        <f>B35</f>
        <v>0</v>
      </c>
      <c r="C19" s="44" t="s">
        <v>27</v>
      </c>
      <c r="E19" s="17"/>
      <c r="J19" s="164"/>
      <c r="T19"/>
    </row>
    <row r="20" spans="1:20" ht="16.05" customHeight="1">
      <c r="A20" s="65" t="s">
        <v>850</v>
      </c>
      <c r="B20" s="586">
        <f>B76+B104+B132</f>
        <v>0</v>
      </c>
      <c r="C20" s="44" t="s">
        <v>31</v>
      </c>
      <c r="D20" s="49"/>
      <c r="E20" s="17"/>
      <c r="J20" s="22"/>
      <c r="S20" s="125"/>
      <c r="T20"/>
    </row>
    <row r="21" spans="1:20" ht="15.6">
      <c r="A21" s="65" t="s">
        <v>1019</v>
      </c>
      <c r="B21" s="530">
        <f>B36+B46+B59+B68+B96+B119+B153</f>
        <v>0</v>
      </c>
      <c r="C21" s="44" t="s">
        <v>30</v>
      </c>
      <c r="D21" s="49" t="s">
        <v>996</v>
      </c>
      <c r="E21" s="513"/>
      <c r="T21"/>
    </row>
    <row r="22" spans="1:20" ht="16.2">
      <c r="A22" s="537" t="s">
        <v>1020</v>
      </c>
      <c r="B22" s="530">
        <f>B37+B47+B60+B69+B97+B120+B154</f>
        <v>0</v>
      </c>
      <c r="C22" s="44" t="s">
        <v>30</v>
      </c>
      <c r="D22" s="49" t="s">
        <v>997</v>
      </c>
      <c r="E22" s="554" t="s">
        <v>867</v>
      </c>
      <c r="N22" s="60"/>
      <c r="Q22" s="34"/>
      <c r="T22"/>
    </row>
    <row r="23" spans="1:20">
      <c r="B23" s="131"/>
      <c r="C23" s="55"/>
      <c r="E23" s="17"/>
      <c r="F23" s="169"/>
      <c r="H23" s="150"/>
      <c r="K23" s="35"/>
      <c r="L23" s="36"/>
      <c r="O23" s="36"/>
      <c r="P23" s="36"/>
      <c r="Q23" s="48"/>
      <c r="T23"/>
    </row>
    <row r="24" spans="1:20" s="36" customFormat="1" ht="57.6">
      <c r="A24" s="664" t="s">
        <v>732</v>
      </c>
      <c r="B24" s="665"/>
      <c r="C24" s="666"/>
      <c r="D24" s="49" t="s">
        <v>821</v>
      </c>
      <c r="E24" s="17"/>
      <c r="F24" s="169"/>
      <c r="G24"/>
      <c r="H24" s="150"/>
      <c r="I24" s="33"/>
      <c r="J24" s="33"/>
      <c r="K24"/>
      <c r="L24"/>
      <c r="M24"/>
      <c r="N24"/>
      <c r="O24"/>
      <c r="P24"/>
      <c r="Q24" s="48"/>
      <c r="R24"/>
      <c r="S24"/>
      <c r="T24"/>
    </row>
    <row r="25" spans="1:20" s="36" customFormat="1">
      <c r="A25" s="66" t="s">
        <v>108</v>
      </c>
      <c r="B25" s="531" t="s">
        <v>117</v>
      </c>
      <c r="C25" s="57"/>
      <c r="D25" s="143" t="s">
        <v>874</v>
      </c>
      <c r="E25" s="125"/>
      <c r="F25" s="169"/>
      <c r="G25"/>
      <c r="H25" s="150"/>
      <c r="I25" s="33"/>
      <c r="J25" s="33"/>
      <c r="K25"/>
      <c r="L25"/>
      <c r="M25"/>
      <c r="N25"/>
      <c r="O25"/>
      <c r="P25"/>
      <c r="Q25" s="49"/>
      <c r="R25"/>
      <c r="S25"/>
      <c r="T25"/>
    </row>
    <row r="26" spans="1:20" ht="15.6">
      <c r="A26" s="66" t="s">
        <v>109</v>
      </c>
      <c r="B26" s="531" t="s">
        <v>118</v>
      </c>
      <c r="C26" s="57"/>
      <c r="D26" s="143" t="s">
        <v>875</v>
      </c>
      <c r="F26" s="481"/>
      <c r="H26" s="151"/>
      <c r="I26" s="33"/>
      <c r="J26" s="33"/>
      <c r="Q26" s="56"/>
      <c r="T26"/>
    </row>
    <row r="27" spans="1:20" ht="28.8">
      <c r="A27" s="65" t="s">
        <v>607</v>
      </c>
      <c r="B27" s="305" t="s">
        <v>59</v>
      </c>
      <c r="C27" s="44"/>
      <c r="D27" s="145" t="s">
        <v>878</v>
      </c>
      <c r="F27" s="491"/>
      <c r="G27" s="152"/>
      <c r="H27" s="150"/>
      <c r="I27" s="33"/>
      <c r="K27" s="23"/>
      <c r="Q27" s="46"/>
      <c r="T27"/>
    </row>
    <row r="28" spans="1:20" ht="43.2">
      <c r="A28" s="66" t="s">
        <v>188</v>
      </c>
      <c r="B28" s="305" t="s">
        <v>59</v>
      </c>
      <c r="C28" s="44"/>
      <c r="D28" s="144" t="s">
        <v>876</v>
      </c>
      <c r="E28" s="513"/>
      <c r="F28" s="491"/>
      <c r="G28" s="152"/>
      <c r="H28" s="150"/>
      <c r="I28" s="33"/>
      <c r="K28" s="23"/>
      <c r="Q28" s="46"/>
      <c r="T28"/>
    </row>
    <row r="29" spans="1:20" ht="58.05" customHeight="1">
      <c r="A29" s="66" t="s">
        <v>187</v>
      </c>
      <c r="B29" s="583">
        <v>0</v>
      </c>
      <c r="C29" s="58" t="s">
        <v>592</v>
      </c>
      <c r="D29" s="552" t="s">
        <v>912</v>
      </c>
      <c r="F29" s="491"/>
      <c r="G29" s="153"/>
      <c r="H29" s="150"/>
      <c r="I29" s="33"/>
      <c r="J29" s="33"/>
      <c r="K29" s="23"/>
      <c r="Q29" s="46"/>
      <c r="T29"/>
    </row>
    <row r="30" spans="1:20" ht="72">
      <c r="A30" s="73" t="s">
        <v>410</v>
      </c>
      <c r="B30" s="305" t="s">
        <v>59</v>
      </c>
      <c r="C30" s="44"/>
      <c r="D30" s="144" t="s">
        <v>877</v>
      </c>
      <c r="F30" s="491"/>
      <c r="G30" s="153"/>
      <c r="H30" s="151"/>
      <c r="I30" s="33"/>
      <c r="J30" s="33"/>
      <c r="Q30" s="46"/>
      <c r="T30"/>
    </row>
    <row r="31" spans="1:20">
      <c r="A31" s="65" t="s">
        <v>123</v>
      </c>
      <c r="B31" s="583">
        <v>0</v>
      </c>
      <c r="C31" s="44" t="s">
        <v>27</v>
      </c>
      <c r="D31" s="17" t="s">
        <v>879</v>
      </c>
      <c r="E31" s="18"/>
      <c r="F31" s="169"/>
      <c r="H31" s="150"/>
      <c r="I31" s="33"/>
      <c r="O31" s="17"/>
      <c r="Q31" s="46"/>
      <c r="T31"/>
    </row>
    <row r="32" spans="1:20">
      <c r="A32" s="66" t="s">
        <v>185</v>
      </c>
      <c r="B32" s="586">
        <f>100-B31</f>
        <v>100</v>
      </c>
      <c r="C32" s="44" t="s">
        <v>27</v>
      </c>
      <c r="D32" s="49"/>
      <c r="E32" s="23"/>
      <c r="F32" s="169"/>
      <c r="H32" s="150"/>
      <c r="O32" s="17"/>
      <c r="Q32" s="46"/>
      <c r="T32"/>
    </row>
    <row r="33" spans="1:20" ht="43.2">
      <c r="A33" s="65" t="s">
        <v>62</v>
      </c>
      <c r="B33" s="583">
        <v>0</v>
      </c>
      <c r="C33" s="44" t="s">
        <v>31</v>
      </c>
      <c r="D33" s="145" t="s">
        <v>880</v>
      </c>
      <c r="F33" s="169"/>
      <c r="H33" s="150"/>
      <c r="O33" s="17"/>
      <c r="Q33" s="46"/>
      <c r="T33"/>
    </row>
    <row r="34" spans="1:20">
      <c r="A34" s="65" t="s">
        <v>29</v>
      </c>
      <c r="B34" s="583">
        <v>0</v>
      </c>
      <c r="C34" s="44" t="s">
        <v>31</v>
      </c>
      <c r="D34" s="144" t="s">
        <v>881</v>
      </c>
      <c r="F34" s="169"/>
      <c r="H34" s="150"/>
      <c r="O34" s="17"/>
      <c r="Q34" s="46"/>
      <c r="T34"/>
    </row>
    <row r="35" spans="1:20" ht="28.8">
      <c r="A35" s="537" t="s">
        <v>198</v>
      </c>
      <c r="B35" s="583">
        <v>0</v>
      </c>
      <c r="C35" s="44" t="s">
        <v>27</v>
      </c>
      <c r="D35" s="144" t="s">
        <v>882</v>
      </c>
      <c r="F35" s="169"/>
      <c r="H35" s="14"/>
      <c r="Q35" s="46"/>
      <c r="T35"/>
    </row>
    <row r="36" spans="1:20" ht="87.6">
      <c r="A36" s="65" t="s">
        <v>43</v>
      </c>
      <c r="B36" s="129">
        <f>SUM((B28=D177)*('Lähteained ja kütused'!B31/C161/C160*B29), (B28=D178)*('Lähteained ja kütused'!B32/C161/C160*B29), (B28=D179)*('Lähteained ja kütused'!B21/C161/C160*B29), (B28=D180)*('Lähteained ja kütused'!B25/C161/C160*B29), (B30=E179)*0)+SUM((B27=A177)*(B33*B32*0), (B27=A178)*(0+B33*B32*0), (B27=A179)*(0+B33*B32*0))*C162</f>
        <v>0</v>
      </c>
      <c r="C36" s="44" t="s">
        <v>30</v>
      </c>
      <c r="D36" s="165" t="s">
        <v>1002</v>
      </c>
      <c r="F36" s="169"/>
      <c r="H36" s="75"/>
      <c r="Q36" s="46"/>
      <c r="T36"/>
    </row>
    <row r="37" spans="1:20" ht="46.2">
      <c r="A37" s="65" t="s">
        <v>44</v>
      </c>
      <c r="B37" s="129">
        <f>(B34*'Lähteained ja kütused'!B16/C161/C160)*C162-B36</f>
        <v>0</v>
      </c>
      <c r="C37" s="44" t="s">
        <v>30</v>
      </c>
      <c r="D37" s="49" t="s">
        <v>723</v>
      </c>
      <c r="F37" s="169"/>
      <c r="Q37" s="46"/>
      <c r="T37"/>
    </row>
    <row r="39" spans="1:20">
      <c r="B39" s="532"/>
      <c r="C39" s="128"/>
      <c r="D39" s="49"/>
      <c r="F39" s="169"/>
      <c r="Q39" s="46"/>
      <c r="T39"/>
    </row>
    <row r="40" spans="1:20">
      <c r="A40" s="653" t="s">
        <v>711</v>
      </c>
      <c r="B40" s="654"/>
      <c r="C40" s="655"/>
      <c r="D40" s="145" t="s">
        <v>884</v>
      </c>
      <c r="F40" s="169"/>
      <c r="Q40" s="46"/>
      <c r="T40"/>
    </row>
    <row r="41" spans="1:20" ht="38.4" customHeight="1">
      <c r="A41" s="66" t="s">
        <v>61</v>
      </c>
      <c r="B41" s="305" t="s">
        <v>59</v>
      </c>
      <c r="C41" s="44"/>
      <c r="D41" s="145" t="s">
        <v>885</v>
      </c>
      <c r="F41" s="33"/>
      <c r="H41" s="515"/>
      <c r="Q41" s="46"/>
      <c r="T41"/>
    </row>
    <row r="42" spans="1:20">
      <c r="A42" s="65" t="s">
        <v>123</v>
      </c>
      <c r="B42" s="583">
        <v>0</v>
      </c>
      <c r="C42" s="44" t="s">
        <v>27</v>
      </c>
      <c r="D42" s="17" t="s">
        <v>886</v>
      </c>
      <c r="F42" s="169"/>
      <c r="Q42" s="46"/>
      <c r="T42"/>
    </row>
    <row r="43" spans="1:20">
      <c r="A43" s="66" t="s">
        <v>185</v>
      </c>
      <c r="B43" s="586">
        <f>100-B42</f>
        <v>100</v>
      </c>
      <c r="C43" s="44" t="s">
        <v>27</v>
      </c>
      <c r="D43" s="48"/>
      <c r="F43" s="169"/>
      <c r="Q43" s="46"/>
      <c r="T43"/>
    </row>
    <row r="44" spans="1:20" ht="28.8">
      <c r="A44" s="65" t="s">
        <v>62</v>
      </c>
      <c r="B44" s="583">
        <v>0</v>
      </c>
      <c r="C44" s="44" t="s">
        <v>31</v>
      </c>
      <c r="D44" s="145" t="s">
        <v>887</v>
      </c>
      <c r="F44" s="169"/>
      <c r="H44" s="74"/>
      <c r="Q44" s="46"/>
      <c r="T44"/>
    </row>
    <row r="45" spans="1:20">
      <c r="A45" s="65" t="s">
        <v>756</v>
      </c>
      <c r="B45" s="583">
        <v>0</v>
      </c>
      <c r="C45" s="44" t="s">
        <v>31</v>
      </c>
      <c r="D45" s="144" t="s">
        <v>888</v>
      </c>
      <c r="E45" s="169"/>
      <c r="F45" s="169"/>
      <c r="Q45" s="46"/>
      <c r="T45"/>
    </row>
    <row r="46" spans="1:20" ht="73.8">
      <c r="A46" s="65" t="s">
        <v>43</v>
      </c>
      <c r="B46" s="129">
        <f>SUM((B41=A178)*(0+B44*B43*0), (B41=A179)*(0+B44*B43*0),(B41=A177)*(B44*B43*0))*C162</f>
        <v>0</v>
      </c>
      <c r="C46" s="44" t="s">
        <v>30</v>
      </c>
      <c r="D46" s="50" t="s">
        <v>1003</v>
      </c>
      <c r="E46" s="169"/>
      <c r="F46" s="169"/>
      <c r="Q46" s="46"/>
      <c r="T46"/>
    </row>
    <row r="47" spans="1:20" ht="60.6">
      <c r="A47" s="65" t="s">
        <v>44</v>
      </c>
      <c r="B47" s="173">
        <f>SUM( (B41=A178)*(B44/C167*C166), (B41=A179)*(B44/C167*C166), (B41=A177)*(B44/C167*C166))*C162-B46</f>
        <v>0</v>
      </c>
      <c r="C47" s="44" t="s">
        <v>30</v>
      </c>
      <c r="D47" s="49" t="s">
        <v>825</v>
      </c>
      <c r="E47" s="169"/>
      <c r="F47" s="169"/>
      <c r="Q47" s="46"/>
      <c r="T47"/>
    </row>
    <row r="48" spans="1:20">
      <c r="B48" s="131"/>
      <c r="C48" s="55"/>
      <c r="F48" s="169"/>
      <c r="Q48" s="46"/>
      <c r="T48"/>
    </row>
    <row r="49" spans="1:20" ht="30" customHeight="1">
      <c r="A49" s="653" t="s">
        <v>32</v>
      </c>
      <c r="B49" s="654"/>
      <c r="C49" s="655"/>
      <c r="D49" s="145" t="s">
        <v>954</v>
      </c>
      <c r="E49" s="125"/>
      <c r="F49" s="169"/>
      <c r="Q49" s="46"/>
      <c r="T49"/>
    </row>
    <row r="50" spans="1:20" ht="86.4">
      <c r="A50" s="66" t="s">
        <v>53</v>
      </c>
      <c r="B50" s="533" t="s">
        <v>59</v>
      </c>
      <c r="C50" s="44"/>
      <c r="D50" s="145" t="s">
        <v>987</v>
      </c>
      <c r="E50" s="125"/>
      <c r="F50" s="33"/>
      <c r="T50"/>
    </row>
    <row r="51" spans="1:20" ht="28.8">
      <c r="A51" s="66" t="s">
        <v>35</v>
      </c>
      <c r="B51" s="305" t="s">
        <v>59</v>
      </c>
      <c r="C51" s="44"/>
      <c r="D51" s="145" t="s">
        <v>889</v>
      </c>
      <c r="E51" s="125"/>
      <c r="F51" s="33"/>
      <c r="T51"/>
    </row>
    <row r="52" spans="1:20" ht="28.8">
      <c r="A52" s="538" t="s">
        <v>1006</v>
      </c>
      <c r="B52" s="583">
        <v>0</v>
      </c>
      <c r="C52" s="44" t="s">
        <v>28</v>
      </c>
      <c r="D52" s="145" t="s">
        <v>890</v>
      </c>
      <c r="F52" s="169"/>
      <c r="T52"/>
    </row>
    <row r="53" spans="1:20">
      <c r="A53" s="66" t="s">
        <v>61</v>
      </c>
      <c r="B53" s="305" t="s">
        <v>59</v>
      </c>
      <c r="C53" s="44"/>
      <c r="D53" s="17" t="s">
        <v>891</v>
      </c>
      <c r="F53" s="169"/>
      <c r="T53"/>
    </row>
    <row r="54" spans="1:20">
      <c r="A54" s="65" t="s">
        <v>123</v>
      </c>
      <c r="B54" s="582">
        <v>0</v>
      </c>
      <c r="C54" s="44" t="s">
        <v>27</v>
      </c>
      <c r="D54" s="17" t="s">
        <v>886</v>
      </c>
      <c r="E54" s="17"/>
      <c r="F54" s="169"/>
      <c r="T54"/>
    </row>
    <row r="55" spans="1:20">
      <c r="A55" s="66" t="s">
        <v>185</v>
      </c>
      <c r="B55" s="130">
        <f>100-B54</f>
        <v>100</v>
      </c>
      <c r="C55" s="44" t="s">
        <v>27</v>
      </c>
      <c r="F55" s="169"/>
      <c r="I55" s="33"/>
      <c r="J55" s="33"/>
      <c r="T55"/>
    </row>
    <row r="56" spans="1:20" ht="43.2">
      <c r="A56" s="476" t="s">
        <v>62</v>
      </c>
      <c r="B56" s="587">
        <v>0</v>
      </c>
      <c r="C56" s="156" t="s">
        <v>31</v>
      </c>
      <c r="D56" s="154" t="s">
        <v>892</v>
      </c>
      <c r="F56" s="169"/>
      <c r="I56" s="33"/>
      <c r="J56" s="33"/>
      <c r="T56"/>
    </row>
    <row r="57" spans="1:20" ht="28.8">
      <c r="A57" s="65" t="s">
        <v>195</v>
      </c>
      <c r="B57" s="583">
        <v>0</v>
      </c>
      <c r="C57" s="44" t="s">
        <v>31</v>
      </c>
      <c r="D57" s="154" t="s">
        <v>893</v>
      </c>
      <c r="F57" s="169"/>
      <c r="I57" s="33"/>
      <c r="J57" s="33"/>
      <c r="T57"/>
    </row>
    <row r="58" spans="1:20" ht="28.8">
      <c r="A58" s="65" t="s">
        <v>196</v>
      </c>
      <c r="B58" s="583">
        <v>0</v>
      </c>
      <c r="C58" s="44" t="s">
        <v>31</v>
      </c>
      <c r="D58" s="144" t="s">
        <v>894</v>
      </c>
      <c r="E58" s="171"/>
      <c r="F58" s="169"/>
      <c r="G58" s="125"/>
      <c r="I58" s="33"/>
      <c r="J58" s="33"/>
      <c r="T58"/>
    </row>
    <row r="59" spans="1:20" ht="75.45" customHeight="1">
      <c r="A59" s="66" t="s">
        <v>43</v>
      </c>
      <c r="B59" s="129">
        <f>(SUM((B53=A177)*(B55*B56*0),(B53=A178)*(0+B56*B55*0),(B53=A179)*(0+B56*B55*0))+SUM((B51="Diisel")*(B52*Sõidukid!D7/C168+B57/C161/C160*'Lähteained ja kütused'!B8),(B51="Biometaan")*(B57*Sõidukid!C13/C161/C162+B57*'Lähteained ja kütused'!C92/C161/C160),(B51="Taastuvelekter")*0, (B51="Rohevesinik")*0,))*C162</f>
        <v>0</v>
      </c>
      <c r="C59" s="44" t="s">
        <v>30</v>
      </c>
      <c r="D59" s="50" t="s">
        <v>1003</v>
      </c>
      <c r="E59" s="171"/>
      <c r="F59" s="169"/>
      <c r="G59" s="125"/>
      <c r="I59" s="33"/>
      <c r="J59" s="33"/>
      <c r="T59"/>
    </row>
    <row r="60" spans="1:20" ht="45">
      <c r="A60" s="66" t="s">
        <v>44</v>
      </c>
      <c r="B60" s="173">
        <f>SUM((B51=G177)*(B52*Sõidukid!D7/C168+B58/C161/C160*'Lähteained ja kütused'!B8), (B51=G178)*(B52*Sõidukid!D7/C168+B58/C161/C160*'Lähteained ja kütused'!B8),(B53=A178)*(0+B56/C167*C166), (B53=A179)*(0+B56/C167*C166), (B53=A177)*(0+B56/C167*C166))*C162-B59</f>
        <v>0</v>
      </c>
      <c r="C60" s="44" t="s">
        <v>30</v>
      </c>
      <c r="D60" s="49" t="s">
        <v>895</v>
      </c>
      <c r="E60" s="171"/>
      <c r="F60" s="169"/>
      <c r="T60"/>
    </row>
    <row r="61" spans="1:20">
      <c r="A61" s="180"/>
      <c r="B61" s="179"/>
      <c r="C61" s="55"/>
      <c r="E61" s="17"/>
      <c r="F61" s="169"/>
      <c r="T61"/>
    </row>
    <row r="62" spans="1:20">
      <c r="A62" s="653" t="s">
        <v>200</v>
      </c>
      <c r="B62" s="654"/>
      <c r="C62" s="655"/>
      <c r="D62" s="145" t="s">
        <v>896</v>
      </c>
      <c r="F62" s="516"/>
      <c r="G62" s="33"/>
      <c r="T62"/>
    </row>
    <row r="63" spans="1:20">
      <c r="A63" s="66" t="s">
        <v>61</v>
      </c>
      <c r="B63" s="305" t="s">
        <v>59</v>
      </c>
      <c r="C63" s="44"/>
      <c r="D63" s="17" t="s">
        <v>885</v>
      </c>
      <c r="E63" s="17"/>
      <c r="F63" s="169"/>
      <c r="T63"/>
    </row>
    <row r="64" spans="1:20">
      <c r="A64" s="65" t="s">
        <v>123</v>
      </c>
      <c r="B64" s="582">
        <v>0</v>
      </c>
      <c r="C64" s="44" t="s">
        <v>27</v>
      </c>
      <c r="D64" s="17" t="s">
        <v>886</v>
      </c>
      <c r="E64" s="33"/>
      <c r="F64" s="169"/>
      <c r="L64" s="33"/>
      <c r="T64"/>
    </row>
    <row r="65" spans="1:20" ht="25.5" customHeight="1">
      <c r="A65" s="66" t="s">
        <v>185</v>
      </c>
      <c r="B65" s="530">
        <f>100-B64</f>
        <v>100</v>
      </c>
      <c r="C65" s="44" t="s">
        <v>27</v>
      </c>
      <c r="E65" s="17"/>
      <c r="F65" s="169"/>
      <c r="T65"/>
    </row>
    <row r="66" spans="1:20" ht="28.8">
      <c r="A66" s="66" t="s">
        <v>62</v>
      </c>
      <c r="B66" s="583">
        <v>0</v>
      </c>
      <c r="C66" s="44" t="s">
        <v>31</v>
      </c>
      <c r="D66" s="145" t="s">
        <v>897</v>
      </c>
      <c r="E66" s="172"/>
      <c r="F66" s="169"/>
      <c r="T66"/>
    </row>
    <row r="67" spans="1:20">
      <c r="A67" s="65" t="s">
        <v>826</v>
      </c>
      <c r="B67" s="583">
        <v>0</v>
      </c>
      <c r="C67" s="44" t="s">
        <v>31</v>
      </c>
      <c r="D67" s="144" t="s">
        <v>888</v>
      </c>
      <c r="F67" s="169"/>
      <c r="T67"/>
    </row>
    <row r="68" spans="1:20" ht="91.95" customHeight="1">
      <c r="A68" s="65" t="s">
        <v>43</v>
      </c>
      <c r="B68" s="129">
        <f>SUM((B63=A178)*(0+B66*B65*0), (B63=A179)*(0+B66*B65*0),(B63=A177)*(0+B66*B65*0))*C162</f>
        <v>0</v>
      </c>
      <c r="C68" s="44" t="s">
        <v>30</v>
      </c>
      <c r="D68" s="50" t="s">
        <v>1004</v>
      </c>
      <c r="F68" s="169"/>
      <c r="T68"/>
    </row>
    <row r="69" spans="1:20" ht="60.6">
      <c r="A69" s="65" t="s">
        <v>44</v>
      </c>
      <c r="B69" s="129">
        <f>SUM((B63=A178)*(B66/C167*C166), (B63=A179)*(B66/C167*C166), (B63=A177)*(B66/C167*C166))*C162-B68</f>
        <v>0</v>
      </c>
      <c r="C69" s="44" t="s">
        <v>30</v>
      </c>
      <c r="D69" s="49" t="s">
        <v>825</v>
      </c>
      <c r="F69" s="169"/>
      <c r="K69" s="33"/>
      <c r="T69"/>
    </row>
    <row r="70" spans="1:20">
      <c r="B70" s="131"/>
      <c r="C70" s="55"/>
      <c r="F70"/>
      <c r="T70"/>
    </row>
    <row r="71" spans="1:20">
      <c r="A71" s="660" t="s">
        <v>714</v>
      </c>
      <c r="B71" s="661"/>
      <c r="C71" s="662"/>
      <c r="D71" s="145" t="s">
        <v>898</v>
      </c>
      <c r="E71" s="17" t="s">
        <v>751</v>
      </c>
      <c r="F71" s="169"/>
      <c r="T71"/>
    </row>
    <row r="72" spans="1:20">
      <c r="A72" s="475" t="s">
        <v>854</v>
      </c>
      <c r="B72" s="546" t="s">
        <v>855</v>
      </c>
      <c r="C72" s="548"/>
      <c r="E72" s="17"/>
      <c r="F72" s="169"/>
      <c r="T72"/>
    </row>
    <row r="73" spans="1:20" ht="15.6">
      <c r="A73" s="475" t="s">
        <v>856</v>
      </c>
      <c r="B73" s="547" t="s">
        <v>862</v>
      </c>
      <c r="C73" s="528"/>
      <c r="D73" s="663" t="s">
        <v>863</v>
      </c>
      <c r="E73" s="17"/>
      <c r="F73" s="169"/>
      <c r="T73"/>
    </row>
    <row r="74" spans="1:20">
      <c r="A74" s="475" t="s">
        <v>858</v>
      </c>
      <c r="B74" s="547" t="s">
        <v>857</v>
      </c>
      <c r="C74" s="528"/>
      <c r="D74" s="663"/>
      <c r="E74" s="17"/>
      <c r="F74" s="169"/>
      <c r="T74"/>
    </row>
    <row r="75" spans="1:20">
      <c r="A75" s="475" t="s">
        <v>733</v>
      </c>
      <c r="B75" s="534" t="s">
        <v>25</v>
      </c>
      <c r="C75" s="57"/>
      <c r="E75" s="33"/>
      <c r="F75" s="169"/>
      <c r="T75"/>
    </row>
    <row r="76" spans="1:20" ht="28.8">
      <c r="A76" s="475" t="s">
        <v>735</v>
      </c>
      <c r="B76" s="583">
        <v>0</v>
      </c>
      <c r="C76" s="44" t="s">
        <v>31</v>
      </c>
      <c r="D76" s="144" t="s">
        <v>899</v>
      </c>
      <c r="E76" s="33"/>
      <c r="F76" s="169"/>
      <c r="T76"/>
    </row>
    <row r="77" spans="1:20">
      <c r="A77" s="475"/>
      <c r="B77" s="306"/>
      <c r="C77" s="44" t="s">
        <v>30</v>
      </c>
      <c r="D77" s="143" t="s">
        <v>988</v>
      </c>
      <c r="E77" s="33"/>
      <c r="F77" s="169"/>
      <c r="T77"/>
    </row>
    <row r="78" spans="1:20">
      <c r="A78" s="475" t="s">
        <v>734</v>
      </c>
      <c r="B78" s="531" t="s">
        <v>59</v>
      </c>
      <c r="C78" s="57"/>
      <c r="D78" s="143" t="s">
        <v>900</v>
      </c>
      <c r="E78" s="33"/>
      <c r="F78" s="169"/>
      <c r="T78"/>
    </row>
    <row r="79" spans="1:20">
      <c r="A79" s="475" t="s">
        <v>739</v>
      </c>
      <c r="B79" s="305" t="s">
        <v>59</v>
      </c>
      <c r="C79" s="57"/>
      <c r="D79" s="143" t="s">
        <v>900</v>
      </c>
      <c r="F79" s="169"/>
      <c r="T79"/>
    </row>
    <row r="80" spans="1:20" ht="28.8">
      <c r="A80" s="475" t="s">
        <v>736</v>
      </c>
      <c r="B80" s="584">
        <v>0</v>
      </c>
      <c r="C80" s="44" t="s">
        <v>31</v>
      </c>
      <c r="D80" s="143" t="s">
        <v>901</v>
      </c>
      <c r="E80" s="33"/>
      <c r="F80" s="169"/>
      <c r="T80"/>
    </row>
    <row r="81" spans="1:20" ht="121.2">
      <c r="A81" s="475" t="s">
        <v>737</v>
      </c>
      <c r="B81" s="531" t="s">
        <v>59</v>
      </c>
      <c r="C81" s="57"/>
      <c r="D81" s="143" t="s">
        <v>902</v>
      </c>
      <c r="F81" s="169"/>
      <c r="T81"/>
    </row>
    <row r="82" spans="1:20" ht="15.6">
      <c r="A82" s="475" t="s">
        <v>740</v>
      </c>
      <c r="B82" s="531" t="s">
        <v>59</v>
      </c>
      <c r="C82" s="57"/>
      <c r="D82" s="143" t="s">
        <v>903</v>
      </c>
      <c r="E82" s="33"/>
      <c r="F82" s="169"/>
      <c r="T82"/>
    </row>
    <row r="83" spans="1:20" ht="46.2">
      <c r="A83" s="526" t="s">
        <v>827</v>
      </c>
      <c r="B83" s="583">
        <v>0</v>
      </c>
      <c r="C83" s="57" t="s">
        <v>819</v>
      </c>
      <c r="D83" s="143" t="s">
        <v>904</v>
      </c>
      <c r="E83" s="33"/>
      <c r="F83" s="169"/>
      <c r="T83"/>
    </row>
    <row r="84" spans="1:20" ht="15.6">
      <c r="A84" s="475" t="s">
        <v>738</v>
      </c>
      <c r="B84" s="583">
        <v>0</v>
      </c>
      <c r="C84" s="44" t="s">
        <v>30</v>
      </c>
      <c r="D84" s="143" t="s">
        <v>905</v>
      </c>
      <c r="E84" s="33"/>
      <c r="F84" s="169"/>
      <c r="T84"/>
    </row>
    <row r="85" spans="1:20">
      <c r="A85" s="475" t="s">
        <v>759</v>
      </c>
      <c r="B85" s="531" t="s">
        <v>59</v>
      </c>
      <c r="C85" s="57"/>
      <c r="D85" s="143" t="s">
        <v>906</v>
      </c>
      <c r="E85" s="33"/>
      <c r="F85" s="169"/>
      <c r="T85"/>
    </row>
    <row r="86" spans="1:20">
      <c r="A86" s="475" t="s">
        <v>760</v>
      </c>
      <c r="B86" s="583">
        <v>0</v>
      </c>
      <c r="C86" s="57" t="s">
        <v>30</v>
      </c>
      <c r="D86" s="143"/>
      <c r="E86" s="33"/>
      <c r="F86" s="169"/>
      <c r="T86"/>
    </row>
    <row r="87" spans="1:20">
      <c r="A87" s="550" t="s">
        <v>715</v>
      </c>
      <c r="B87" s="584">
        <v>0</v>
      </c>
      <c r="C87" s="57" t="s">
        <v>30</v>
      </c>
      <c r="D87" s="144" t="s">
        <v>907</v>
      </c>
      <c r="F87" s="169"/>
      <c r="T87"/>
    </row>
    <row r="88" spans="1:20">
      <c r="A88" s="475" t="s">
        <v>722</v>
      </c>
      <c r="B88" s="586">
        <f>B87*'Lähteained ja kütused'!B37*$C$161/$C$171</f>
        <v>0</v>
      </c>
      <c r="C88" s="44" t="s">
        <v>31</v>
      </c>
      <c r="D88" s="145"/>
      <c r="F88" s="169"/>
      <c r="T88"/>
    </row>
    <row r="89" spans="1:20" ht="28.8">
      <c r="A89" s="485" t="s">
        <v>782</v>
      </c>
      <c r="B89" s="306" t="s">
        <v>59</v>
      </c>
      <c r="C89" s="44"/>
      <c r="D89" s="144" t="s">
        <v>908</v>
      </c>
      <c r="F89" s="169"/>
      <c r="T89"/>
    </row>
    <row r="90" spans="1:20" ht="28.8">
      <c r="A90" s="474" t="s">
        <v>743</v>
      </c>
      <c r="B90" s="582">
        <v>0</v>
      </c>
      <c r="C90" s="44" t="s">
        <v>31</v>
      </c>
      <c r="D90" s="144" t="s">
        <v>909</v>
      </c>
      <c r="E90" s="33"/>
      <c r="F90" s="169"/>
      <c r="G90" s="74"/>
      <c r="T90"/>
    </row>
    <row r="91" spans="1:20">
      <c r="A91" s="474" t="s">
        <v>1064</v>
      </c>
      <c r="B91" s="582">
        <v>0</v>
      </c>
      <c r="C91" s="44" t="s">
        <v>27</v>
      </c>
      <c r="D91" s="17" t="s">
        <v>910</v>
      </c>
      <c r="E91" s="33"/>
      <c r="F91" s="169"/>
      <c r="T91"/>
    </row>
    <row r="92" spans="1:20" ht="28.8">
      <c r="A92" s="527" t="s">
        <v>822</v>
      </c>
      <c r="B92" s="305" t="s">
        <v>59</v>
      </c>
      <c r="C92" s="44"/>
      <c r="D92" s="145" t="s">
        <v>878</v>
      </c>
      <c r="E92" s="33"/>
      <c r="F92" s="169"/>
      <c r="T92"/>
    </row>
    <row r="93" spans="1:20" ht="57.6">
      <c r="A93" s="485" t="s">
        <v>816</v>
      </c>
      <c r="B93" s="582">
        <v>0</v>
      </c>
      <c r="C93" s="44" t="s">
        <v>31</v>
      </c>
      <c r="D93" s="145" t="s">
        <v>911</v>
      </c>
      <c r="E93" s="33"/>
      <c r="F93" s="169"/>
      <c r="T93"/>
    </row>
    <row r="94" spans="1:20" ht="58.8">
      <c r="A94" s="517" t="s">
        <v>741</v>
      </c>
      <c r="B94" s="582">
        <v>0</v>
      </c>
      <c r="C94" s="44" t="s">
        <v>31</v>
      </c>
      <c r="D94" s="145" t="s">
        <v>990</v>
      </c>
      <c r="E94" s="33"/>
      <c r="F94" s="169"/>
      <c r="Q94" s="46"/>
      <c r="T94"/>
    </row>
    <row r="95" spans="1:20" ht="28.8">
      <c r="A95" s="485" t="s">
        <v>742</v>
      </c>
      <c r="B95" s="582">
        <v>0</v>
      </c>
      <c r="C95" s="58" t="s">
        <v>27</v>
      </c>
      <c r="D95" s="17" t="s">
        <v>1005</v>
      </c>
      <c r="F95" s="169"/>
      <c r="T95"/>
    </row>
    <row r="96" spans="1:20" ht="15.6">
      <c r="A96" s="67" t="s">
        <v>43</v>
      </c>
      <c r="B96" s="129">
        <f>IFERROR((B94*B95*0+(SUM((B92=A177)*(0), (B92=A178)*(0),(B92=A179)*(0),(B92=A180)*(B93/C161/C162*C163),(B92=A181)*(B93/C161/C162*C164), (B92=A182)*(B93/C161/C162*C163)))+_xlfn.XLOOKUP(B79,'Lähteained ja kütused'!A17:A33,'Lähteained ja kütused'!B17:B33)*B80/C161/C162+IF(B81=K178,0)+IF(B81=K179,0)+_xlfn.XLOOKUP(B85,'Lähteained ja kütused'!A41:A60,'Lähteained ja kütused'!B41:B60)*B86/C162+IFERROR((_xlfn.XLOOKUP(B89,'Kütuste ümberarvutused'!B145:B149,'Kütuste ümberarvutused'!C145:C149)*B90/C161/C170/B91/C159*C172+_xlfn.XLOOKUP(B89,'Kütuste ümberarvutused'!B145:B149,'Kütuste ümberarvutused'!D145:D149)*B90/C161/C170/B91/C159*C173),0))*C162,0)</f>
        <v>0</v>
      </c>
      <c r="C96" s="44" t="s">
        <v>30</v>
      </c>
      <c r="D96" s="165" t="s">
        <v>828</v>
      </c>
      <c r="F96" s="169"/>
      <c r="T96"/>
    </row>
    <row r="97" spans="1:20" ht="45.6">
      <c r="A97" s="67" t="s">
        <v>44</v>
      </c>
      <c r="B97" s="129">
        <f>B94/C167*C166*C162+B88*'Lähteained ja kütused'!B36/C170*C162+B90/C161*'Lähteained ja kütused'!H10-B96</f>
        <v>0</v>
      </c>
      <c r="C97" s="44" t="s">
        <v>30</v>
      </c>
      <c r="D97" s="49" t="s">
        <v>820</v>
      </c>
      <c r="T97"/>
    </row>
    <row r="98" spans="1:20">
      <c r="B98" s="532"/>
      <c r="C98" s="55"/>
      <c r="D98" s="49"/>
      <c r="F98" s="169"/>
      <c r="T98"/>
    </row>
    <row r="99" spans="1:20">
      <c r="A99" s="660" t="s">
        <v>829</v>
      </c>
      <c r="B99" s="661"/>
      <c r="C99" s="662"/>
      <c r="D99" s="145" t="s">
        <v>913</v>
      </c>
      <c r="F99" s="169"/>
      <c r="T99"/>
    </row>
    <row r="100" spans="1:20">
      <c r="A100" s="475" t="s">
        <v>854</v>
      </c>
      <c r="B100" s="546" t="s">
        <v>859</v>
      </c>
      <c r="C100" s="548"/>
      <c r="D100" s="145"/>
      <c r="F100" s="169"/>
      <c r="T100"/>
    </row>
    <row r="101" spans="1:20" ht="15.6">
      <c r="A101" s="475" t="s">
        <v>856</v>
      </c>
      <c r="B101" s="547" t="s">
        <v>860</v>
      </c>
      <c r="C101" s="528"/>
      <c r="D101" s="663" t="s">
        <v>863</v>
      </c>
      <c r="F101" s="169"/>
      <c r="T101"/>
    </row>
    <row r="102" spans="1:20">
      <c r="A102" s="475" t="s">
        <v>858</v>
      </c>
      <c r="B102" s="547" t="s">
        <v>861</v>
      </c>
      <c r="C102" s="528"/>
      <c r="D102" s="663"/>
      <c r="F102" s="169"/>
      <c r="T102"/>
    </row>
    <row r="103" spans="1:20">
      <c r="A103" s="475" t="s">
        <v>744</v>
      </c>
      <c r="B103" s="534" t="s">
        <v>25</v>
      </c>
      <c r="C103" s="57"/>
      <c r="D103" s="143"/>
      <c r="E103" s="33"/>
      <c r="F103" s="169"/>
      <c r="T103"/>
    </row>
    <row r="104" spans="1:20" ht="28.8">
      <c r="A104" s="475" t="s">
        <v>735</v>
      </c>
      <c r="B104" s="583">
        <v>0</v>
      </c>
      <c r="C104" s="44" t="s">
        <v>31</v>
      </c>
      <c r="D104" s="144" t="s">
        <v>914</v>
      </c>
      <c r="E104" s="33"/>
      <c r="F104" s="169"/>
      <c r="T104"/>
    </row>
    <row r="105" spans="1:20">
      <c r="A105" s="475" t="s">
        <v>745</v>
      </c>
      <c r="B105" s="531" t="s">
        <v>775</v>
      </c>
      <c r="C105" s="57"/>
      <c r="D105" s="143"/>
      <c r="E105" s="33"/>
      <c r="F105" s="169"/>
      <c r="T105"/>
    </row>
    <row r="106" spans="1:20">
      <c r="A106" s="475" t="s">
        <v>736</v>
      </c>
      <c r="B106" s="584">
        <v>0</v>
      </c>
      <c r="C106" s="57" t="s">
        <v>160</v>
      </c>
      <c r="D106" s="143"/>
      <c r="E106" s="33"/>
      <c r="F106" s="169"/>
      <c r="T106"/>
    </row>
    <row r="107" spans="1:20">
      <c r="A107" s="475" t="s">
        <v>789</v>
      </c>
      <c r="B107" s="531" t="s">
        <v>59</v>
      </c>
      <c r="C107" s="57"/>
      <c r="D107" s="143"/>
      <c r="E107" s="33"/>
      <c r="F107" s="169"/>
      <c r="T107"/>
    </row>
    <row r="108" spans="1:20">
      <c r="A108" s="475" t="s">
        <v>738</v>
      </c>
      <c r="B108" s="584">
        <v>0</v>
      </c>
      <c r="C108" s="57" t="s">
        <v>160</v>
      </c>
      <c r="D108" s="143"/>
      <c r="E108" s="33"/>
      <c r="F108" s="169"/>
      <c r="T108"/>
    </row>
    <row r="109" spans="1:20">
      <c r="A109" s="475" t="s">
        <v>790</v>
      </c>
      <c r="B109" s="531" t="s">
        <v>59</v>
      </c>
      <c r="C109" s="57"/>
      <c r="D109" s="143"/>
      <c r="E109" s="33"/>
      <c r="F109" s="169"/>
      <c r="T109"/>
    </row>
    <row r="110" spans="1:20">
      <c r="A110" s="475" t="s">
        <v>760</v>
      </c>
      <c r="B110" s="584">
        <v>0</v>
      </c>
      <c r="C110" s="57" t="s">
        <v>160</v>
      </c>
      <c r="D110" s="143"/>
      <c r="E110" s="33"/>
      <c r="F110" s="169"/>
      <c r="T110"/>
    </row>
    <row r="111" spans="1:20">
      <c r="A111" s="550" t="s">
        <v>726</v>
      </c>
      <c r="B111" s="584">
        <v>0</v>
      </c>
      <c r="C111" s="57" t="s">
        <v>716</v>
      </c>
      <c r="D111" s="144" t="s">
        <v>915</v>
      </c>
      <c r="F111" s="169"/>
      <c r="T111"/>
    </row>
    <row r="112" spans="1:20" ht="28.8">
      <c r="A112" s="511" t="s">
        <v>750</v>
      </c>
      <c r="B112" s="306" t="s">
        <v>59</v>
      </c>
      <c r="C112" s="44"/>
      <c r="D112" s="144"/>
      <c r="F112" s="169"/>
      <c r="T112"/>
    </row>
    <row r="113" spans="1:20" ht="28.8">
      <c r="A113" s="510" t="s">
        <v>749</v>
      </c>
      <c r="B113" s="582">
        <v>0</v>
      </c>
      <c r="C113" s="44" t="s">
        <v>31</v>
      </c>
      <c r="D113" s="144" t="s">
        <v>909</v>
      </c>
      <c r="E113" s="33"/>
      <c r="F113" s="169"/>
      <c r="T113"/>
    </row>
    <row r="114" spans="1:20">
      <c r="A114" s="510" t="s">
        <v>60</v>
      </c>
      <c r="B114" s="582">
        <v>0</v>
      </c>
      <c r="C114" s="44" t="s">
        <v>27</v>
      </c>
      <c r="D114" s="17" t="s">
        <v>910</v>
      </c>
      <c r="F114" s="169"/>
      <c r="T114"/>
    </row>
    <row r="115" spans="1:20" ht="28.8">
      <c r="A115" s="527" t="s">
        <v>822</v>
      </c>
      <c r="B115" s="305" t="s">
        <v>55</v>
      </c>
      <c r="C115" s="44"/>
      <c r="D115" s="145" t="s">
        <v>878</v>
      </c>
      <c r="F115" s="169"/>
      <c r="T115"/>
    </row>
    <row r="116" spans="1:20" ht="57.6">
      <c r="A116" s="485" t="s">
        <v>816</v>
      </c>
      <c r="B116" s="582">
        <v>0</v>
      </c>
      <c r="C116" s="44" t="s">
        <v>31</v>
      </c>
      <c r="D116" s="145" t="s">
        <v>911</v>
      </c>
      <c r="F116" s="169"/>
      <c r="T116"/>
    </row>
    <row r="117" spans="1:20" ht="43.2">
      <c r="A117" s="474" t="s">
        <v>741</v>
      </c>
      <c r="B117" s="582">
        <v>0</v>
      </c>
      <c r="C117" s="44" t="s">
        <v>31</v>
      </c>
      <c r="D117" s="145" t="s">
        <v>916</v>
      </c>
      <c r="F117" s="169"/>
      <c r="T117"/>
    </row>
    <row r="118" spans="1:20" ht="28.8">
      <c r="A118" s="485" t="s">
        <v>742</v>
      </c>
      <c r="B118" s="582">
        <v>0</v>
      </c>
      <c r="C118" s="58" t="s">
        <v>27</v>
      </c>
      <c r="D118" s="17" t="s">
        <v>910</v>
      </c>
      <c r="F118" s="169"/>
      <c r="T118"/>
    </row>
    <row r="119" spans="1:20" ht="15.6">
      <c r="A119" s="67" t="s">
        <v>43</v>
      </c>
      <c r="B119" s="129">
        <f>IFERROR((B117*B118*0+(SUM((B115=A177)*(0), (B115=A178)*(0),(B115=A179)*(0),(B115=A180)*(B116/C161/C162*C163),(B115=A181)*(B116/C161/C162*C164),(B115=A182)*(B116/C161/C162*C163)))+IFERROR((_xlfn.XLOOKUP(B112,'Kütuste ümberarvutused'!B145:B149,'Kütuste ümberarvutused'!C145:C149)*B113/C161/C170/B114/C159+_xlfn.XLOOKUP(B112,'Kütuste ümberarvutused'!B145:B149,'Kütuste ümberarvutused'!D145:D149)*B113/C161/C170/B114/C159),0)+_xlfn.XLOOKUP(B105,'Lähteained ja kütused'!A41:A60,'Lähteained ja kütused'!B41:B60)*B106/C162+_xlfn.XLOOKUP(B107,'Lähteained ja kütused'!A41:A60,'Lähteained ja kütused'!B41:B60)*B108/C162+_xlfn.XLOOKUP(B109,'Lähteained ja kütused'!A41:A60,'Lähteained ja kütused'!B41:B60)*B110/C162)*C162,0)</f>
        <v>0</v>
      </c>
      <c r="C119" s="44" t="s">
        <v>30</v>
      </c>
      <c r="D119" s="484"/>
      <c r="E119" s="484"/>
      <c r="F119" s="169"/>
      <c r="T119"/>
    </row>
    <row r="120" spans="1:20" ht="46.2">
      <c r="A120" s="67" t="s">
        <v>44</v>
      </c>
      <c r="B120" s="129">
        <f>B117/C167*C166*C162+B111*'Lähteained ja kütused'!B38+B113/C161*'Lähteained ja kütused'!H10-B119</f>
        <v>0</v>
      </c>
      <c r="C120" s="44" t="s">
        <v>30</v>
      </c>
      <c r="D120" s="49" t="s">
        <v>727</v>
      </c>
      <c r="E120" s="33"/>
      <c r="F120" s="169"/>
      <c r="T120"/>
    </row>
    <row r="121" spans="1:20">
      <c r="A121" s="478"/>
      <c r="B121" s="477"/>
      <c r="C121" s="55"/>
      <c r="D121" s="49"/>
      <c r="E121" s="49"/>
      <c r="F121" s="49"/>
      <c r="G121" s="49"/>
      <c r="H121" s="49"/>
      <c r="T121"/>
    </row>
    <row r="122" spans="1:20" ht="72">
      <c r="A122" s="660" t="s">
        <v>748</v>
      </c>
      <c r="B122" s="661"/>
      <c r="C122" s="662"/>
      <c r="D122" s="145" t="s">
        <v>831</v>
      </c>
      <c r="E122" s="482"/>
      <c r="F122" s="659" t="s">
        <v>917</v>
      </c>
      <c r="G122" s="659"/>
      <c r="H122" s="659"/>
      <c r="T122"/>
    </row>
    <row r="123" spans="1:20" ht="43.2">
      <c r="A123" s="475" t="s">
        <v>809</v>
      </c>
      <c r="B123" s="531" t="s">
        <v>59</v>
      </c>
      <c r="C123" s="57"/>
      <c r="D123" s="145" t="s">
        <v>918</v>
      </c>
      <c r="E123" s="482"/>
      <c r="F123" s="482"/>
      <c r="G123" s="482"/>
      <c r="H123" s="482"/>
      <c r="T123"/>
    </row>
    <row r="124" spans="1:20">
      <c r="A124" s="475" t="s">
        <v>800</v>
      </c>
      <c r="B124" s="584">
        <v>0</v>
      </c>
      <c r="C124" s="57" t="s">
        <v>160</v>
      </c>
      <c r="D124" s="144" t="s">
        <v>919</v>
      </c>
      <c r="E124" s="482"/>
      <c r="F124" s="482"/>
      <c r="G124" s="482"/>
      <c r="H124" s="482"/>
      <c r="T124"/>
    </row>
    <row r="125" spans="1:20">
      <c r="A125" s="475" t="s">
        <v>830</v>
      </c>
      <c r="B125" s="586" cm="1">
        <f t="array" ref="B125">IFERROR((_xlfn.IFS(B123=I178, B124*'Lähteained ja kütused'!B40,B123=I179,B124*'Lähteained ja kütused'!B39,B123=I180,0))*$C$161/$C$171,0)</f>
        <v>0</v>
      </c>
      <c r="C125" s="58" t="s">
        <v>31</v>
      </c>
      <c r="D125" s="145" t="s">
        <v>920</v>
      </c>
      <c r="E125" s="482"/>
      <c r="F125" s="482"/>
      <c r="G125" s="482"/>
      <c r="H125" s="482"/>
      <c r="T125"/>
    </row>
    <row r="126" spans="1:20">
      <c r="A126" s="475" t="s">
        <v>805</v>
      </c>
      <c r="B126" s="531"/>
      <c r="C126" s="57"/>
      <c r="D126" s="145" t="s">
        <v>921</v>
      </c>
      <c r="E126" s="482"/>
      <c r="F126" s="482"/>
      <c r="G126" s="482"/>
      <c r="H126" s="482"/>
      <c r="T126"/>
    </row>
    <row r="127" spans="1:20">
      <c r="A127" s="475" t="s">
        <v>856</v>
      </c>
      <c r="B127" s="549"/>
      <c r="C127" s="57"/>
      <c r="D127" s="658" t="s">
        <v>864</v>
      </c>
      <c r="E127" s="482"/>
      <c r="F127" s="482"/>
      <c r="G127" s="482"/>
      <c r="H127" s="482"/>
      <c r="T127"/>
    </row>
    <row r="128" spans="1:20">
      <c r="A128" s="475" t="s">
        <v>858</v>
      </c>
      <c r="B128" s="549"/>
      <c r="C128" s="57"/>
      <c r="D128" s="658"/>
      <c r="E128" s="482"/>
      <c r="F128" s="482"/>
      <c r="G128" s="482"/>
      <c r="H128" s="482"/>
      <c r="T128"/>
    </row>
    <row r="129" spans="1:20">
      <c r="A129" s="550" t="s">
        <v>806</v>
      </c>
      <c r="B129" s="585">
        <v>0</v>
      </c>
      <c r="C129" s="57" t="s">
        <v>30</v>
      </c>
      <c r="D129" s="144" t="s">
        <v>922</v>
      </c>
      <c r="E129" s="482"/>
      <c r="F129" s="482"/>
      <c r="G129" s="482"/>
      <c r="H129" s="482"/>
      <c r="T129"/>
    </row>
    <row r="130" spans="1:20" ht="43.2">
      <c r="A130" s="475" t="s">
        <v>807</v>
      </c>
      <c r="B130" s="585">
        <v>0</v>
      </c>
      <c r="C130" s="472" t="s">
        <v>762</v>
      </c>
      <c r="D130" s="145" t="s">
        <v>923</v>
      </c>
      <c r="E130" s="482"/>
      <c r="F130" s="482"/>
      <c r="G130" s="482"/>
      <c r="H130" s="482"/>
      <c r="T130"/>
    </row>
    <row r="131" spans="1:20">
      <c r="A131" s="475" t="s">
        <v>791</v>
      </c>
      <c r="B131" s="535" t="s">
        <v>25</v>
      </c>
      <c r="C131" s="57"/>
      <c r="D131" s="145"/>
      <c r="E131" s="482"/>
      <c r="F131" s="482"/>
      <c r="G131" s="482"/>
      <c r="H131" s="482"/>
      <c r="T131"/>
    </row>
    <row r="132" spans="1:20" ht="28.8">
      <c r="A132" s="475" t="s">
        <v>735</v>
      </c>
      <c r="B132" s="583">
        <v>0</v>
      </c>
      <c r="C132" s="44" t="s">
        <v>31</v>
      </c>
      <c r="D132" s="144" t="s">
        <v>899</v>
      </c>
      <c r="F132" s="169"/>
      <c r="T132"/>
    </row>
    <row r="133" spans="1:20">
      <c r="A133" s="475" t="s">
        <v>792</v>
      </c>
      <c r="B133" s="531" t="s">
        <v>59</v>
      </c>
      <c r="C133" s="57"/>
      <c r="D133" s="143" t="s">
        <v>900</v>
      </c>
      <c r="E133" s="33"/>
      <c r="F133" s="169"/>
      <c r="T133"/>
    </row>
    <row r="134" spans="1:20">
      <c r="A134" s="475" t="s">
        <v>739</v>
      </c>
      <c r="B134" s="305" t="s">
        <v>59</v>
      </c>
      <c r="C134" s="57"/>
      <c r="D134" s="143" t="s">
        <v>900</v>
      </c>
      <c r="E134" s="33"/>
      <c r="F134" s="169"/>
      <c r="T134"/>
    </row>
    <row r="135" spans="1:20">
      <c r="A135" s="475" t="s">
        <v>736</v>
      </c>
      <c r="B135" s="584">
        <v>0</v>
      </c>
      <c r="C135" s="44" t="s">
        <v>31</v>
      </c>
      <c r="D135" s="143" t="s">
        <v>924</v>
      </c>
      <c r="F135" s="169"/>
      <c r="T135"/>
    </row>
    <row r="136" spans="1:20" ht="106.8">
      <c r="A136" s="475" t="s">
        <v>793</v>
      </c>
      <c r="B136" s="531" t="s">
        <v>59</v>
      </c>
      <c r="C136" s="57"/>
      <c r="D136" s="143" t="s">
        <v>832</v>
      </c>
      <c r="E136" s="513"/>
      <c r="F136" s="169"/>
      <c r="T136"/>
    </row>
    <row r="137" spans="1:20">
      <c r="A137" s="475" t="s">
        <v>740</v>
      </c>
      <c r="B137" s="531" t="s">
        <v>59</v>
      </c>
      <c r="C137" s="57"/>
      <c r="D137" s="143" t="s">
        <v>925</v>
      </c>
      <c r="E137" s="514"/>
      <c r="F137" s="169"/>
      <c r="T137"/>
    </row>
    <row r="138" spans="1:20" ht="46.2">
      <c r="A138" s="526" t="s">
        <v>823</v>
      </c>
      <c r="B138" s="583">
        <v>0</v>
      </c>
      <c r="C138" s="57" t="s">
        <v>819</v>
      </c>
      <c r="D138" s="143" t="s">
        <v>904</v>
      </c>
      <c r="E138" s="514"/>
      <c r="F138" s="169"/>
      <c r="T138"/>
    </row>
    <row r="139" spans="1:20">
      <c r="A139" s="475" t="s">
        <v>738</v>
      </c>
      <c r="B139" s="583">
        <v>0</v>
      </c>
      <c r="C139" s="44" t="s">
        <v>160</v>
      </c>
      <c r="D139" s="143" t="s">
        <v>926</v>
      </c>
      <c r="E139" s="514"/>
      <c r="F139" s="169"/>
      <c r="T139"/>
    </row>
    <row r="140" spans="1:20">
      <c r="A140" s="475" t="s">
        <v>794</v>
      </c>
      <c r="B140" s="531" t="s">
        <v>59</v>
      </c>
      <c r="C140" s="57"/>
      <c r="D140" s="143" t="s">
        <v>927</v>
      </c>
      <c r="E140" s="33"/>
      <c r="F140" s="169"/>
      <c r="T140"/>
    </row>
    <row r="141" spans="1:20">
      <c r="A141" s="475" t="s">
        <v>795</v>
      </c>
      <c r="B141" s="583">
        <v>0</v>
      </c>
      <c r="C141" s="57" t="s">
        <v>160</v>
      </c>
      <c r="D141" s="143"/>
      <c r="E141" s="33"/>
      <c r="F141" s="169"/>
      <c r="T141"/>
    </row>
    <row r="142" spans="1:20">
      <c r="A142" s="475" t="s">
        <v>801</v>
      </c>
      <c r="B142" s="531" t="s">
        <v>59</v>
      </c>
      <c r="C142" s="57"/>
      <c r="D142" s="143" t="s">
        <v>928</v>
      </c>
      <c r="E142" s="33"/>
      <c r="F142" s="169"/>
      <c r="T142"/>
    </row>
    <row r="143" spans="1:20">
      <c r="A143" s="475" t="s">
        <v>802</v>
      </c>
      <c r="B143" s="583">
        <v>0</v>
      </c>
      <c r="C143" s="57" t="s">
        <v>160</v>
      </c>
      <c r="D143" s="143"/>
      <c r="E143" s="33"/>
      <c r="F143" s="169"/>
      <c r="T143"/>
    </row>
    <row r="144" spans="1:20">
      <c r="A144" s="475" t="s">
        <v>803</v>
      </c>
      <c r="B144" s="531" t="s">
        <v>59</v>
      </c>
      <c r="C144" s="57"/>
      <c r="D144" s="143" t="s">
        <v>927</v>
      </c>
      <c r="E144" s="33"/>
      <c r="F144" s="169"/>
      <c r="T144"/>
    </row>
    <row r="145" spans="1:20">
      <c r="A145" s="475" t="s">
        <v>804</v>
      </c>
      <c r="B145" s="583">
        <v>0</v>
      </c>
      <c r="C145" s="57" t="s">
        <v>160</v>
      </c>
      <c r="D145" s="143"/>
      <c r="E145" s="33"/>
      <c r="F145" s="169"/>
      <c r="T145"/>
    </row>
    <row r="146" spans="1:20" ht="28.8">
      <c r="A146" s="485" t="s">
        <v>810</v>
      </c>
      <c r="B146" s="306" t="s">
        <v>59</v>
      </c>
      <c r="C146" s="44"/>
      <c r="D146" s="144" t="s">
        <v>929</v>
      </c>
      <c r="E146" s="33"/>
      <c r="F146" s="169"/>
      <c r="T146"/>
    </row>
    <row r="147" spans="1:20" ht="28.8">
      <c r="A147" s="474" t="s">
        <v>811</v>
      </c>
      <c r="B147" s="583">
        <v>0</v>
      </c>
      <c r="C147" s="44" t="s">
        <v>31</v>
      </c>
      <c r="D147" s="144" t="s">
        <v>909</v>
      </c>
      <c r="F147" s="169"/>
      <c r="T147"/>
    </row>
    <row r="148" spans="1:20">
      <c r="A148" s="474" t="s">
        <v>60</v>
      </c>
      <c r="B148" s="583">
        <v>0</v>
      </c>
      <c r="C148" s="44" t="s">
        <v>27</v>
      </c>
      <c r="D148" s="17" t="s">
        <v>910</v>
      </c>
      <c r="E148" s="33"/>
      <c r="F148" s="169"/>
      <c r="T148"/>
    </row>
    <row r="149" spans="1:20" ht="28.8">
      <c r="A149" s="527" t="s">
        <v>822</v>
      </c>
      <c r="B149" s="305" t="s">
        <v>59</v>
      </c>
      <c r="C149" s="44"/>
      <c r="D149" s="145" t="s">
        <v>878</v>
      </c>
      <c r="E149" s="33"/>
      <c r="F149" s="169"/>
      <c r="T149"/>
    </row>
    <row r="150" spans="1:20" ht="57.6">
      <c r="A150" s="485" t="s">
        <v>816</v>
      </c>
      <c r="B150" s="582">
        <v>0</v>
      </c>
      <c r="C150" s="44" t="s">
        <v>31</v>
      </c>
      <c r="D150" s="145" t="s">
        <v>911</v>
      </c>
      <c r="E150" s="33"/>
      <c r="F150" s="169"/>
      <c r="T150"/>
    </row>
    <row r="151" spans="1:20" ht="58.8">
      <c r="A151" s="474" t="s">
        <v>741</v>
      </c>
      <c r="B151" s="582">
        <v>0</v>
      </c>
      <c r="C151" s="44" t="s">
        <v>31</v>
      </c>
      <c r="D151" s="145" t="s">
        <v>930</v>
      </c>
      <c r="E151" s="33"/>
      <c r="F151" s="169"/>
      <c r="T151"/>
    </row>
    <row r="152" spans="1:20" ht="28.8">
      <c r="A152" s="485" t="s">
        <v>742</v>
      </c>
      <c r="B152" s="582">
        <v>0</v>
      </c>
      <c r="C152" s="58" t="s">
        <v>27</v>
      </c>
      <c r="D152" s="17" t="s">
        <v>910</v>
      </c>
      <c r="E152" s="46"/>
      <c r="F152" s="169"/>
      <c r="T152"/>
    </row>
    <row r="153" spans="1:20" ht="15.6">
      <c r="A153" s="67" t="s">
        <v>43</v>
      </c>
      <c r="B153" s="129">
        <f>IFERROR((B151*B152*0+(SUM((B149=A177)*(0), (B149=A178)*(0),(B149=A179)*(0),(B149=A180)*(B150/C161/C162*C163),(B149=A181)*(B150/C161/C162*C164),(B149=A182)*(B150/C161/C162*C163)))+_xlfn.XLOOKUP(B134,'Lähteained ja kütused'!A17:A33,'Lähteained ja kütused'!B17:B33)*B135/C161/C162+IF(B136=K178,0)+IF(B136=K179,0)+_xlfn.XLOOKUP(B140,'Lähteained ja kütused'!A41:A60,'Lähteained ja kütused'!B41:B60)*B141/C162+IFERROR((_xlfn.XLOOKUP(B146,'Kütuste ümberarvutused'!B145:B149,'Kütuste ümberarvutused'!C145:C149)*B147/C161/C170/B148/C159*C172+_xlfn.XLOOKUP(B146,'Kütuste ümberarvutused'!B145:B149,'Kütuste ümberarvutused'!D145:D149)*B147/C161/C170/B148/C159*C173),0)+_xlfn.XLOOKUP(B142,'Lähteained ja kütused'!A41:A60,'Lähteained ja kütused'!B41:B60)*B143/C162+_xlfn.XLOOKUP(B144,'Lähteained ja kütused'!A41:A60,'Lähteained ja kütused'!B41:B60)*B145/C162)*C162,0)</f>
        <v>0</v>
      </c>
      <c r="C153" s="44" t="s">
        <v>30</v>
      </c>
      <c r="D153" s="484"/>
      <c r="E153" s="46"/>
      <c r="F153" s="169"/>
      <c r="T153"/>
    </row>
    <row r="154" spans="1:20" ht="45.6">
      <c r="A154" s="67" t="s">
        <v>44</v>
      </c>
      <c r="B154" s="129">
        <f>IFERROR(((B151/C167*C166+IFERROR(B125*_xlfn.XLOOKUP(B123,'Lähteained ja kütused'!A13:A15,'Lähteained ja kütused'!B13:B15)/C170,0))*C162+B147/C161*'Lähteained ja kütused'!H10+B129*B130)-B153,0)</f>
        <v>0</v>
      </c>
      <c r="C154" s="44" t="s">
        <v>30</v>
      </c>
      <c r="D154" s="49" t="s">
        <v>931</v>
      </c>
      <c r="E154" s="46"/>
      <c r="F154" s="169"/>
      <c r="T154"/>
    </row>
    <row r="155" spans="1:20" ht="15" customHeight="1">
      <c r="E155" s="512"/>
      <c r="N155" s="61"/>
      <c r="O155" s="61"/>
      <c r="P155" s="61"/>
      <c r="T155"/>
    </row>
    <row r="156" spans="1:20" ht="15" customHeight="1">
      <c r="E156" s="512"/>
      <c r="N156" s="61"/>
      <c r="O156" s="61"/>
      <c r="P156" s="61"/>
      <c r="T156"/>
    </row>
    <row r="157" spans="1:20">
      <c r="A157" s="596" t="s">
        <v>407</v>
      </c>
      <c r="B157" s="600"/>
      <c r="C157" s="595"/>
      <c r="D157" s="595"/>
    </row>
    <row r="158" spans="1:20">
      <c r="A158" s="601"/>
      <c r="B158" s="602" t="s">
        <v>194</v>
      </c>
      <c r="C158" s="603" t="s">
        <v>136</v>
      </c>
      <c r="D158" s="604" t="s">
        <v>137</v>
      </c>
    </row>
    <row r="159" spans="1:20">
      <c r="A159" s="601"/>
      <c r="B159" s="605">
        <v>4</v>
      </c>
      <c r="C159" s="605">
        <v>100</v>
      </c>
      <c r="D159" s="606" t="s">
        <v>183</v>
      </c>
    </row>
    <row r="160" spans="1:20" ht="28.8">
      <c r="A160" s="601"/>
      <c r="B160" s="605">
        <v>5</v>
      </c>
      <c r="C160" s="605">
        <v>1000</v>
      </c>
      <c r="D160" s="607" t="s">
        <v>1041</v>
      </c>
    </row>
    <row r="161" spans="1:21">
      <c r="A161" s="601"/>
      <c r="B161" s="605">
        <v>6</v>
      </c>
      <c r="C161" s="605">
        <v>277.77800000000002</v>
      </c>
      <c r="D161" s="607" t="s">
        <v>1042</v>
      </c>
      <c r="E161" s="339"/>
    </row>
    <row r="162" spans="1:21">
      <c r="A162" s="601"/>
      <c r="B162" s="605">
        <v>7</v>
      </c>
      <c r="C162" s="605">
        <v>1000</v>
      </c>
      <c r="D162" s="606" t="s">
        <v>1043</v>
      </c>
    </row>
    <row r="163" spans="1:21" ht="86.4">
      <c r="A163" s="601"/>
      <c r="B163" s="605">
        <v>8</v>
      </c>
      <c r="C163" s="608">
        <v>3.58225E-2</v>
      </c>
      <c r="D163" s="607" t="s">
        <v>1044</v>
      </c>
      <c r="E163" s="43" t="s">
        <v>728</v>
      </c>
    </row>
    <row r="164" spans="1:21" ht="86.4">
      <c r="A164" s="601"/>
      <c r="B164" s="605">
        <v>9</v>
      </c>
      <c r="C164" s="608">
        <v>6.9830000000000003E-2</v>
      </c>
      <c r="D164" s="609" t="s">
        <v>1045</v>
      </c>
      <c r="E164" s="43" t="s">
        <v>728</v>
      </c>
    </row>
    <row r="165" spans="1:21" ht="57.6">
      <c r="A165" s="601"/>
      <c r="B165" s="605">
        <v>10</v>
      </c>
      <c r="C165" s="608">
        <f>'Elekter 2020'!C122</f>
        <v>0.58939890945324136</v>
      </c>
      <c r="D165" s="607" t="s">
        <v>1046</v>
      </c>
    </row>
    <row r="166" spans="1:21" ht="57.6">
      <c r="A166" s="601"/>
      <c r="B166" s="605">
        <v>11</v>
      </c>
      <c r="C166" s="608">
        <f>'Elekter 2020'!E122</f>
        <v>0.82203474121790987</v>
      </c>
      <c r="D166" s="607" t="s">
        <v>1047</v>
      </c>
    </row>
    <row r="167" spans="1:21">
      <c r="A167" s="601"/>
      <c r="B167" s="605">
        <v>12</v>
      </c>
      <c r="C167" s="610">
        <v>1000</v>
      </c>
      <c r="D167" s="607" t="s">
        <v>1048</v>
      </c>
    </row>
    <row r="168" spans="1:21">
      <c r="A168" s="601"/>
      <c r="B168" s="605">
        <v>13</v>
      </c>
      <c r="C168" s="605">
        <f>10^9</f>
        <v>1000000000</v>
      </c>
      <c r="D168" s="606" t="s">
        <v>184</v>
      </c>
    </row>
    <row r="169" spans="1:21" ht="105.6">
      <c r="A169" s="601"/>
      <c r="B169" s="605">
        <v>14</v>
      </c>
      <c r="C169" s="611">
        <v>55.292501666666666</v>
      </c>
      <c r="D169" s="607" t="s">
        <v>1049</v>
      </c>
      <c r="E169" s="43" t="s">
        <v>728</v>
      </c>
    </row>
    <row r="170" spans="1:21">
      <c r="A170" s="601"/>
      <c r="B170" s="605">
        <v>15</v>
      </c>
      <c r="C170" s="605">
        <v>1000000</v>
      </c>
      <c r="D170" s="606" t="s">
        <v>1050</v>
      </c>
      <c r="E170" s="43"/>
    </row>
    <row r="171" spans="1:21">
      <c r="A171" s="601"/>
      <c r="B171" s="605">
        <v>16</v>
      </c>
      <c r="C171" s="605">
        <v>1000</v>
      </c>
      <c r="D171" s="606" t="s">
        <v>1051</v>
      </c>
    </row>
    <row r="172" spans="1:21" ht="60">
      <c r="A172" s="601"/>
      <c r="B172" s="605">
        <v>17</v>
      </c>
      <c r="C172" s="605">
        <v>25</v>
      </c>
      <c r="D172" s="607" t="s">
        <v>1052</v>
      </c>
      <c r="E172" s="43" t="s">
        <v>728</v>
      </c>
    </row>
    <row r="173" spans="1:21" ht="60">
      <c r="A173" s="601"/>
      <c r="B173" s="605">
        <v>18</v>
      </c>
      <c r="C173" s="605">
        <v>298</v>
      </c>
      <c r="D173" s="607" t="s">
        <v>1053</v>
      </c>
      <c r="E173" s="43" t="s">
        <v>728</v>
      </c>
    </row>
    <row r="174" spans="1:21">
      <c r="A174" s="601"/>
      <c r="B174" s="595"/>
      <c r="C174" s="612"/>
      <c r="D174" s="613"/>
    </row>
    <row r="175" spans="1:21">
      <c r="A175" s="614" t="s">
        <v>408</v>
      </c>
      <c r="B175" s="595"/>
      <c r="C175" s="595"/>
      <c r="D175" s="613"/>
      <c r="E175" s="37"/>
      <c r="F175" s="37"/>
      <c r="G175" s="36"/>
    </row>
    <row r="176" spans="1:21" ht="37.799999999999997" customHeight="1">
      <c r="A176" s="615" t="s">
        <v>58</v>
      </c>
      <c r="B176" s="615" t="s">
        <v>108</v>
      </c>
      <c r="C176" s="615" t="s">
        <v>109</v>
      </c>
      <c r="D176" s="615" t="s">
        <v>409</v>
      </c>
      <c r="E176" s="615" t="s">
        <v>124</v>
      </c>
      <c r="F176" s="615" t="s">
        <v>193</v>
      </c>
      <c r="G176" s="621" t="s">
        <v>192</v>
      </c>
      <c r="H176" s="615" t="s">
        <v>1054</v>
      </c>
      <c r="I176" s="621" t="s">
        <v>752</v>
      </c>
      <c r="J176" s="615" t="s">
        <v>758</v>
      </c>
      <c r="K176" s="615" t="s">
        <v>1055</v>
      </c>
      <c r="L176" s="615"/>
      <c r="T176"/>
      <c r="U176" s="46"/>
    </row>
    <row r="177" spans="1:21">
      <c r="A177" s="616" t="s">
        <v>59</v>
      </c>
      <c r="B177" s="617" t="s">
        <v>117</v>
      </c>
      <c r="C177" s="617" t="s">
        <v>118</v>
      </c>
      <c r="D177" s="618" t="s">
        <v>56</v>
      </c>
      <c r="E177" s="617" t="s">
        <v>59</v>
      </c>
      <c r="F177" s="617" t="s">
        <v>33</v>
      </c>
      <c r="G177" s="617" t="s">
        <v>25</v>
      </c>
      <c r="H177" s="618" t="s">
        <v>59</v>
      </c>
      <c r="I177" s="617"/>
      <c r="J177" s="617" t="s">
        <v>25</v>
      </c>
      <c r="K177" s="617" t="s">
        <v>59</v>
      </c>
      <c r="L177" s="595"/>
      <c r="T177"/>
      <c r="U177" s="46"/>
    </row>
    <row r="178" spans="1:21" ht="29.4">
      <c r="A178" s="616" t="s">
        <v>55</v>
      </c>
      <c r="B178" s="617" t="s">
        <v>26</v>
      </c>
      <c r="C178" s="617" t="s">
        <v>119</v>
      </c>
      <c r="D178" s="618" t="s">
        <v>57</v>
      </c>
      <c r="E178" s="617" t="s">
        <v>608</v>
      </c>
      <c r="F178" s="618" t="s">
        <v>34</v>
      </c>
      <c r="G178" s="617" t="s">
        <v>191</v>
      </c>
      <c r="H178" s="618" t="s">
        <v>56</v>
      </c>
      <c r="I178" s="622" t="s">
        <v>755</v>
      </c>
      <c r="J178" s="595" t="s">
        <v>166</v>
      </c>
      <c r="K178" s="617" t="s">
        <v>1056</v>
      </c>
      <c r="L178" s="595"/>
      <c r="T178"/>
      <c r="U178" s="46"/>
    </row>
    <row r="179" spans="1:21" ht="15.6">
      <c r="A179" s="616" t="s">
        <v>54</v>
      </c>
      <c r="B179" s="617"/>
      <c r="C179" s="617" t="s">
        <v>120</v>
      </c>
      <c r="D179" s="618" t="s">
        <v>121</v>
      </c>
      <c r="E179" s="617" t="s">
        <v>757</v>
      </c>
      <c r="F179" s="617" t="s">
        <v>965</v>
      </c>
      <c r="G179" s="617" t="s">
        <v>672</v>
      </c>
      <c r="H179" s="618" t="s">
        <v>57</v>
      </c>
      <c r="I179" s="622" t="s">
        <v>754</v>
      </c>
      <c r="J179" s="617" t="s">
        <v>672</v>
      </c>
      <c r="K179" s="617" t="s">
        <v>1057</v>
      </c>
      <c r="L179" s="595"/>
      <c r="T179"/>
      <c r="U179" s="46"/>
    </row>
    <row r="180" spans="1:21">
      <c r="A180" s="619" t="s">
        <v>817</v>
      </c>
      <c r="B180" s="617"/>
      <c r="C180" s="617"/>
      <c r="D180" s="618" t="s">
        <v>59</v>
      </c>
      <c r="E180" s="617"/>
      <c r="F180" s="617" t="s">
        <v>59</v>
      </c>
      <c r="G180" s="617" t="s">
        <v>16</v>
      </c>
      <c r="H180" s="618" t="s">
        <v>121</v>
      </c>
      <c r="I180" s="617" t="s">
        <v>752</v>
      </c>
      <c r="J180" s="617" t="s">
        <v>26</v>
      </c>
      <c r="K180" s="595"/>
      <c r="L180" s="595"/>
      <c r="T180"/>
      <c r="U180" s="46"/>
    </row>
    <row r="181" spans="1:21">
      <c r="A181" s="619" t="s">
        <v>815</v>
      </c>
      <c r="B181" s="617"/>
      <c r="C181" s="617"/>
      <c r="D181" s="618"/>
      <c r="E181" s="617"/>
      <c r="F181" s="617"/>
      <c r="G181" s="617" t="s">
        <v>59</v>
      </c>
      <c r="H181" s="623" t="s">
        <v>814</v>
      </c>
      <c r="I181" s="617" t="s">
        <v>59</v>
      </c>
      <c r="J181" s="617" t="s">
        <v>59</v>
      </c>
      <c r="K181" s="595"/>
      <c r="L181" s="595"/>
      <c r="T181"/>
      <c r="U181" s="46"/>
    </row>
    <row r="182" spans="1:21">
      <c r="A182" s="619" t="s">
        <v>818</v>
      </c>
      <c r="B182" s="617"/>
      <c r="C182" s="620"/>
      <c r="D182" s="618"/>
      <c r="E182" s="617"/>
      <c r="F182" s="624"/>
      <c r="G182" s="617"/>
      <c r="H182" s="618" t="s">
        <v>813</v>
      </c>
      <c r="I182" s="617"/>
      <c r="J182" s="617" t="s">
        <v>808</v>
      </c>
      <c r="K182" s="595"/>
      <c r="L182" s="595"/>
      <c r="T182"/>
      <c r="U182" s="46"/>
    </row>
    <row r="183" spans="1:21">
      <c r="A183"/>
      <c r="E183" s="595"/>
      <c r="F183" s="625"/>
      <c r="G183" s="617"/>
      <c r="H183" s="618" t="s">
        <v>812</v>
      </c>
      <c r="I183" s="595"/>
      <c r="J183" s="595"/>
      <c r="K183" s="595"/>
      <c r="L183" s="595"/>
    </row>
    <row r="184" spans="1:21">
      <c r="E184" s="595"/>
      <c r="F184" s="595"/>
      <c r="G184" s="595"/>
      <c r="H184" s="595"/>
      <c r="I184" s="595"/>
      <c r="J184" s="595"/>
      <c r="K184" s="595"/>
      <c r="L184" s="595"/>
    </row>
    <row r="185" spans="1:21">
      <c r="F185"/>
    </row>
    <row r="186" spans="1:21">
      <c r="F186"/>
    </row>
    <row r="187" spans="1:21">
      <c r="F187"/>
    </row>
    <row r="188" spans="1:21">
      <c r="F188"/>
    </row>
    <row r="189" spans="1:21">
      <c r="F189"/>
    </row>
    <row r="190" spans="1:21">
      <c r="F190"/>
    </row>
  </sheetData>
  <sheetProtection algorithmName="SHA-512" hashValue="4eCGafLVWBlNGYNOVV2Nv2Oq2/9pCtJDm0IAbc4iPT2/MHe2sm32+0gfQ1hcL/nDFYrWkbrKWd4shxKVQjd7vw==" saltValue="ktK7bALR9/Myb84XnDY8cQ==" spinCount="100000" sheet="1" objects="1" scenarios="1"/>
  <mergeCells count="15">
    <mergeCell ref="A1:C1"/>
    <mergeCell ref="A14:C14"/>
    <mergeCell ref="A24:C24"/>
    <mergeCell ref="A40:C40"/>
    <mergeCell ref="A49:C49"/>
    <mergeCell ref="A3:C3"/>
    <mergeCell ref="D127:D128"/>
    <mergeCell ref="B4:C4"/>
    <mergeCell ref="F122:H122"/>
    <mergeCell ref="A122:C122"/>
    <mergeCell ref="A62:C62"/>
    <mergeCell ref="A71:C71"/>
    <mergeCell ref="A99:C99"/>
    <mergeCell ref="D73:D74"/>
    <mergeCell ref="D101:D102"/>
  </mergeCells>
  <dataValidations count="16">
    <dataValidation type="list" allowBlank="1" showInputMessage="1" showErrorMessage="1" sqref="B53 B63 B27 B41" xr:uid="{A544B98E-5F64-4638-93CD-8262204C417D}">
      <formula1>$A$177:$A$179</formula1>
    </dataValidation>
    <dataValidation type="list" allowBlank="1" showInputMessage="1" showErrorMessage="1" sqref="B50" xr:uid="{DA450225-D88B-4E09-8871-2F10D38790E0}">
      <formula1>$F$177:$F$180</formula1>
    </dataValidation>
    <dataValidation type="list" allowBlank="1" showInputMessage="1" showErrorMessage="1" sqref="B30" xr:uid="{880B255C-DAD3-4640-96BF-95CDF17A34A7}">
      <formula1>$E$177:$E$179</formula1>
    </dataValidation>
    <dataValidation type="list" allowBlank="1" showInputMessage="1" showErrorMessage="1" sqref="B26" xr:uid="{DBF14B0E-481C-4498-ABE5-B9AF23D6B61D}">
      <formula1>$C$177:$C$179</formula1>
    </dataValidation>
    <dataValidation type="list" allowBlank="1" showInputMessage="1" showErrorMessage="1" sqref="B25" xr:uid="{611CD385-BC12-410E-BDF2-20D479B3B463}">
      <formula1>$B$177:$B$178</formula1>
    </dataValidation>
    <dataValidation type="list" allowBlank="1" showInputMessage="1" showErrorMessage="1" sqref="B32" xr:uid="{4189FBEA-6E28-423E-AEBD-F4F5584231ED}">
      <formula1>$A$177:$A$178</formula1>
    </dataValidation>
    <dataValidation type="list" showInputMessage="1" showErrorMessage="1" sqref="B28 B79 B134" xr:uid="{5FE943A0-B4BC-48E6-9DAD-50FDC16A3E02}">
      <formula1>$D$177:$D$180</formula1>
    </dataValidation>
    <dataValidation showInputMessage="1" showErrorMessage="1" sqref="B29 B95 B118 B152" xr:uid="{5B2CD2DC-9C9B-47CD-ABA5-3F00415FA9D4}"/>
    <dataValidation type="whole" allowBlank="1" showInputMessage="1" showErrorMessage="1" sqref="B42:B43 B54:B55 B64:B65 B17 B114 B148 B31:B32 B91 B6 B8" xr:uid="{367C9545-6BEC-4E93-9ED9-926D64029B0F}">
      <formula1>0</formula1>
      <formula2>100</formula2>
    </dataValidation>
    <dataValidation type="list" allowBlank="1" showInputMessage="1" showErrorMessage="1" sqref="B51" xr:uid="{7E46F7FE-2C04-4693-9EF8-647F2C5259A0}">
      <formula1>$G$177:$G$181</formula1>
    </dataValidation>
    <dataValidation type="list" allowBlank="1" showInputMessage="1" showErrorMessage="1" sqref="B133 B146 B112 B89" xr:uid="{44572238-0010-4B5D-8EC3-821344CE9126}">
      <formula1>$J$177:$J$181</formula1>
    </dataValidation>
    <dataValidation type="list" allowBlank="1" showInputMessage="1" showErrorMessage="1" sqref="B81 B136" xr:uid="{DA9113EC-0B10-40F5-8E9A-714F58AA159E}">
      <formula1>$K$177:$K$179</formula1>
    </dataValidation>
    <dataValidation type="list" allowBlank="1" showInputMessage="1" showErrorMessage="1" sqref="B82 B137" xr:uid="{424903BC-DD87-49A6-8055-1BA3F9843697}">
      <formula1>$H$177:$H$183</formula1>
    </dataValidation>
    <dataValidation type="list" allowBlank="1" showInputMessage="1" showErrorMessage="1" sqref="B78" xr:uid="{0A294E74-8FDB-4C58-8D8A-593B37AB95B6}">
      <formula1>$J$179:$J$181</formula1>
    </dataValidation>
    <dataValidation type="list" allowBlank="1" showInputMessage="1" showErrorMessage="1" sqref="B92 B115 B149" xr:uid="{D7C960FA-BD74-4F70-A087-B8182BDBFF12}">
      <formula1>$A$177:$A$183</formula1>
    </dataValidation>
    <dataValidation type="list" allowBlank="1" showInputMessage="1" showErrorMessage="1" sqref="B123" xr:uid="{963C764E-D77B-4E56-978D-2D00DF1794CE}">
      <formula1>$I$178:$I$181</formula1>
    </dataValidation>
  </dataValidations>
  <hyperlinks>
    <hyperlink ref="E163" r:id="rId1" xr:uid="{33D74BC1-B517-47B9-8E89-B92929C7DC96}"/>
    <hyperlink ref="E164" r:id="rId2" xr:uid="{96043329-E0A3-4D5D-A781-B673A3834C27}"/>
    <hyperlink ref="E169" r:id="rId3" xr:uid="{704C7A70-870D-4361-8932-A6A1E5BEC275}"/>
    <hyperlink ref="E172" r:id="rId4" xr:uid="{120107F0-B384-4C34-A418-84DF47C95223}"/>
    <hyperlink ref="E173" r:id="rId5" xr:uid="{52FE17B4-86F1-4E54-8E0D-6077411D08E6}"/>
  </hyperlinks>
  <pageMargins left="0.7" right="0.7" top="0.75" bottom="0.75" header="0.3" footer="0.3"/>
  <pageSetup paperSize="9" orientation="portrait" horizontalDpi="300" verticalDpi="300" r:id="rId6"/>
  <extLst>
    <ext xmlns:x14="http://schemas.microsoft.com/office/spreadsheetml/2009/9/main" uri="{CCE6A557-97BC-4b89-ADB6-D9C93CAAB3DF}">
      <x14:dataValidations xmlns:xm="http://schemas.microsoft.com/office/excel/2006/main" count="1">
        <x14:dataValidation type="list" allowBlank="1" showInputMessage="1" showErrorMessage="1" xr:uid="{6D13F1E9-638A-4F77-B6A9-9B81BC50B879}">
          <x14:formula1>
            <xm:f>'Lähteained ja kütused'!$A$41:$A$60</xm:f>
          </x14:formula1>
          <xm:sqref>B85 B140 B109 B107 B105 B142 B144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6DDEB-A1AC-4EBC-B133-F82FCEF7A1B7}">
  <sheetPr>
    <tabColor rgb="FF92D050"/>
  </sheetPr>
  <dimension ref="A1:T205"/>
  <sheetViews>
    <sheetView zoomScale="80" zoomScaleNormal="80" workbookViewId="0">
      <selection sqref="A1:C1"/>
    </sheetView>
  </sheetViews>
  <sheetFormatPr defaultColWidth="7.21875" defaultRowHeight="14.4"/>
  <cols>
    <col min="1" max="1" width="60" style="64" customWidth="1"/>
    <col min="2" max="2" width="28.21875" customWidth="1"/>
    <col min="3" max="3" width="12.21875" style="59" customWidth="1"/>
    <col min="4" max="4" width="78.77734375" style="46" customWidth="1"/>
    <col min="5" max="5" width="24" customWidth="1"/>
    <col min="6" max="6" width="12.5546875" style="170" bestFit="1" customWidth="1"/>
    <col min="7" max="7" width="14.5546875" customWidth="1"/>
    <col min="8" max="8" width="40.33203125" bestFit="1" customWidth="1"/>
    <col min="9" max="9" width="25.5546875" customWidth="1"/>
    <col min="10" max="10" width="9.44140625" customWidth="1"/>
    <col min="11" max="11" width="8.44140625" customWidth="1"/>
    <col min="12" max="12" width="11.77734375" customWidth="1"/>
    <col min="13" max="13" width="11.5546875" customWidth="1"/>
    <col min="14" max="14" width="16.5546875" customWidth="1"/>
    <col min="15" max="15" width="8.44140625" customWidth="1"/>
    <col min="16" max="16" width="11.77734375" customWidth="1"/>
    <col min="17" max="17" width="13.44140625" customWidth="1"/>
    <col min="18" max="18" width="6.44140625" customWidth="1"/>
    <col min="20" max="20" width="7.21875" style="46"/>
  </cols>
  <sheetData>
    <row r="1" spans="1:20">
      <c r="A1" s="652" t="s">
        <v>20</v>
      </c>
      <c r="B1" s="652"/>
      <c r="C1" s="652"/>
      <c r="D1" s="176"/>
      <c r="F1" s="168"/>
      <c r="G1" s="22"/>
      <c r="H1" s="41"/>
    </row>
    <row r="2" spans="1:20">
      <c r="D2" s="45"/>
      <c r="E2" s="23"/>
      <c r="R2" s="49"/>
      <c r="T2"/>
    </row>
    <row r="3" spans="1:20">
      <c r="A3" s="653" t="s">
        <v>842</v>
      </c>
      <c r="B3" s="654"/>
      <c r="C3" s="655"/>
      <c r="D3" s="45"/>
      <c r="E3" s="23"/>
      <c r="R3" s="49"/>
      <c r="T3"/>
    </row>
    <row r="4" spans="1:20">
      <c r="A4" s="551" t="s">
        <v>871</v>
      </c>
      <c r="B4" s="656"/>
      <c r="C4" s="657"/>
      <c r="D4" s="45"/>
      <c r="E4" s="23"/>
      <c r="R4" s="49"/>
      <c r="T4"/>
    </row>
    <row r="5" spans="1:20" ht="115.2">
      <c r="A5" s="551" t="s">
        <v>843</v>
      </c>
      <c r="B5" s="583">
        <v>0</v>
      </c>
      <c r="C5" s="472" t="s">
        <v>844</v>
      </c>
      <c r="D5" s="552" t="s">
        <v>932</v>
      </c>
      <c r="E5" s="23"/>
      <c r="R5" s="49"/>
      <c r="T5"/>
    </row>
    <row r="6" spans="1:20" ht="30">
      <c r="A6" s="538" t="s">
        <v>866</v>
      </c>
      <c r="B6" s="530">
        <f>IFERROR(B5/(B21*5),0)</f>
        <v>0</v>
      </c>
      <c r="C6" s="44" t="s">
        <v>845</v>
      </c>
      <c r="D6" s="50" t="s">
        <v>846</v>
      </c>
      <c r="E6" s="554" t="s">
        <v>867</v>
      </c>
      <c r="R6" s="49"/>
      <c r="T6"/>
    </row>
    <row r="7" spans="1:20">
      <c r="A7" s="538" t="s">
        <v>848</v>
      </c>
      <c r="B7" s="522">
        <v>0</v>
      </c>
      <c r="C7" s="44" t="s">
        <v>847</v>
      </c>
      <c r="D7" s="144" t="s">
        <v>934</v>
      </c>
      <c r="E7" s="554" t="s">
        <v>867</v>
      </c>
      <c r="R7" s="49"/>
      <c r="T7"/>
    </row>
    <row r="8" spans="1:20" ht="28.8">
      <c r="A8" s="539" t="s">
        <v>849</v>
      </c>
      <c r="B8" s="586">
        <f>B19/'Kütuste ümberarvutused'!F5</f>
        <v>0</v>
      </c>
      <c r="C8" s="44" t="s">
        <v>30</v>
      </c>
      <c r="D8" s="50" t="s">
        <v>935</v>
      </c>
      <c r="E8" s="554" t="s">
        <v>867</v>
      </c>
      <c r="R8" s="49"/>
      <c r="T8"/>
    </row>
    <row r="9" spans="1:20" ht="43.2">
      <c r="A9" s="553" t="s">
        <v>868</v>
      </c>
      <c r="B9" s="583">
        <v>0</v>
      </c>
      <c r="C9" s="44" t="s">
        <v>24</v>
      </c>
      <c r="D9" s="144" t="s">
        <v>936</v>
      </c>
      <c r="E9" s="23"/>
      <c r="R9" s="49"/>
      <c r="T9"/>
    </row>
    <row r="10" spans="1:20" ht="28.8">
      <c r="A10" s="553" t="s">
        <v>869</v>
      </c>
      <c r="B10" s="583">
        <v>0</v>
      </c>
      <c r="C10" s="44" t="s">
        <v>24</v>
      </c>
      <c r="D10" s="144" t="s">
        <v>937</v>
      </c>
      <c r="E10" s="23"/>
      <c r="R10" s="49"/>
      <c r="T10"/>
    </row>
    <row r="11" spans="1:20" ht="43.2">
      <c r="A11" s="553" t="s">
        <v>870</v>
      </c>
      <c r="B11" s="586">
        <f>SUM(B78,B87,B96,B105,B114,B123,B132,B141)+COUNTIF(B55,"Rohevesinik")*B56</f>
        <v>0</v>
      </c>
      <c r="C11" s="44" t="s">
        <v>28</v>
      </c>
      <c r="D11" s="50" t="s">
        <v>938</v>
      </c>
      <c r="E11" s="23"/>
      <c r="R11" s="49"/>
      <c r="T11"/>
    </row>
    <row r="12" spans="1:20">
      <c r="A12" s="45"/>
      <c r="B12" s="45"/>
      <c r="C12" s="45"/>
      <c r="D12" s="45"/>
      <c r="E12" s="23"/>
      <c r="R12" s="49"/>
      <c r="T12"/>
    </row>
    <row r="13" spans="1:20">
      <c r="A13" s="653" t="s">
        <v>51</v>
      </c>
      <c r="B13" s="654"/>
      <c r="C13" s="655"/>
      <c r="D13" s="47"/>
      <c r="E13" s="24"/>
      <c r="J13" s="167"/>
      <c r="Q13" s="46"/>
      <c r="T13"/>
    </row>
    <row r="14" spans="1:20" ht="28.8">
      <c r="A14" s="65" t="s">
        <v>70</v>
      </c>
      <c r="B14" s="588">
        <f>B38+B48+B60+B70</f>
        <v>0</v>
      </c>
      <c r="C14" s="44" t="s">
        <v>593</v>
      </c>
      <c r="D14" s="376" t="s">
        <v>615</v>
      </c>
      <c r="T14"/>
    </row>
    <row r="15" spans="1:20" ht="28.8">
      <c r="A15" s="65" t="s">
        <v>123</v>
      </c>
      <c r="B15" s="589">
        <f>IFERROR((B38*B36/C181+B48*B46/C181+B60*B58/C181+B70*B68/C181)/B14*C181,0)</f>
        <v>0</v>
      </c>
      <c r="C15" s="44" t="s">
        <v>27</v>
      </c>
      <c r="D15" s="45" t="s">
        <v>824</v>
      </c>
      <c r="T15"/>
    </row>
    <row r="16" spans="1:20">
      <c r="A16" s="66" t="s">
        <v>185</v>
      </c>
      <c r="B16" s="590">
        <f>IF(B14=0,0,C181-B15)</f>
        <v>0</v>
      </c>
      <c r="C16" s="44" t="s">
        <v>27</v>
      </c>
      <c r="D16" s="48"/>
      <c r="T16"/>
    </row>
    <row r="17" spans="1:20">
      <c r="A17" s="65" t="s">
        <v>52</v>
      </c>
      <c r="B17" s="588">
        <f>B39</f>
        <v>0</v>
      </c>
      <c r="C17" s="44" t="s">
        <v>31</v>
      </c>
      <c r="E17" s="17"/>
      <c r="T17"/>
    </row>
    <row r="18" spans="1:20">
      <c r="A18" s="65" t="s">
        <v>199</v>
      </c>
      <c r="B18" s="588">
        <f>B40</f>
        <v>0</v>
      </c>
      <c r="C18" s="44" t="s">
        <v>27</v>
      </c>
      <c r="E18" s="17"/>
      <c r="J18" s="164"/>
      <c r="T18"/>
    </row>
    <row r="19" spans="1:20">
      <c r="A19" s="65" t="s">
        <v>958</v>
      </c>
      <c r="B19" s="588">
        <f>B80+B89+B134+B143+B107+B125+B98+B116</f>
        <v>0</v>
      </c>
      <c r="C19" s="44" t="s">
        <v>31</v>
      </c>
      <c r="E19" s="125"/>
      <c r="J19" s="22"/>
      <c r="T19"/>
    </row>
    <row r="20" spans="1:20" ht="15.6">
      <c r="A20" s="65" t="s">
        <v>1019</v>
      </c>
      <c r="B20" s="588">
        <f>B41+B50+B63+B72+B81+B90+B108+B126+B135+B144+B99+B117</f>
        <v>0</v>
      </c>
      <c r="C20" s="44" t="s">
        <v>30</v>
      </c>
      <c r="D20" s="49" t="s">
        <v>996</v>
      </c>
      <c r="T20"/>
    </row>
    <row r="21" spans="1:20" ht="16.2">
      <c r="A21" s="537" t="s">
        <v>1020</v>
      </c>
      <c r="B21" s="297">
        <f>B42+B51+B64+B73+B82+B91+B109+B127+B136+B145+B100+B118</f>
        <v>0</v>
      </c>
      <c r="C21" s="44" t="s">
        <v>30</v>
      </c>
      <c r="D21" s="49" t="s">
        <v>997</v>
      </c>
      <c r="E21" s="554" t="s">
        <v>867</v>
      </c>
      <c r="N21" s="60"/>
      <c r="Q21" s="34"/>
      <c r="T21"/>
    </row>
    <row r="22" spans="1:20" ht="15.6">
      <c r="A22" s="540" t="s">
        <v>125</v>
      </c>
      <c r="B22" s="296">
        <f>SUM(B168:B175)</f>
        <v>0</v>
      </c>
      <c r="C22" s="44" t="s">
        <v>30</v>
      </c>
      <c r="J22" s="164"/>
      <c r="N22" s="60"/>
      <c r="Q22" s="34"/>
      <c r="T22"/>
    </row>
    <row r="23" spans="1:20" ht="15.6">
      <c r="A23" s="541" t="s">
        <v>126</v>
      </c>
      <c r="B23" s="296">
        <f>SUM(C168:C175)</f>
        <v>0</v>
      </c>
      <c r="C23" s="44" t="s">
        <v>30</v>
      </c>
      <c r="D23" s="47"/>
      <c r="F23" s="169"/>
      <c r="G23" s="125"/>
      <c r="H23" s="46"/>
      <c r="N23" s="60"/>
      <c r="Q23" s="34"/>
      <c r="T23"/>
    </row>
    <row r="24" spans="1:20" ht="15.6">
      <c r="A24" s="542" t="s">
        <v>127</v>
      </c>
      <c r="B24" s="296">
        <f>SUM(D168:D175)</f>
        <v>0</v>
      </c>
      <c r="C24" s="44" t="s">
        <v>30</v>
      </c>
      <c r="D24" s="47"/>
      <c r="F24" s="169"/>
      <c r="H24" s="148"/>
      <c r="N24" s="60"/>
      <c r="Q24" s="34"/>
      <c r="T24"/>
    </row>
    <row r="25" spans="1:20" ht="16.2">
      <c r="A25" s="541" t="s">
        <v>852</v>
      </c>
      <c r="B25" s="296">
        <f>SUM(E168:E175)</f>
        <v>0</v>
      </c>
      <c r="C25" s="44" t="s">
        <v>30</v>
      </c>
      <c r="D25" s="47"/>
      <c r="F25" s="169"/>
      <c r="H25" s="149"/>
      <c r="Q25" s="34"/>
      <c r="T25"/>
    </row>
    <row r="26" spans="1:20" ht="16.2">
      <c r="A26" s="540" t="s">
        <v>853</v>
      </c>
      <c r="B26" s="543">
        <f>SUM(F168:F175)</f>
        <v>0</v>
      </c>
      <c r="C26" s="544" t="s">
        <v>30</v>
      </c>
      <c r="D26" s="47"/>
      <c r="E26" s="14"/>
      <c r="F26" s="169"/>
      <c r="H26" s="149"/>
      <c r="I26" s="33"/>
      <c r="J26" s="33"/>
      <c r="K26" s="23"/>
      <c r="Q26" s="49"/>
      <c r="T26"/>
    </row>
    <row r="27" spans="1:20">
      <c r="A27" s="545" t="s">
        <v>851</v>
      </c>
      <c r="B27" s="296">
        <f>SUM(B22:B26)</f>
        <v>0</v>
      </c>
      <c r="C27" s="44" t="s">
        <v>30</v>
      </c>
      <c r="D27" s="47"/>
      <c r="E27" s="554" t="s">
        <v>867</v>
      </c>
      <c r="F27" s="169"/>
      <c r="H27" s="149"/>
      <c r="I27" s="33"/>
      <c r="J27" s="33"/>
      <c r="K27" s="23"/>
      <c r="Q27" s="49"/>
      <c r="T27"/>
    </row>
    <row r="28" spans="1:20">
      <c r="B28" s="55"/>
      <c r="C28" s="55"/>
      <c r="E28" s="17"/>
      <c r="F28" s="169"/>
      <c r="H28" s="149"/>
      <c r="K28" s="35"/>
      <c r="L28" s="36"/>
      <c r="O28" s="36"/>
      <c r="P28" s="36"/>
      <c r="Q28" s="48"/>
      <c r="T28"/>
    </row>
    <row r="29" spans="1:20" s="36" customFormat="1" ht="57.6">
      <c r="A29" s="653" t="s">
        <v>959</v>
      </c>
      <c r="B29" s="654"/>
      <c r="C29" s="655"/>
      <c r="D29" s="49" t="s">
        <v>989</v>
      </c>
      <c r="E29" s="17"/>
      <c r="F29" s="169"/>
      <c r="G29"/>
      <c r="H29" s="149"/>
      <c r="I29" s="33"/>
      <c r="J29" s="33"/>
      <c r="K29"/>
      <c r="L29"/>
      <c r="M29"/>
      <c r="N29"/>
      <c r="O29"/>
      <c r="P29"/>
      <c r="Q29" s="48"/>
      <c r="R29"/>
      <c r="S29"/>
      <c r="T29"/>
    </row>
    <row r="30" spans="1:20" s="36" customFormat="1">
      <c r="A30" s="66" t="s">
        <v>108</v>
      </c>
      <c r="B30" s="301" t="s">
        <v>117</v>
      </c>
      <c r="C30" s="57"/>
      <c r="D30" s="143" t="s">
        <v>939</v>
      </c>
      <c r="E30" s="125"/>
      <c r="F30" s="169"/>
      <c r="G30"/>
      <c r="H30" s="149"/>
      <c r="I30" s="33"/>
      <c r="J30" s="33"/>
      <c r="K30"/>
      <c r="L30"/>
      <c r="M30"/>
      <c r="N30"/>
      <c r="O30"/>
      <c r="P30"/>
      <c r="Q30" s="49"/>
      <c r="R30"/>
      <c r="S30"/>
      <c r="T30"/>
    </row>
    <row r="31" spans="1:20" ht="15.6">
      <c r="A31" s="66" t="s">
        <v>109</v>
      </c>
      <c r="B31" s="301" t="s">
        <v>118</v>
      </c>
      <c r="C31" s="57"/>
      <c r="D31" s="143" t="s">
        <v>940</v>
      </c>
      <c r="F31" s="169"/>
      <c r="H31" s="149"/>
      <c r="I31" s="33"/>
      <c r="J31" s="33"/>
      <c r="Q31" s="56"/>
      <c r="T31"/>
    </row>
    <row r="32" spans="1:20" ht="28.8">
      <c r="A32" s="65" t="s">
        <v>607</v>
      </c>
      <c r="B32" s="302" t="s">
        <v>55</v>
      </c>
      <c r="C32" s="44"/>
      <c r="D32" s="145" t="s">
        <v>878</v>
      </c>
      <c r="F32" s="169"/>
      <c r="G32" s="152"/>
      <c r="H32" s="149"/>
      <c r="K32" s="23"/>
      <c r="Q32" s="46"/>
      <c r="T32"/>
    </row>
    <row r="33" spans="1:20" ht="28.8">
      <c r="A33" s="66" t="s">
        <v>188</v>
      </c>
      <c r="B33" s="302" t="s">
        <v>59</v>
      </c>
      <c r="C33" s="44"/>
      <c r="D33" s="145" t="s">
        <v>941</v>
      </c>
      <c r="F33" s="169"/>
      <c r="G33" s="152"/>
      <c r="H33" s="149"/>
      <c r="K33" s="23"/>
      <c r="Q33" s="46"/>
      <c r="T33"/>
    </row>
    <row r="34" spans="1:20" ht="58.05" customHeight="1">
      <c r="A34" s="66" t="s">
        <v>187</v>
      </c>
      <c r="B34" s="591">
        <v>0</v>
      </c>
      <c r="C34" s="58" t="s">
        <v>592</v>
      </c>
      <c r="D34" s="154" t="s">
        <v>942</v>
      </c>
      <c r="F34" s="169"/>
      <c r="G34" s="153"/>
      <c r="H34" s="149"/>
      <c r="I34" s="33"/>
      <c r="J34" s="33"/>
      <c r="K34" s="23"/>
      <c r="Q34" s="46"/>
      <c r="T34"/>
    </row>
    <row r="35" spans="1:20" ht="77.400000000000006" customHeight="1">
      <c r="A35" s="73" t="s">
        <v>410</v>
      </c>
      <c r="B35" s="303" t="s">
        <v>59</v>
      </c>
      <c r="C35" s="44"/>
      <c r="D35" s="144" t="s">
        <v>943</v>
      </c>
      <c r="F35" s="169"/>
      <c r="G35" s="153"/>
      <c r="H35" s="149"/>
      <c r="I35" s="33"/>
      <c r="J35" s="33"/>
      <c r="Q35" s="46"/>
      <c r="T35"/>
    </row>
    <row r="36" spans="1:20">
      <c r="A36" s="65" t="s">
        <v>123</v>
      </c>
      <c r="B36" s="592">
        <v>0</v>
      </c>
      <c r="C36" s="44" t="s">
        <v>27</v>
      </c>
      <c r="D36" s="17" t="s">
        <v>944</v>
      </c>
      <c r="E36" s="18"/>
      <c r="F36" s="169"/>
      <c r="H36" s="149"/>
      <c r="O36" s="17"/>
      <c r="Q36" s="46"/>
      <c r="T36"/>
    </row>
    <row r="37" spans="1:20">
      <c r="A37" s="66" t="s">
        <v>185</v>
      </c>
      <c r="B37" s="142">
        <f>100-B36</f>
        <v>100</v>
      </c>
      <c r="C37" s="44" t="s">
        <v>27</v>
      </c>
      <c r="D37" s="49"/>
      <c r="E37" s="23"/>
      <c r="F37" s="169"/>
      <c r="H37" s="149"/>
      <c r="O37" s="17"/>
      <c r="Q37" s="46"/>
      <c r="T37"/>
    </row>
    <row r="38" spans="1:20" ht="43.2">
      <c r="A38" s="65" t="s">
        <v>62</v>
      </c>
      <c r="B38" s="592">
        <v>0</v>
      </c>
      <c r="C38" s="44" t="s">
        <v>31</v>
      </c>
      <c r="D38" s="145" t="s">
        <v>945</v>
      </c>
      <c r="F38" s="169"/>
      <c r="H38" s="149"/>
      <c r="O38" s="17"/>
      <c r="Q38" s="46"/>
      <c r="T38"/>
    </row>
    <row r="39" spans="1:20">
      <c r="A39" s="65" t="s">
        <v>29</v>
      </c>
      <c r="B39" s="592">
        <v>0</v>
      </c>
      <c r="C39" s="44" t="s">
        <v>31</v>
      </c>
      <c r="D39" s="144" t="s">
        <v>881</v>
      </c>
      <c r="F39" s="169"/>
      <c r="H39" s="149"/>
      <c r="O39" s="17"/>
      <c r="Q39" s="46"/>
      <c r="T39"/>
    </row>
    <row r="40" spans="1:20" ht="28.8">
      <c r="A40" s="65" t="s">
        <v>198</v>
      </c>
      <c r="B40" s="592">
        <v>0</v>
      </c>
      <c r="C40" s="44" t="s">
        <v>27</v>
      </c>
      <c r="D40" s="144" t="s">
        <v>882</v>
      </c>
      <c r="F40" s="169"/>
      <c r="H40" s="149"/>
      <c r="Q40" s="46"/>
      <c r="T40"/>
    </row>
    <row r="41" spans="1:20" ht="87.6">
      <c r="A41" s="65" t="s">
        <v>43</v>
      </c>
      <c r="B41" s="126">
        <f>(SUM((B33=D199)*('Lähteained ja kütused'!B31/C183/C182*B34), (B33=D200)*('Lähteained ja kütused'!B32/C183/C182*B34), (B33=D201)*('Lähteained ja kütused'!B21/C183/C182*B34), (B33=D202)*('Lähteained ja kütused'!B25/C183/C182*B34), (B35=E201)*0)+SUM((B32=A199)*(B38*B37*0), (B32=A200)*(0+B38*B37*0), (B32=A201)*(0+B38*B37*0)))*C184</f>
        <v>0</v>
      </c>
      <c r="C41" s="44" t="s">
        <v>30</v>
      </c>
      <c r="D41" s="165" t="s">
        <v>998</v>
      </c>
      <c r="E41" s="125"/>
      <c r="F41" s="169"/>
      <c r="H41" s="149"/>
      <c r="Q41" s="46"/>
      <c r="T41"/>
    </row>
    <row r="42" spans="1:20" ht="46.2">
      <c r="A42" s="65" t="s">
        <v>44</v>
      </c>
      <c r="B42" s="126">
        <f>(B39*'Lähteained ja kütused'!B16/C183/C182)*C184-B41</f>
        <v>0</v>
      </c>
      <c r="C42" s="44" t="s">
        <v>30</v>
      </c>
      <c r="D42" s="49" t="s">
        <v>723</v>
      </c>
      <c r="E42" s="125"/>
      <c r="F42" s="169"/>
      <c r="H42" s="149"/>
      <c r="Q42" s="46"/>
      <c r="T42"/>
    </row>
    <row r="43" spans="1:20">
      <c r="B43" s="127"/>
      <c r="C43" s="128"/>
      <c r="D43" s="49"/>
      <c r="F43" s="169"/>
      <c r="H43" s="149"/>
      <c r="Q43" s="46"/>
      <c r="T43"/>
    </row>
    <row r="44" spans="1:20">
      <c r="A44" s="653" t="s">
        <v>711</v>
      </c>
      <c r="B44" s="654"/>
      <c r="C44" s="655"/>
      <c r="D44" s="145" t="s">
        <v>946</v>
      </c>
      <c r="F44" s="169"/>
      <c r="H44" s="149"/>
      <c r="Q44" s="46"/>
      <c r="T44"/>
    </row>
    <row r="45" spans="1:20" ht="28.8">
      <c r="A45" s="66" t="s">
        <v>61</v>
      </c>
      <c r="B45" s="302" t="s">
        <v>59</v>
      </c>
      <c r="C45" s="44"/>
      <c r="D45" s="145" t="s">
        <v>885</v>
      </c>
      <c r="E45" s="125"/>
      <c r="F45" s="169"/>
      <c r="H45" s="149"/>
      <c r="Q45" s="46"/>
      <c r="T45"/>
    </row>
    <row r="46" spans="1:20">
      <c r="A46" s="65" t="s">
        <v>123</v>
      </c>
      <c r="B46" s="592">
        <v>0</v>
      </c>
      <c r="C46" s="44" t="s">
        <v>27</v>
      </c>
      <c r="D46" s="17" t="s">
        <v>886</v>
      </c>
      <c r="F46" s="169"/>
      <c r="H46" s="149"/>
      <c r="Q46" s="46"/>
      <c r="T46"/>
    </row>
    <row r="47" spans="1:20">
      <c r="A47" s="66" t="s">
        <v>185</v>
      </c>
      <c r="B47" s="58">
        <f>100-B46</f>
        <v>100</v>
      </c>
      <c r="C47" s="44" t="s">
        <v>27</v>
      </c>
      <c r="D47" s="579"/>
      <c r="F47" s="169"/>
      <c r="H47" s="149"/>
      <c r="Q47" s="46"/>
      <c r="T47"/>
    </row>
    <row r="48" spans="1:20" ht="28.8">
      <c r="A48" s="65" t="s">
        <v>62</v>
      </c>
      <c r="B48" s="592">
        <v>0</v>
      </c>
      <c r="C48" s="44" t="s">
        <v>31</v>
      </c>
      <c r="D48" s="145" t="s">
        <v>887</v>
      </c>
      <c r="F48" s="169"/>
      <c r="H48" s="149"/>
      <c r="Q48" s="46"/>
      <c r="T48"/>
    </row>
    <row r="49" spans="1:20">
      <c r="A49" s="65" t="s">
        <v>201</v>
      </c>
      <c r="B49" s="592">
        <v>0</v>
      </c>
      <c r="C49" s="44" t="s">
        <v>31</v>
      </c>
      <c r="D49" s="144" t="s">
        <v>888</v>
      </c>
      <c r="F49" s="169"/>
      <c r="H49" s="149"/>
      <c r="Q49" s="46"/>
      <c r="T49"/>
    </row>
    <row r="50" spans="1:20" ht="73.8">
      <c r="A50" s="65" t="s">
        <v>43</v>
      </c>
      <c r="B50" s="126">
        <f>SUM((B45=A199)*(0+B48*B47*0), (B45=A200)*(0+B48*B47*0), (B45=A201)*(0+B48*B47*0))*C184</f>
        <v>0</v>
      </c>
      <c r="C50" s="44" t="s">
        <v>30</v>
      </c>
      <c r="D50" s="50" t="s">
        <v>999</v>
      </c>
      <c r="E50" s="125"/>
      <c r="F50" s="169"/>
      <c r="H50" s="149"/>
      <c r="Q50" s="46"/>
      <c r="T50"/>
    </row>
    <row r="51" spans="1:20" ht="60.6">
      <c r="A51" s="65" t="s">
        <v>44</v>
      </c>
      <c r="B51" s="163">
        <f>SUM((B45=A199)*(B47*B48/C181/C189*C188), (B45=A200)*(B48/C189*C188), (B45=A201)*(B48/C189*C188))*C184-B50</f>
        <v>0</v>
      </c>
      <c r="C51" s="44" t="s">
        <v>30</v>
      </c>
      <c r="D51" s="49" t="s">
        <v>947</v>
      </c>
      <c r="E51" s="125"/>
      <c r="F51" s="169"/>
      <c r="H51" s="149"/>
      <c r="Q51" s="46"/>
      <c r="T51"/>
    </row>
    <row r="52" spans="1:20">
      <c r="B52" s="55"/>
      <c r="C52" s="55"/>
      <c r="F52" s="169"/>
      <c r="H52" s="149"/>
      <c r="Q52" s="46"/>
      <c r="T52"/>
    </row>
    <row r="53" spans="1:20" ht="30" customHeight="1">
      <c r="A53" s="653" t="s">
        <v>32</v>
      </c>
      <c r="B53" s="654"/>
      <c r="C53" s="655"/>
      <c r="D53" s="145" t="s">
        <v>954</v>
      </c>
      <c r="E53" s="125"/>
      <c r="F53" s="169"/>
      <c r="H53" s="149"/>
      <c r="Q53" s="46"/>
      <c r="T53"/>
    </row>
    <row r="54" spans="1:20" ht="86.4">
      <c r="A54" s="66" t="s">
        <v>53</v>
      </c>
      <c r="B54" s="304" t="s">
        <v>59</v>
      </c>
      <c r="C54" s="44"/>
      <c r="D54" s="145" t="s">
        <v>987</v>
      </c>
      <c r="E54" s="125"/>
      <c r="F54" s="169"/>
      <c r="H54" s="149"/>
      <c r="T54"/>
    </row>
    <row r="55" spans="1:20" ht="43.2">
      <c r="A55" s="66" t="s">
        <v>35</v>
      </c>
      <c r="B55" s="302" t="s">
        <v>59</v>
      </c>
      <c r="C55" s="44"/>
      <c r="D55" s="145" t="s">
        <v>948</v>
      </c>
      <c r="E55" s="125"/>
      <c r="F55" s="169"/>
      <c r="H55" s="149"/>
      <c r="T55"/>
    </row>
    <row r="56" spans="1:20" ht="28.8">
      <c r="A56" s="66" t="s">
        <v>1006</v>
      </c>
      <c r="B56" s="591">
        <v>0</v>
      </c>
      <c r="C56" s="44" t="s">
        <v>28</v>
      </c>
      <c r="D56" s="145" t="s">
        <v>890</v>
      </c>
      <c r="F56" s="169"/>
      <c r="H56" s="149"/>
      <c r="T56"/>
    </row>
    <row r="57" spans="1:20">
      <c r="A57" s="66" t="s">
        <v>61</v>
      </c>
      <c r="B57" s="302" t="s">
        <v>59</v>
      </c>
      <c r="C57" s="44"/>
      <c r="D57" s="17" t="s">
        <v>949</v>
      </c>
      <c r="F57" s="169"/>
      <c r="H57" s="149"/>
      <c r="T57"/>
    </row>
    <row r="58" spans="1:20">
      <c r="A58" s="65" t="s">
        <v>123</v>
      </c>
      <c r="B58" s="592">
        <v>0</v>
      </c>
      <c r="C58" s="44" t="s">
        <v>27</v>
      </c>
      <c r="D58" s="17" t="s">
        <v>886</v>
      </c>
      <c r="E58" s="17"/>
      <c r="F58" s="169"/>
      <c r="H58" s="149"/>
      <c r="T58"/>
    </row>
    <row r="59" spans="1:20">
      <c r="A59" s="66" t="s">
        <v>185</v>
      </c>
      <c r="B59" s="58">
        <f>100-B58</f>
        <v>100</v>
      </c>
      <c r="C59" s="44" t="s">
        <v>27</v>
      </c>
      <c r="D59" s="578"/>
      <c r="F59" s="169"/>
      <c r="H59" s="149"/>
      <c r="I59" s="33"/>
      <c r="J59" s="33"/>
      <c r="T59"/>
    </row>
    <row r="60" spans="1:20" ht="43.2">
      <c r="A60" s="155" t="s">
        <v>62</v>
      </c>
      <c r="B60" s="593">
        <v>0</v>
      </c>
      <c r="C60" s="156" t="s">
        <v>31</v>
      </c>
      <c r="D60" s="154" t="s">
        <v>892</v>
      </c>
      <c r="F60" s="169"/>
      <c r="H60" s="149"/>
      <c r="I60" s="33"/>
      <c r="J60" s="33"/>
      <c r="T60"/>
    </row>
    <row r="61" spans="1:20" ht="28.8">
      <c r="A61" s="65" t="s">
        <v>195</v>
      </c>
      <c r="B61" s="592">
        <v>0</v>
      </c>
      <c r="C61" s="44" t="s">
        <v>31</v>
      </c>
      <c r="D61" s="154" t="s">
        <v>966</v>
      </c>
      <c r="F61" s="169"/>
      <c r="H61" s="149"/>
      <c r="I61" s="33"/>
      <c r="J61" s="33"/>
      <c r="T61"/>
    </row>
    <row r="62" spans="1:20" ht="28.8">
      <c r="A62" s="65" t="s">
        <v>196</v>
      </c>
      <c r="B62" s="592">
        <v>0</v>
      </c>
      <c r="C62" s="44" t="s">
        <v>31</v>
      </c>
      <c r="D62" s="144" t="s">
        <v>894</v>
      </c>
      <c r="E62" s="577"/>
      <c r="F62" s="169"/>
      <c r="G62" s="125"/>
      <c r="H62" s="149"/>
      <c r="I62" s="33"/>
      <c r="J62" s="33"/>
      <c r="T62"/>
    </row>
    <row r="63" spans="1:20" ht="88.8">
      <c r="A63" s="66" t="s">
        <v>43</v>
      </c>
      <c r="B63" s="129">
        <f>(SUM((B57=A199)*(B59*B60*0),(B57=A200)*(0+B59*B60*0),(B57=A201)*(0+B59*B60*0))+SUM((B55="Diisel")*(B56*Sõidukid!D7/C190+B61/C183/C182*'Lähteained ja kütused'!B8),(B55="Biometaan")*(B61*Sõidukid!C13/C183/C182+B61/C183/C182*'Lähteained ja kütused'!C92),(B55="Taastuvelekter")*0, (B55="Rohevesinik")*0))*C184</f>
        <v>0</v>
      </c>
      <c r="C63" s="44" t="s">
        <v>30</v>
      </c>
      <c r="D63" s="50" t="s">
        <v>1000</v>
      </c>
      <c r="E63" s="125"/>
      <c r="F63" s="169"/>
      <c r="G63" s="125"/>
      <c r="H63" s="149"/>
      <c r="I63" s="33"/>
      <c r="J63" s="33"/>
      <c r="T63"/>
    </row>
    <row r="64" spans="1:20" ht="45">
      <c r="A64" s="66" t="s">
        <v>44</v>
      </c>
      <c r="B64" s="173">
        <f>(SUM((B55=G199)*(B56*Sõidukid!D7/C190+B62/C183/C182*'Lähteained ja kütused'!B8), (B55=G200)*(B56*Sõidukid!D7/C190+B62/C183/C182*'Lähteained ja kütused'!B8),(B55=G201)*(B56*Sõidukid!D7/C190+B62/C183/C182*'Lähteained ja kütused'!B8),(B57=A199)*(0+B60/C189*C188),(B57=A200)*(0+B60/C189*C188), (B57=A201)*(0*B60/C189*C188)))*C184-B63</f>
        <v>0</v>
      </c>
      <c r="C64" s="44" t="s">
        <v>30</v>
      </c>
      <c r="D64" s="49" t="s">
        <v>950</v>
      </c>
      <c r="E64" s="125"/>
      <c r="F64" s="169"/>
      <c r="H64" s="149"/>
      <c r="T64"/>
    </row>
    <row r="65" spans="1:20">
      <c r="A65" s="180"/>
      <c r="B65" s="179"/>
      <c r="C65" s="55"/>
      <c r="E65" s="17"/>
      <c r="F65" s="169"/>
      <c r="G65" s="46"/>
      <c r="H65" s="149"/>
      <c r="T65"/>
    </row>
    <row r="66" spans="1:20">
      <c r="A66" s="653" t="s">
        <v>200</v>
      </c>
      <c r="B66" s="654"/>
      <c r="C66" s="655"/>
      <c r="D66" s="145" t="s">
        <v>951</v>
      </c>
      <c r="E66" s="17"/>
      <c r="F66" s="169"/>
      <c r="G66" s="33"/>
      <c r="H66" s="149"/>
      <c r="T66"/>
    </row>
    <row r="67" spans="1:20">
      <c r="A67" s="66" t="s">
        <v>61</v>
      </c>
      <c r="B67" s="305" t="s">
        <v>59</v>
      </c>
      <c r="C67" s="44"/>
      <c r="D67" s="17" t="s">
        <v>885</v>
      </c>
      <c r="E67" s="17"/>
      <c r="F67" s="169"/>
      <c r="H67" s="149"/>
      <c r="T67"/>
    </row>
    <row r="68" spans="1:20">
      <c r="A68" s="65" t="s">
        <v>123</v>
      </c>
      <c r="B68" s="582">
        <v>0</v>
      </c>
      <c r="C68" s="44" t="s">
        <v>27</v>
      </c>
      <c r="D68" s="17" t="s">
        <v>886</v>
      </c>
      <c r="E68" s="33"/>
      <c r="F68" s="169"/>
      <c r="H68" s="149"/>
      <c r="L68" s="33"/>
      <c r="T68"/>
    </row>
    <row r="69" spans="1:20" ht="25.5" customHeight="1">
      <c r="A69" s="66" t="s">
        <v>185</v>
      </c>
      <c r="B69" s="130">
        <f>100-B68</f>
        <v>100</v>
      </c>
      <c r="C69" s="44" t="s">
        <v>27</v>
      </c>
      <c r="D69" s="578"/>
      <c r="E69" s="33"/>
      <c r="F69" s="169"/>
      <c r="H69" s="149"/>
      <c r="T69"/>
    </row>
    <row r="70" spans="1:20" ht="28.8">
      <c r="A70" s="66" t="s">
        <v>62</v>
      </c>
      <c r="B70" s="582">
        <v>0</v>
      </c>
      <c r="C70" s="44" t="s">
        <v>31</v>
      </c>
      <c r="D70" s="145" t="s">
        <v>897</v>
      </c>
      <c r="E70" s="172"/>
      <c r="F70" s="169"/>
      <c r="H70" s="149"/>
      <c r="T70"/>
    </row>
    <row r="71" spans="1:20">
      <c r="A71" s="65" t="s">
        <v>202</v>
      </c>
      <c r="B71" s="582">
        <v>0</v>
      </c>
      <c r="C71" s="44" t="s">
        <v>31</v>
      </c>
      <c r="D71" s="144" t="s">
        <v>888</v>
      </c>
      <c r="F71" s="169"/>
      <c r="H71" s="149"/>
      <c r="T71"/>
    </row>
    <row r="72" spans="1:20" ht="73.8">
      <c r="A72" s="65" t="s">
        <v>43</v>
      </c>
      <c r="B72" s="129">
        <f>SUM((B67=A199)*(0+B70*B69*0), (B67=A200)*(0+B70*B69*0), (B67=A201)*(0+B70*B69*0))*C184</f>
        <v>0</v>
      </c>
      <c r="C72" s="44" t="s">
        <v>30</v>
      </c>
      <c r="D72" s="50" t="s">
        <v>1001</v>
      </c>
      <c r="E72" s="125"/>
      <c r="F72" s="169"/>
      <c r="H72" s="149"/>
      <c r="T72"/>
    </row>
    <row r="73" spans="1:20" ht="60.6">
      <c r="A73" s="65" t="s">
        <v>44</v>
      </c>
      <c r="B73" s="129">
        <f>SUM((B67=A199)*(B69*B70/C181/C189*C188), (B67=A200)*(0+B70/C189*C188), (B67=A201)*(0+B70/C189*C188))*C184-B72</f>
        <v>0</v>
      </c>
      <c r="C73" s="44" t="s">
        <v>30</v>
      </c>
      <c r="D73" s="49" t="s">
        <v>825</v>
      </c>
      <c r="E73" s="125"/>
      <c r="F73" s="169"/>
      <c r="H73" s="149"/>
      <c r="K73" s="33"/>
      <c r="T73"/>
    </row>
    <row r="74" spans="1:20">
      <c r="B74" s="131"/>
      <c r="C74" s="55"/>
      <c r="E74" s="18"/>
      <c r="F74" s="169"/>
      <c r="H74" s="149"/>
      <c r="T74"/>
    </row>
    <row r="75" spans="1:20">
      <c r="A75" s="660" t="s">
        <v>97</v>
      </c>
      <c r="B75" s="661"/>
      <c r="C75" s="662"/>
      <c r="D75" s="145"/>
      <c r="F75" s="169"/>
      <c r="H75" s="149"/>
      <c r="T75"/>
    </row>
    <row r="76" spans="1:20">
      <c r="A76" s="67" t="s">
        <v>21</v>
      </c>
      <c r="B76" s="594">
        <v>0</v>
      </c>
      <c r="C76" s="44" t="s">
        <v>24</v>
      </c>
      <c r="D76" s="145" t="s">
        <v>952</v>
      </c>
      <c r="F76" s="169"/>
      <c r="H76" s="149"/>
      <c r="T76"/>
    </row>
    <row r="77" spans="1:20">
      <c r="A77" s="67" t="s">
        <v>22</v>
      </c>
      <c r="B77" s="130" t="s">
        <v>25</v>
      </c>
      <c r="C77" s="44"/>
      <c r="F77" s="169"/>
      <c r="H77" s="149"/>
      <c r="T77"/>
    </row>
    <row r="78" spans="1:20" ht="28.8">
      <c r="A78" s="67" t="s">
        <v>23</v>
      </c>
      <c r="B78" s="306">
        <v>0</v>
      </c>
      <c r="C78" s="44" t="s">
        <v>28</v>
      </c>
      <c r="D78" s="145" t="s">
        <v>955</v>
      </c>
      <c r="F78" s="169"/>
      <c r="H78" s="149"/>
      <c r="T78"/>
    </row>
    <row r="79" spans="1:20" ht="43.2">
      <c r="A79" s="67" t="s">
        <v>68</v>
      </c>
      <c r="B79" s="583">
        <v>0</v>
      </c>
      <c r="C79" s="44" t="s">
        <v>31</v>
      </c>
      <c r="D79" s="145" t="s">
        <v>960</v>
      </c>
      <c r="F79" s="169"/>
      <c r="H79" s="149"/>
      <c r="T79"/>
    </row>
    <row r="80" spans="1:20">
      <c r="A80" s="67" t="s">
        <v>63</v>
      </c>
      <c r="B80" s="583">
        <v>0</v>
      </c>
      <c r="C80" s="44" t="s">
        <v>31</v>
      </c>
      <c r="D80" s="145" t="s">
        <v>961</v>
      </c>
      <c r="F80" s="169"/>
      <c r="H80" s="149"/>
      <c r="T80"/>
    </row>
    <row r="81" spans="1:20" ht="30.6">
      <c r="A81" s="67" t="s">
        <v>43</v>
      </c>
      <c r="B81" s="129">
        <f>B78*0</f>
        <v>0</v>
      </c>
      <c r="C81" s="44" t="s">
        <v>30</v>
      </c>
      <c r="D81" s="50" t="s">
        <v>833</v>
      </c>
      <c r="F81" s="169"/>
      <c r="G81" s="74"/>
      <c r="H81" s="149"/>
      <c r="Q81" s="46"/>
      <c r="T81"/>
    </row>
    <row r="82" spans="1:20" ht="15.6">
      <c r="A82" s="67" t="s">
        <v>44</v>
      </c>
      <c r="B82" s="129">
        <f>(B78*Sõidukid!D10/C190+B79*'Lähteained ja kütused'!B8/C183/C182)*C184-B81</f>
        <v>0</v>
      </c>
      <c r="C82" s="44" t="s">
        <v>30</v>
      </c>
      <c r="D82" s="49" t="s">
        <v>259</v>
      </c>
      <c r="F82" s="169"/>
      <c r="H82" s="149"/>
      <c r="T82"/>
    </row>
    <row r="83" spans="1:20">
      <c r="B83" s="131"/>
      <c r="C83" s="55"/>
      <c r="F83" s="169"/>
      <c r="H83" s="149"/>
      <c r="T83"/>
    </row>
    <row r="84" spans="1:20">
      <c r="A84" s="660" t="s">
        <v>700</v>
      </c>
      <c r="B84" s="661"/>
      <c r="C84" s="662"/>
      <c r="D84" s="145"/>
      <c r="F84" s="169"/>
      <c r="H84" s="149"/>
      <c r="T84"/>
    </row>
    <row r="85" spans="1:20">
      <c r="A85" s="67" t="s">
        <v>104</v>
      </c>
      <c r="B85" s="594">
        <v>0</v>
      </c>
      <c r="C85" s="44" t="s">
        <v>24</v>
      </c>
      <c r="D85" s="145" t="s">
        <v>952</v>
      </c>
      <c r="F85" s="169"/>
      <c r="H85" s="149"/>
      <c r="T85"/>
    </row>
    <row r="86" spans="1:20">
      <c r="A86" s="67" t="s">
        <v>41</v>
      </c>
      <c r="B86" s="130" t="s">
        <v>25</v>
      </c>
      <c r="C86" s="44"/>
      <c r="F86" s="169"/>
      <c r="H86" s="149"/>
      <c r="T86"/>
    </row>
    <row r="87" spans="1:20" ht="28.8">
      <c r="A87" s="67" t="s">
        <v>42</v>
      </c>
      <c r="B87" s="306">
        <v>0</v>
      </c>
      <c r="C87" s="44" t="s">
        <v>28</v>
      </c>
      <c r="D87" s="145" t="s">
        <v>962</v>
      </c>
      <c r="F87" s="169"/>
      <c r="H87" s="149"/>
      <c r="T87"/>
    </row>
    <row r="88" spans="1:20" ht="43.2">
      <c r="A88" s="67" t="s">
        <v>69</v>
      </c>
      <c r="B88" s="583">
        <v>0</v>
      </c>
      <c r="C88" s="44" t="s">
        <v>31</v>
      </c>
      <c r="D88" s="145" t="s">
        <v>963</v>
      </c>
      <c r="F88" s="169"/>
      <c r="H88" s="149"/>
      <c r="T88"/>
    </row>
    <row r="89" spans="1:20">
      <c r="A89" s="67" t="s">
        <v>64</v>
      </c>
      <c r="B89" s="583">
        <v>0</v>
      </c>
      <c r="C89" s="44" t="s">
        <v>31</v>
      </c>
      <c r="D89" s="145" t="s">
        <v>961</v>
      </c>
      <c r="F89" s="169"/>
      <c r="H89" s="149"/>
      <c r="T89"/>
    </row>
    <row r="90" spans="1:20" ht="30.6">
      <c r="A90" s="67" t="s">
        <v>43</v>
      </c>
      <c r="B90" s="129">
        <f>B87*0</f>
        <v>0</v>
      </c>
      <c r="C90" s="44" t="s">
        <v>30</v>
      </c>
      <c r="D90" s="50" t="s">
        <v>833</v>
      </c>
      <c r="F90" s="169"/>
      <c r="H90" s="149"/>
      <c r="Q90" s="46"/>
      <c r="T90"/>
    </row>
    <row r="91" spans="1:20" ht="29.4">
      <c r="A91" s="67" t="s">
        <v>44</v>
      </c>
      <c r="B91" s="129">
        <f>(B87*Sõidukid!D4/C190+B88*'Lähteained ja kütused'!B8/C183/C182)*C184-B90</f>
        <v>0</v>
      </c>
      <c r="C91" s="44" t="s">
        <v>30</v>
      </c>
      <c r="D91" s="49" t="s">
        <v>834</v>
      </c>
      <c r="F91" s="169"/>
      <c r="H91" s="149"/>
      <c r="T91"/>
    </row>
    <row r="92" spans="1:20">
      <c r="B92" s="131"/>
      <c r="C92" s="55"/>
      <c r="F92" s="169"/>
      <c r="H92" s="149"/>
      <c r="T92"/>
    </row>
    <row r="93" spans="1:20">
      <c r="A93" s="660" t="s">
        <v>701</v>
      </c>
      <c r="B93" s="661"/>
      <c r="C93" s="662"/>
      <c r="D93" s="145"/>
      <c r="F93" s="169"/>
      <c r="H93" s="149"/>
      <c r="T93"/>
    </row>
    <row r="94" spans="1:20">
      <c r="A94" s="67" t="s">
        <v>104</v>
      </c>
      <c r="B94" s="305">
        <v>0</v>
      </c>
      <c r="C94" s="44" t="s">
        <v>24</v>
      </c>
      <c r="D94" s="145" t="s">
        <v>952</v>
      </c>
      <c r="F94" s="169"/>
      <c r="H94" s="149"/>
      <c r="T94"/>
    </row>
    <row r="95" spans="1:20">
      <c r="A95" s="67" t="s">
        <v>41</v>
      </c>
      <c r="B95" s="130" t="s">
        <v>25</v>
      </c>
      <c r="C95" s="44"/>
      <c r="F95" s="169"/>
      <c r="H95" s="149"/>
      <c r="T95"/>
    </row>
    <row r="96" spans="1:20" ht="28.8">
      <c r="A96" s="67" t="s">
        <v>42</v>
      </c>
      <c r="B96" s="306">
        <v>0</v>
      </c>
      <c r="C96" s="44" t="s">
        <v>28</v>
      </c>
      <c r="D96" s="145" t="s">
        <v>962</v>
      </c>
      <c r="F96" s="169"/>
      <c r="H96" s="149"/>
      <c r="T96"/>
    </row>
    <row r="97" spans="1:20" ht="43.2">
      <c r="A97" s="67" t="s">
        <v>69</v>
      </c>
      <c r="B97" s="583">
        <v>0</v>
      </c>
      <c r="C97" s="44" t="s">
        <v>31</v>
      </c>
      <c r="D97" s="145" t="s">
        <v>963</v>
      </c>
      <c r="F97" s="169"/>
      <c r="H97" s="149"/>
      <c r="T97"/>
    </row>
    <row r="98" spans="1:20">
      <c r="A98" s="67" t="s">
        <v>64</v>
      </c>
      <c r="B98" s="583">
        <v>0</v>
      </c>
      <c r="C98" s="44" t="s">
        <v>31</v>
      </c>
      <c r="D98" s="145" t="s">
        <v>961</v>
      </c>
      <c r="F98" s="169"/>
      <c r="H98" s="149"/>
      <c r="T98"/>
    </row>
    <row r="99" spans="1:20" ht="30.6">
      <c r="A99" s="67" t="s">
        <v>43</v>
      </c>
      <c r="B99" s="129">
        <f>B96*0</f>
        <v>0</v>
      </c>
      <c r="C99" s="44" t="s">
        <v>30</v>
      </c>
      <c r="D99" s="50" t="s">
        <v>833</v>
      </c>
      <c r="F99" s="169"/>
      <c r="H99" s="149"/>
      <c r="T99"/>
    </row>
    <row r="100" spans="1:20" ht="29.4">
      <c r="A100" s="67" t="s">
        <v>44</v>
      </c>
      <c r="B100" s="129">
        <f>(B96*Sõidukid!D3/C190+B97*'Lähteained ja kütused'!B9/C183/C182)*C184-B99</f>
        <v>0</v>
      </c>
      <c r="C100" s="44" t="s">
        <v>30</v>
      </c>
      <c r="D100" s="49" t="s">
        <v>835</v>
      </c>
      <c r="F100" s="169"/>
      <c r="H100" s="149"/>
      <c r="T100"/>
    </row>
    <row r="101" spans="1:20">
      <c r="B101" s="131"/>
      <c r="C101" s="55"/>
      <c r="F101" s="169"/>
      <c r="H101" s="149"/>
      <c r="T101"/>
    </row>
    <row r="102" spans="1:20">
      <c r="A102" s="660" t="s">
        <v>702</v>
      </c>
      <c r="B102" s="661"/>
      <c r="C102" s="662"/>
      <c r="D102" s="145"/>
      <c r="F102" s="169"/>
      <c r="H102" s="149"/>
      <c r="T102"/>
    </row>
    <row r="103" spans="1:20">
      <c r="A103" s="67" t="s">
        <v>104</v>
      </c>
      <c r="B103" s="305">
        <v>0</v>
      </c>
      <c r="C103" s="44" t="s">
        <v>24</v>
      </c>
      <c r="D103" s="145" t="s">
        <v>952</v>
      </c>
      <c r="F103" s="169"/>
      <c r="H103" s="149"/>
      <c r="T103"/>
    </row>
    <row r="104" spans="1:20">
      <c r="A104" s="67" t="s">
        <v>41</v>
      </c>
      <c r="B104" s="130" t="s">
        <v>25</v>
      </c>
      <c r="C104" s="44"/>
      <c r="F104" s="169"/>
      <c r="H104" s="149"/>
      <c r="T104"/>
    </row>
    <row r="105" spans="1:20" ht="28.8">
      <c r="A105" s="67" t="s">
        <v>42</v>
      </c>
      <c r="B105" s="306">
        <v>0</v>
      </c>
      <c r="C105" s="44" t="s">
        <v>28</v>
      </c>
      <c r="D105" s="145" t="s">
        <v>962</v>
      </c>
      <c r="F105" s="169"/>
      <c r="H105" s="149"/>
      <c r="T105"/>
    </row>
    <row r="106" spans="1:20" ht="43.2">
      <c r="A106" s="67" t="s">
        <v>69</v>
      </c>
      <c r="B106" s="583">
        <v>0</v>
      </c>
      <c r="C106" s="44" t="s">
        <v>31</v>
      </c>
      <c r="D106" s="145" t="s">
        <v>963</v>
      </c>
      <c r="F106" s="169"/>
      <c r="H106" s="149"/>
      <c r="T106"/>
    </row>
    <row r="107" spans="1:20">
      <c r="A107" s="67" t="s">
        <v>64</v>
      </c>
      <c r="B107" s="583">
        <v>0</v>
      </c>
      <c r="C107" s="44" t="s">
        <v>31</v>
      </c>
      <c r="D107" s="145" t="s">
        <v>961</v>
      </c>
      <c r="F107" s="169"/>
      <c r="H107" s="149"/>
      <c r="T107"/>
    </row>
    <row r="108" spans="1:20" ht="30.6">
      <c r="A108" s="67" t="s">
        <v>43</v>
      </c>
      <c r="B108" s="129">
        <f>B105*0</f>
        <v>0</v>
      </c>
      <c r="C108" s="44" t="s">
        <v>30</v>
      </c>
      <c r="D108" s="50" t="s">
        <v>833</v>
      </c>
      <c r="F108" s="169"/>
      <c r="H108" s="149"/>
      <c r="T108"/>
    </row>
    <row r="109" spans="1:20" ht="29.4">
      <c r="A109" s="67" t="s">
        <v>44</v>
      </c>
      <c r="B109" s="129">
        <f>(B105*Sõidukid!D6/C190+B106*'Lähteained ja kütused'!B8/C183/C182)*C184-B108</f>
        <v>0</v>
      </c>
      <c r="C109" s="44" t="s">
        <v>30</v>
      </c>
      <c r="D109" s="49" t="s">
        <v>836</v>
      </c>
      <c r="F109" s="169"/>
      <c r="H109" s="149"/>
      <c r="T109"/>
    </row>
    <row r="110" spans="1:20">
      <c r="B110" s="131"/>
      <c r="C110" s="55"/>
      <c r="D110" s="48"/>
      <c r="E110" s="18"/>
      <c r="F110" s="169"/>
      <c r="H110" s="149"/>
      <c r="T110"/>
    </row>
    <row r="111" spans="1:20">
      <c r="A111" s="660" t="s">
        <v>703</v>
      </c>
      <c r="B111" s="661"/>
      <c r="C111" s="662"/>
      <c r="D111" s="145"/>
      <c r="E111" s="18"/>
      <c r="F111" s="169"/>
      <c r="H111" s="149"/>
      <c r="T111"/>
    </row>
    <row r="112" spans="1:20">
      <c r="A112" s="67" t="s">
        <v>104</v>
      </c>
      <c r="B112" s="305">
        <v>0</v>
      </c>
      <c r="C112" s="44" t="s">
        <v>24</v>
      </c>
      <c r="D112" s="145" t="s">
        <v>952</v>
      </c>
      <c r="E112" s="18"/>
      <c r="F112" s="169"/>
      <c r="H112" s="149"/>
      <c r="T112"/>
    </row>
    <row r="113" spans="1:20">
      <c r="A113" s="67" t="s">
        <v>41</v>
      </c>
      <c r="B113" s="130" t="s">
        <v>25</v>
      </c>
      <c r="C113" s="44"/>
      <c r="E113" s="18"/>
      <c r="F113" s="169"/>
      <c r="H113" s="149"/>
      <c r="T113"/>
    </row>
    <row r="114" spans="1:20" ht="28.8">
      <c r="A114" s="67" t="s">
        <v>42</v>
      </c>
      <c r="B114" s="306">
        <v>0</v>
      </c>
      <c r="C114" s="44" t="s">
        <v>28</v>
      </c>
      <c r="D114" s="145" t="s">
        <v>964</v>
      </c>
      <c r="E114" s="18"/>
      <c r="F114" s="169"/>
      <c r="H114" s="149"/>
      <c r="T114"/>
    </row>
    <row r="115" spans="1:20" ht="43.2">
      <c r="A115" s="67" t="s">
        <v>69</v>
      </c>
      <c r="B115" s="583">
        <v>0</v>
      </c>
      <c r="C115" s="44" t="s">
        <v>31</v>
      </c>
      <c r="D115" s="145" t="s">
        <v>963</v>
      </c>
      <c r="E115" s="18"/>
      <c r="F115" s="169"/>
      <c r="H115" s="149"/>
      <c r="T115"/>
    </row>
    <row r="116" spans="1:20">
      <c r="A116" s="67" t="s">
        <v>64</v>
      </c>
      <c r="B116" s="583">
        <v>0</v>
      </c>
      <c r="C116" s="44" t="s">
        <v>31</v>
      </c>
      <c r="D116" s="145" t="s">
        <v>961</v>
      </c>
      <c r="E116" s="18"/>
      <c r="F116" s="169"/>
      <c r="H116" s="149"/>
      <c r="T116"/>
    </row>
    <row r="117" spans="1:20" ht="30.6">
      <c r="A117" s="67" t="s">
        <v>43</v>
      </c>
      <c r="B117" s="129">
        <f>B114*0</f>
        <v>0</v>
      </c>
      <c r="C117" s="44" t="s">
        <v>30</v>
      </c>
      <c r="D117" s="50" t="s">
        <v>833</v>
      </c>
      <c r="E117" s="18"/>
      <c r="F117" s="169"/>
      <c r="H117" s="149"/>
      <c r="T117"/>
    </row>
    <row r="118" spans="1:20" ht="29.4">
      <c r="A118" s="67" t="s">
        <v>44</v>
      </c>
      <c r="B118" s="129">
        <f>(B114*Sõidukid!D5/C190+B115*'Lähteained ja kütused'!B9/C183/C182)*C184-B117</f>
        <v>0</v>
      </c>
      <c r="C118" s="44" t="s">
        <v>30</v>
      </c>
      <c r="D118" s="49" t="s">
        <v>837</v>
      </c>
      <c r="E118" s="18"/>
      <c r="F118" s="169"/>
      <c r="H118" s="149"/>
      <c r="T118"/>
    </row>
    <row r="119" spans="1:20">
      <c r="B119" s="131"/>
      <c r="C119" s="55"/>
      <c r="D119" s="48"/>
      <c r="E119" s="18"/>
      <c r="F119" s="169"/>
      <c r="H119" s="149"/>
      <c r="T119"/>
    </row>
    <row r="120" spans="1:20">
      <c r="A120" s="660" t="s">
        <v>186</v>
      </c>
      <c r="B120" s="661"/>
      <c r="C120" s="662"/>
      <c r="D120" s="175"/>
      <c r="F120" s="169"/>
      <c r="H120" s="149"/>
      <c r="T120"/>
    </row>
    <row r="121" spans="1:20">
      <c r="A121" s="67" t="s">
        <v>100</v>
      </c>
      <c r="B121" s="305">
        <v>0</v>
      </c>
      <c r="C121" s="44" t="s">
        <v>24</v>
      </c>
      <c r="D121" s="145" t="s">
        <v>952</v>
      </c>
      <c r="F121" s="169"/>
      <c r="H121" s="149"/>
      <c r="T121"/>
    </row>
    <row r="122" spans="1:20">
      <c r="A122" s="67" t="s">
        <v>101</v>
      </c>
      <c r="B122" s="130" t="s">
        <v>25</v>
      </c>
      <c r="C122" s="44"/>
      <c r="F122" s="169"/>
      <c r="H122" s="149"/>
      <c r="T122"/>
    </row>
    <row r="123" spans="1:20" ht="28.8">
      <c r="A123" s="67" t="s">
        <v>102</v>
      </c>
      <c r="B123" s="306">
        <v>0</v>
      </c>
      <c r="C123" s="44" t="s">
        <v>28</v>
      </c>
      <c r="D123" s="145" t="s">
        <v>964</v>
      </c>
      <c r="F123" s="169"/>
      <c r="H123" s="149"/>
      <c r="T123"/>
    </row>
    <row r="124" spans="1:20" ht="43.2">
      <c r="A124" s="67" t="s">
        <v>68</v>
      </c>
      <c r="B124" s="583">
        <v>0</v>
      </c>
      <c r="C124" s="44" t="s">
        <v>31</v>
      </c>
      <c r="D124" s="145" t="s">
        <v>963</v>
      </c>
      <c r="F124" s="169"/>
      <c r="H124" s="149"/>
      <c r="T124"/>
    </row>
    <row r="125" spans="1:20">
      <c r="A125" s="67" t="s">
        <v>103</v>
      </c>
      <c r="B125" s="583">
        <v>0</v>
      </c>
      <c r="C125" s="44" t="s">
        <v>31</v>
      </c>
      <c r="D125" s="145" t="s">
        <v>961</v>
      </c>
      <c r="F125" s="169"/>
      <c r="H125" s="149"/>
      <c r="T125"/>
    </row>
    <row r="126" spans="1:20" ht="30.6">
      <c r="A126" s="67" t="s">
        <v>43</v>
      </c>
      <c r="B126" s="129">
        <f>B123*0</f>
        <v>0</v>
      </c>
      <c r="C126" s="44" t="s">
        <v>30</v>
      </c>
      <c r="D126" s="50" t="s">
        <v>833</v>
      </c>
      <c r="F126" s="169"/>
      <c r="H126" s="149"/>
      <c r="Q126" s="46"/>
      <c r="T126"/>
    </row>
    <row r="127" spans="1:20" ht="29.4">
      <c r="A127" s="67" t="s">
        <v>44</v>
      </c>
      <c r="B127" s="129">
        <f>(B123*Sõidukid!D7/C190+B124*'Lähteained ja kütused'!B8/C183/C182)*C184-B126</f>
        <v>0</v>
      </c>
      <c r="C127" s="44" t="s">
        <v>30</v>
      </c>
      <c r="D127" s="49" t="s">
        <v>991</v>
      </c>
      <c r="F127" s="169"/>
      <c r="H127" s="149"/>
      <c r="T127"/>
    </row>
    <row r="128" spans="1:20">
      <c r="B128" s="131"/>
      <c r="C128" s="55"/>
      <c r="D128" s="50"/>
      <c r="F128" s="169"/>
      <c r="H128" s="149"/>
      <c r="T128"/>
    </row>
    <row r="129" spans="1:20">
      <c r="A129" s="660" t="s">
        <v>98</v>
      </c>
      <c r="B129" s="661"/>
      <c r="C129" s="662"/>
      <c r="D129" s="145"/>
      <c r="F129" s="169"/>
      <c r="H129" s="149"/>
      <c r="T129"/>
    </row>
    <row r="130" spans="1:20">
      <c r="A130" s="67" t="s">
        <v>45</v>
      </c>
      <c r="B130" s="305">
        <v>0</v>
      </c>
      <c r="C130" s="44" t="s">
        <v>24</v>
      </c>
      <c r="D130" s="145" t="s">
        <v>952</v>
      </c>
      <c r="F130" s="169"/>
      <c r="H130" s="149"/>
      <c r="T130"/>
    </row>
    <row r="131" spans="1:20">
      <c r="A131" s="67" t="s">
        <v>46</v>
      </c>
      <c r="B131" s="130" t="s">
        <v>25</v>
      </c>
      <c r="C131" s="44"/>
      <c r="F131" s="169"/>
      <c r="H131" s="149"/>
      <c r="T131"/>
    </row>
    <row r="132" spans="1:20" ht="28.8">
      <c r="A132" s="67" t="s">
        <v>50</v>
      </c>
      <c r="B132" s="306">
        <v>0</v>
      </c>
      <c r="C132" s="44" t="s">
        <v>28</v>
      </c>
      <c r="D132" s="145" t="s">
        <v>962</v>
      </c>
      <c r="F132" s="169"/>
      <c r="H132" s="149"/>
      <c r="T132"/>
    </row>
    <row r="133" spans="1:20" ht="43.2">
      <c r="A133" s="67" t="s">
        <v>68</v>
      </c>
      <c r="B133" s="583">
        <v>0</v>
      </c>
      <c r="C133" s="44" t="s">
        <v>31</v>
      </c>
      <c r="D133" s="145" t="s">
        <v>963</v>
      </c>
      <c r="F133" s="169"/>
      <c r="H133" s="149"/>
      <c r="T133"/>
    </row>
    <row r="134" spans="1:20">
      <c r="A134" s="67" t="s">
        <v>65</v>
      </c>
      <c r="B134" s="583">
        <v>0</v>
      </c>
      <c r="C134" s="44" t="s">
        <v>31</v>
      </c>
      <c r="D134" s="145" t="s">
        <v>961</v>
      </c>
      <c r="F134" s="169"/>
      <c r="H134" s="149"/>
      <c r="T134"/>
    </row>
    <row r="135" spans="1:20" ht="30.6">
      <c r="A135" s="67" t="s">
        <v>43</v>
      </c>
      <c r="B135" s="129">
        <f>B132*0</f>
        <v>0</v>
      </c>
      <c r="C135" s="44" t="s">
        <v>30</v>
      </c>
      <c r="D135" s="50" t="s">
        <v>833</v>
      </c>
      <c r="F135" s="169"/>
      <c r="H135" s="149"/>
      <c r="Q135" s="46"/>
      <c r="T135"/>
    </row>
    <row r="136" spans="1:20" ht="29.4">
      <c r="A136" s="67" t="s">
        <v>44</v>
      </c>
      <c r="B136" s="129">
        <f>(B132*Sõidukid!D8/C190+B133*'Lähteained ja kütused'!B8/C183/C182)*C184-B135</f>
        <v>0</v>
      </c>
      <c r="C136" s="44" t="s">
        <v>30</v>
      </c>
      <c r="D136" s="49" t="s">
        <v>260</v>
      </c>
      <c r="F136" s="169"/>
      <c r="H136" s="149"/>
      <c r="T136"/>
    </row>
    <row r="137" spans="1:20">
      <c r="B137" s="131"/>
      <c r="C137" s="55"/>
      <c r="F137" s="169"/>
      <c r="H137" s="149"/>
      <c r="T137"/>
    </row>
    <row r="138" spans="1:20">
      <c r="A138" s="660" t="s">
        <v>99</v>
      </c>
      <c r="B138" s="661"/>
      <c r="C138" s="662"/>
      <c r="D138" s="145"/>
      <c r="F138" s="169"/>
      <c r="H138" s="149"/>
      <c r="T138"/>
    </row>
    <row r="139" spans="1:20">
      <c r="A139" s="67" t="s">
        <v>47</v>
      </c>
      <c r="B139" s="305">
        <v>0</v>
      </c>
      <c r="C139" s="44" t="s">
        <v>24</v>
      </c>
      <c r="D139" s="145" t="s">
        <v>953</v>
      </c>
      <c r="F139" s="169"/>
      <c r="H139" s="149"/>
      <c r="T139"/>
    </row>
    <row r="140" spans="1:20">
      <c r="A140" s="67" t="s">
        <v>48</v>
      </c>
      <c r="B140" s="130" t="s">
        <v>25</v>
      </c>
      <c r="C140" s="44"/>
      <c r="F140" s="169"/>
      <c r="H140" s="149"/>
      <c r="T140"/>
    </row>
    <row r="141" spans="1:20" ht="28.8">
      <c r="A141" s="67" t="s">
        <v>49</v>
      </c>
      <c r="B141" s="306">
        <v>0</v>
      </c>
      <c r="C141" s="44" t="s">
        <v>67</v>
      </c>
      <c r="D141" s="145" t="s">
        <v>955</v>
      </c>
      <c r="F141" s="169"/>
      <c r="H141" s="149"/>
      <c r="T141"/>
    </row>
    <row r="142" spans="1:20" ht="43.2">
      <c r="A142" s="67" t="s">
        <v>68</v>
      </c>
      <c r="B142" s="583">
        <v>0</v>
      </c>
      <c r="C142" s="44" t="s">
        <v>31</v>
      </c>
      <c r="D142" s="145" t="s">
        <v>956</v>
      </c>
      <c r="F142" s="169"/>
      <c r="H142" s="149"/>
      <c r="T142"/>
    </row>
    <row r="143" spans="1:20" ht="28.8">
      <c r="A143" s="67" t="s">
        <v>66</v>
      </c>
      <c r="B143" s="583">
        <v>0</v>
      </c>
      <c r="C143" s="44" t="s">
        <v>31</v>
      </c>
      <c r="D143" s="145" t="s">
        <v>957</v>
      </c>
      <c r="F143" s="169"/>
      <c r="H143" s="149"/>
      <c r="T143"/>
    </row>
    <row r="144" spans="1:20" ht="30.6">
      <c r="A144" s="67" t="s">
        <v>43</v>
      </c>
      <c r="B144" s="129">
        <f>B141*0</f>
        <v>0</v>
      </c>
      <c r="C144" s="44" t="s">
        <v>30</v>
      </c>
      <c r="D144" s="50" t="s">
        <v>833</v>
      </c>
      <c r="F144" s="169"/>
      <c r="H144" s="149"/>
      <c r="T144"/>
    </row>
    <row r="145" spans="1:20" ht="29.4">
      <c r="A145" s="67" t="s">
        <v>44</v>
      </c>
      <c r="B145" s="129">
        <f>(B141*Sõidukid!D9/C190+B142*'Lähteained ja kütused'!B8/C183/C182)*C184-B144</f>
        <v>0</v>
      </c>
      <c r="C145" s="44" t="s">
        <v>30</v>
      </c>
      <c r="D145" s="49" t="s">
        <v>261</v>
      </c>
      <c r="E145" s="18"/>
      <c r="F145" s="169"/>
      <c r="H145" s="149"/>
      <c r="T145"/>
    </row>
    <row r="146" spans="1:20">
      <c r="H146" s="149"/>
      <c r="N146" s="61"/>
      <c r="O146" s="61"/>
      <c r="P146" s="61"/>
      <c r="T146"/>
    </row>
    <row r="147" spans="1:20">
      <c r="A147" s="141" t="s">
        <v>706</v>
      </c>
      <c r="H147" s="149"/>
      <c r="N147" s="61"/>
      <c r="O147" s="61"/>
      <c r="P147" s="61"/>
      <c r="T147"/>
    </row>
    <row r="148" spans="1:20">
      <c r="A148" s="140" t="s">
        <v>181</v>
      </c>
      <c r="H148" s="149"/>
      <c r="M148" s="62"/>
      <c r="N148" s="62"/>
      <c r="O148" s="62"/>
      <c r="T148"/>
    </row>
    <row r="149" spans="1:20" ht="15.6">
      <c r="A149" s="68"/>
      <c r="B149" s="25" t="s">
        <v>36</v>
      </c>
      <c r="C149" s="26" t="s">
        <v>37</v>
      </c>
      <c r="D149" s="51" t="s">
        <v>38</v>
      </c>
      <c r="E149" s="27" t="s">
        <v>39</v>
      </c>
      <c r="F149" s="25" t="s">
        <v>40</v>
      </c>
      <c r="G149" s="469"/>
      <c r="H149" s="149"/>
      <c r="I149" s="469"/>
      <c r="J149" s="61"/>
      <c r="L149" s="62"/>
      <c r="M149" s="62"/>
      <c r="T149"/>
    </row>
    <row r="150" spans="1:20">
      <c r="A150" s="69" t="s">
        <v>89</v>
      </c>
      <c r="B150" s="19" t="s">
        <v>90</v>
      </c>
      <c r="C150" s="20" t="s">
        <v>90</v>
      </c>
      <c r="D150" s="52" t="s">
        <v>90</v>
      </c>
      <c r="E150" s="21" t="s">
        <v>90</v>
      </c>
      <c r="F150" s="20" t="s">
        <v>90</v>
      </c>
      <c r="G150" s="469"/>
      <c r="H150" s="149"/>
      <c r="I150" s="469"/>
      <c r="J150" s="61"/>
      <c r="L150" s="62"/>
      <c r="M150" s="62"/>
      <c r="T150"/>
    </row>
    <row r="151" spans="1:20">
      <c r="A151" s="71" t="s">
        <v>707</v>
      </c>
      <c r="B151" s="29">
        <v>0.52873920163430443</v>
      </c>
      <c r="C151" s="29">
        <v>1.8681217559582085E-2</v>
      </c>
      <c r="D151" s="54">
        <v>1.0218869558951209E-3</v>
      </c>
      <c r="E151" s="29">
        <v>2.3624612644452939E-3</v>
      </c>
      <c r="F151" s="29">
        <v>1.6282024027524076E-2</v>
      </c>
      <c r="G151" s="470"/>
      <c r="H151" s="149"/>
      <c r="I151" s="470"/>
      <c r="J151" s="62"/>
      <c r="L151" s="62"/>
      <c r="M151" s="62"/>
      <c r="T151"/>
    </row>
    <row r="152" spans="1:20">
      <c r="A152" s="70" t="s">
        <v>708</v>
      </c>
      <c r="B152" s="28">
        <v>0.1462232096968453</v>
      </c>
      <c r="C152" s="28">
        <v>0.24168915784705064</v>
      </c>
      <c r="D152" s="53">
        <v>6.7384322026603342E-4</v>
      </c>
      <c r="E152" s="28">
        <v>2.6826749439232144E-2</v>
      </c>
      <c r="F152" s="28">
        <v>1.6282024027524076E-2</v>
      </c>
      <c r="G152" s="471"/>
      <c r="H152" s="149"/>
      <c r="I152" s="471"/>
      <c r="J152" s="62"/>
      <c r="L152" s="62"/>
      <c r="M152" s="62"/>
      <c r="T152"/>
    </row>
    <row r="153" spans="1:20">
      <c r="A153" s="71" t="s">
        <v>709</v>
      </c>
      <c r="B153" s="29">
        <v>0.94907496847634232</v>
      </c>
      <c r="C153" s="29">
        <v>3.3029763588333094E-2</v>
      </c>
      <c r="D153" s="54">
        <v>1.2736615438006913E-3</v>
      </c>
      <c r="E153" s="29">
        <v>3.0329019233078214E-3</v>
      </c>
      <c r="F153" s="29">
        <v>2.4669861529888357E-2</v>
      </c>
      <c r="G153" s="470"/>
      <c r="H153" s="149"/>
      <c r="I153" s="470"/>
      <c r="J153" s="62"/>
      <c r="L153" s="62"/>
      <c r="M153" s="62"/>
      <c r="T153"/>
    </row>
    <row r="154" spans="1:20">
      <c r="A154" s="70" t="s">
        <v>710</v>
      </c>
      <c r="B154" s="28">
        <v>0.11082466752815252</v>
      </c>
      <c r="C154" s="28">
        <v>0.18493272244567566</v>
      </c>
      <c r="D154" s="53">
        <v>8.2564770666287664E-4</v>
      </c>
      <c r="E154" s="28">
        <v>1.9066421365548231E-2</v>
      </c>
      <c r="F154" s="28">
        <v>2.4669861529888357E-2</v>
      </c>
      <c r="G154" s="471"/>
      <c r="H154" s="149"/>
      <c r="I154" s="471"/>
      <c r="J154" s="62"/>
      <c r="L154" s="62"/>
      <c r="M154" s="62"/>
      <c r="T154"/>
    </row>
    <row r="155" spans="1:20">
      <c r="A155" s="71" t="s">
        <v>91</v>
      </c>
      <c r="B155" s="29">
        <v>2.8738658945892337</v>
      </c>
      <c r="C155" s="29">
        <v>7.9137582284857955E-2</v>
      </c>
      <c r="D155" s="54">
        <v>3.4559424050769213E-3</v>
      </c>
      <c r="E155" s="29">
        <v>6.644401608709178E-3</v>
      </c>
      <c r="F155" s="29">
        <v>4.211275870594048E-2</v>
      </c>
      <c r="G155" s="470"/>
      <c r="H155" s="149"/>
      <c r="I155" s="470"/>
      <c r="J155" s="62"/>
      <c r="L155" s="62"/>
      <c r="M155" s="62"/>
      <c r="T155"/>
    </row>
    <row r="156" spans="1:20">
      <c r="A156" s="70" t="s">
        <v>92</v>
      </c>
      <c r="B156" s="28">
        <v>4.2394031499804532</v>
      </c>
      <c r="C156" s="28">
        <v>0.13218296742369795</v>
      </c>
      <c r="D156" s="53">
        <v>4.6893238581641695E-3</v>
      </c>
      <c r="E156" s="28">
        <v>7.1456141132447623E-3</v>
      </c>
      <c r="F156" s="28">
        <v>4.211275870594048E-2</v>
      </c>
      <c r="G156" s="471"/>
      <c r="H156" s="149"/>
      <c r="I156" s="471"/>
      <c r="J156" s="62"/>
      <c r="T156"/>
    </row>
    <row r="157" spans="1:20">
      <c r="A157" s="71" t="s">
        <v>93</v>
      </c>
      <c r="B157" s="29">
        <v>91.9</v>
      </c>
      <c r="C157" s="29">
        <v>8.15</v>
      </c>
      <c r="D157" s="54">
        <v>3.5000000000000003E-2</v>
      </c>
      <c r="E157" s="29">
        <v>1.2E-2</v>
      </c>
      <c r="F157" s="29">
        <v>2.4</v>
      </c>
      <c r="G157" s="470"/>
      <c r="H157" s="149"/>
      <c r="I157" s="470"/>
      <c r="J157" s="62"/>
      <c r="T157"/>
    </row>
    <row r="158" spans="1:20">
      <c r="A158" s="70" t="s">
        <v>94</v>
      </c>
      <c r="B158" s="28">
        <v>1.1200000000000001</v>
      </c>
      <c r="C158" s="28">
        <v>8.1000000000000003E-2</v>
      </c>
      <c r="D158" s="53">
        <v>2.8000000000000001E-2</v>
      </c>
      <c r="E158" s="28">
        <v>0</v>
      </c>
      <c r="F158" s="28">
        <v>2.1999999999999999E-2</v>
      </c>
      <c r="G158" s="471"/>
      <c r="H158" s="149"/>
      <c r="I158" s="471"/>
      <c r="J158" s="62"/>
      <c r="T158"/>
    </row>
    <row r="159" spans="1:20">
      <c r="F159"/>
      <c r="H159" s="149"/>
      <c r="T159"/>
    </row>
    <row r="160" spans="1:20">
      <c r="F160"/>
      <c r="H160" s="149"/>
      <c r="T160"/>
    </row>
    <row r="161" spans="1:20">
      <c r="A161" s="72" t="s">
        <v>95</v>
      </c>
      <c r="F161"/>
      <c r="H161" s="149"/>
      <c r="T161"/>
    </row>
    <row r="162" spans="1:20">
      <c r="A162" s="64" t="s">
        <v>96</v>
      </c>
      <c r="F162"/>
      <c r="H162" s="149"/>
      <c r="T162"/>
    </row>
    <row r="163" spans="1:20">
      <c r="A163" s="64" t="s">
        <v>106</v>
      </c>
      <c r="F163"/>
      <c r="H163" s="149"/>
      <c r="T163"/>
    </row>
    <row r="164" spans="1:20">
      <c r="F164"/>
      <c r="H164" s="149"/>
      <c r="T164"/>
    </row>
    <row r="165" spans="1:20">
      <c r="F165"/>
      <c r="H165" s="149"/>
      <c r="T165"/>
    </row>
    <row r="166" spans="1:20" ht="15.6">
      <c r="A166" s="68"/>
      <c r="B166" s="25" t="s">
        <v>36</v>
      </c>
      <c r="C166" s="26" t="s">
        <v>37</v>
      </c>
      <c r="D166" s="51" t="s">
        <v>38</v>
      </c>
      <c r="E166" s="27" t="s">
        <v>39</v>
      </c>
      <c r="F166" s="25" t="s">
        <v>40</v>
      </c>
      <c r="G166" s="469"/>
      <c r="H166" s="149"/>
      <c r="I166" s="469"/>
      <c r="T166"/>
    </row>
    <row r="167" spans="1:20">
      <c r="A167" s="69" t="s">
        <v>89</v>
      </c>
      <c r="B167" s="19" t="s">
        <v>30</v>
      </c>
      <c r="C167" s="20" t="s">
        <v>30</v>
      </c>
      <c r="D167" s="52" t="s">
        <v>30</v>
      </c>
      <c r="E167" s="21" t="s">
        <v>30</v>
      </c>
      <c r="F167" s="20" t="s">
        <v>105</v>
      </c>
      <c r="G167" s="469"/>
      <c r="H167" s="149"/>
      <c r="I167" s="469"/>
      <c r="T167"/>
    </row>
    <row r="168" spans="1:20">
      <c r="A168" s="71" t="s">
        <v>707</v>
      </c>
      <c r="B168" s="29">
        <f>B151*$B$87/10^6</f>
        <v>0</v>
      </c>
      <c r="C168" s="29">
        <f>C151*$B$87/10^6</f>
        <v>0</v>
      </c>
      <c r="D168" s="54">
        <f>D151*$B$87/10^6</f>
        <v>0</v>
      </c>
      <c r="E168" s="29">
        <f>E151*$B$87/10^6</f>
        <v>0</v>
      </c>
      <c r="F168" s="29">
        <f>F151*$B$87/10^6</f>
        <v>0</v>
      </c>
      <c r="G168" s="470"/>
      <c r="H168" s="149"/>
      <c r="I168" s="470"/>
      <c r="T168"/>
    </row>
    <row r="169" spans="1:20">
      <c r="A169" s="70" t="s">
        <v>708</v>
      </c>
      <c r="B169" s="28">
        <f>B152*$B$96/10^6</f>
        <v>0</v>
      </c>
      <c r="C169" s="28">
        <f t="shared" ref="C169:F169" si="0">C152*$B$96/10^6</f>
        <v>0</v>
      </c>
      <c r="D169" s="28">
        <f t="shared" si="0"/>
        <v>0</v>
      </c>
      <c r="E169" s="28">
        <f t="shared" si="0"/>
        <v>0</v>
      </c>
      <c r="F169" s="28">
        <f t="shared" si="0"/>
        <v>0</v>
      </c>
      <c r="G169" s="471"/>
      <c r="H169" s="149"/>
      <c r="I169" s="471"/>
      <c r="T169"/>
    </row>
    <row r="170" spans="1:20">
      <c r="A170" s="71" t="s">
        <v>709</v>
      </c>
      <c r="B170" s="29">
        <f t="shared" ref="B170:F170" si="1">B153*$B$105/10^6</f>
        <v>0</v>
      </c>
      <c r="C170" s="29">
        <f t="shared" si="1"/>
        <v>0</v>
      </c>
      <c r="D170" s="54">
        <f t="shared" si="1"/>
        <v>0</v>
      </c>
      <c r="E170" s="29">
        <f t="shared" si="1"/>
        <v>0</v>
      </c>
      <c r="F170" s="29">
        <f t="shared" si="1"/>
        <v>0</v>
      </c>
      <c r="G170" s="470"/>
      <c r="H170" s="149"/>
      <c r="I170" s="470"/>
      <c r="T170"/>
    </row>
    <row r="171" spans="1:20">
      <c r="A171" s="70" t="s">
        <v>710</v>
      </c>
      <c r="B171" s="28">
        <f>B154*$B$114/10^6</f>
        <v>0</v>
      </c>
      <c r="C171" s="28">
        <f t="shared" ref="C171:F171" si="2">C154*$B$114/10^6</f>
        <v>0</v>
      </c>
      <c r="D171" s="28">
        <f t="shared" si="2"/>
        <v>0</v>
      </c>
      <c r="E171" s="28">
        <f t="shared" si="2"/>
        <v>0</v>
      </c>
      <c r="F171" s="28">
        <f t="shared" si="2"/>
        <v>0</v>
      </c>
      <c r="G171" s="471"/>
      <c r="H171" s="149"/>
      <c r="I171" s="471"/>
      <c r="T171"/>
    </row>
    <row r="172" spans="1:20">
      <c r="A172" s="71" t="s">
        <v>91</v>
      </c>
      <c r="B172" s="29">
        <f>B155*$B$123/10^6</f>
        <v>0</v>
      </c>
      <c r="C172" s="29">
        <f t="shared" ref="C172:F172" si="3">C155*$B$123/10^6</f>
        <v>0</v>
      </c>
      <c r="D172" s="54">
        <f t="shared" si="3"/>
        <v>0</v>
      </c>
      <c r="E172" s="29">
        <f t="shared" si="3"/>
        <v>0</v>
      </c>
      <c r="F172" s="29">
        <f t="shared" si="3"/>
        <v>0</v>
      </c>
      <c r="G172" s="470"/>
      <c r="H172" s="149"/>
      <c r="I172" s="470"/>
      <c r="T172"/>
    </row>
    <row r="173" spans="1:20">
      <c r="A173" s="70" t="s">
        <v>92</v>
      </c>
      <c r="B173" s="28">
        <f t="shared" ref="B173:F173" si="4">B156*$B$78/10^6</f>
        <v>0</v>
      </c>
      <c r="C173" s="28">
        <f t="shared" si="4"/>
        <v>0</v>
      </c>
      <c r="D173" s="53">
        <f t="shared" si="4"/>
        <v>0</v>
      </c>
      <c r="E173" s="28">
        <f t="shared" si="4"/>
        <v>0</v>
      </c>
      <c r="F173" s="28">
        <f t="shared" si="4"/>
        <v>0</v>
      </c>
      <c r="G173" s="471"/>
      <c r="H173" s="149"/>
      <c r="I173" s="471"/>
      <c r="Q173" s="46"/>
      <c r="T173"/>
    </row>
    <row r="174" spans="1:20">
      <c r="A174" s="71" t="s">
        <v>93</v>
      </c>
      <c r="B174" s="29">
        <f>B157*$B$132/10^6</f>
        <v>0</v>
      </c>
      <c r="C174" s="29">
        <f t="shared" ref="C174:F174" si="5">C157*$B$132/10^6</f>
        <v>0</v>
      </c>
      <c r="D174" s="54">
        <f t="shared" si="5"/>
        <v>0</v>
      </c>
      <c r="E174" s="29">
        <f t="shared" si="5"/>
        <v>0</v>
      </c>
      <c r="F174" s="29">
        <f t="shared" si="5"/>
        <v>0</v>
      </c>
      <c r="G174" s="470"/>
      <c r="H174" s="149"/>
      <c r="I174" s="470"/>
      <c r="T174"/>
    </row>
    <row r="175" spans="1:20">
      <c r="A175" s="70" t="s">
        <v>107</v>
      </c>
      <c r="B175" s="28">
        <f>B158*$B$141/10^6</f>
        <v>0</v>
      </c>
      <c r="C175" s="28">
        <f t="shared" ref="C175:F175" si="6">C158*$B$141/10^6</f>
        <v>0</v>
      </c>
      <c r="D175" s="53">
        <f t="shared" si="6"/>
        <v>0</v>
      </c>
      <c r="E175" s="28">
        <f t="shared" si="6"/>
        <v>0</v>
      </c>
      <c r="F175" s="28">
        <f t="shared" si="6"/>
        <v>0</v>
      </c>
      <c r="G175" s="471"/>
      <c r="H175" s="149"/>
      <c r="I175" s="471"/>
      <c r="R175" s="46"/>
      <c r="T175"/>
    </row>
    <row r="176" spans="1:20">
      <c r="H176" s="149"/>
    </row>
    <row r="177" spans="1:9">
      <c r="H177" s="149"/>
    </row>
    <row r="178" spans="1:9">
      <c r="H178" s="149"/>
    </row>
    <row r="179" spans="1:9">
      <c r="A179" s="596" t="s">
        <v>407</v>
      </c>
      <c r="B179" s="600"/>
      <c r="C179" s="595"/>
      <c r="D179" s="595"/>
      <c r="H179" s="149"/>
    </row>
    <row r="180" spans="1:9">
      <c r="A180" s="601"/>
      <c r="B180" s="602" t="s">
        <v>194</v>
      </c>
      <c r="C180" s="603" t="s">
        <v>136</v>
      </c>
      <c r="D180" s="604" t="s">
        <v>137</v>
      </c>
      <c r="H180" s="149"/>
    </row>
    <row r="181" spans="1:9">
      <c r="A181" s="601"/>
      <c r="B181" s="605">
        <v>4</v>
      </c>
      <c r="C181" s="605">
        <v>100</v>
      </c>
      <c r="D181" s="606" t="s">
        <v>183</v>
      </c>
      <c r="H181" s="149"/>
    </row>
    <row r="182" spans="1:9" ht="28.8">
      <c r="A182" s="601"/>
      <c r="B182" s="605">
        <v>5</v>
      </c>
      <c r="C182" s="605">
        <v>1000</v>
      </c>
      <c r="D182" s="607" t="s">
        <v>1041</v>
      </c>
    </row>
    <row r="183" spans="1:9">
      <c r="A183" s="601"/>
      <c r="B183" s="605">
        <v>6</v>
      </c>
      <c r="C183" s="605">
        <v>277.77800000000002</v>
      </c>
      <c r="D183" s="607" t="s">
        <v>1042</v>
      </c>
      <c r="E183" s="339"/>
    </row>
    <row r="184" spans="1:9">
      <c r="A184" s="601"/>
      <c r="B184" s="605">
        <v>7</v>
      </c>
      <c r="C184" s="605">
        <v>1000</v>
      </c>
      <c r="D184" s="606" t="s">
        <v>1043</v>
      </c>
    </row>
    <row r="185" spans="1:9" ht="86.4">
      <c r="A185" s="601"/>
      <c r="B185" s="605">
        <v>8</v>
      </c>
      <c r="C185" s="608">
        <v>3.58225E-2</v>
      </c>
      <c r="D185" s="607" t="s">
        <v>1044</v>
      </c>
      <c r="E185" s="43" t="s">
        <v>728</v>
      </c>
      <c r="H185" s="43"/>
    </row>
    <row r="186" spans="1:9" ht="86.4">
      <c r="A186" s="601"/>
      <c r="B186" s="605">
        <v>9</v>
      </c>
      <c r="C186" s="608">
        <v>6.9830000000000003E-2</v>
      </c>
      <c r="D186" s="609" t="s">
        <v>1045</v>
      </c>
      <c r="E186" s="43" t="s">
        <v>728</v>
      </c>
      <c r="H186" s="43"/>
    </row>
    <row r="187" spans="1:9" ht="57.6">
      <c r="A187" s="601"/>
      <c r="B187" s="605">
        <v>10</v>
      </c>
      <c r="C187" s="608">
        <f>'Elekter 2020'!C122</f>
        <v>0.58939890945324136</v>
      </c>
      <c r="D187" s="607" t="s">
        <v>1046</v>
      </c>
    </row>
    <row r="188" spans="1:9" ht="57.6">
      <c r="A188" s="601"/>
      <c r="B188" s="605">
        <v>11</v>
      </c>
      <c r="C188" s="608">
        <f>'Elekter 2020'!E122</f>
        <v>0.82203474121790987</v>
      </c>
      <c r="D188" s="607" t="s">
        <v>1047</v>
      </c>
    </row>
    <row r="189" spans="1:9">
      <c r="A189" s="601"/>
      <c r="B189" s="605">
        <v>12</v>
      </c>
      <c r="C189" s="610">
        <v>1000</v>
      </c>
      <c r="D189" s="607" t="s">
        <v>1048</v>
      </c>
    </row>
    <row r="190" spans="1:9">
      <c r="A190" s="601"/>
      <c r="B190" s="605">
        <v>13</v>
      </c>
      <c r="C190" s="605">
        <f>10^9</f>
        <v>1000000000</v>
      </c>
      <c r="D190" s="606" t="s">
        <v>184</v>
      </c>
    </row>
    <row r="191" spans="1:9" ht="105.6">
      <c r="A191" s="601"/>
      <c r="B191" s="605">
        <v>14</v>
      </c>
      <c r="C191" s="611">
        <v>55.292501666666666</v>
      </c>
      <c r="D191" s="607" t="s">
        <v>1049</v>
      </c>
      <c r="E191" s="43" t="s">
        <v>728</v>
      </c>
      <c r="H191" s="43"/>
    </row>
    <row r="192" spans="1:9" ht="60">
      <c r="A192" s="601"/>
      <c r="B192" s="605">
        <v>17</v>
      </c>
      <c r="C192" s="605">
        <v>25</v>
      </c>
      <c r="D192" s="607" t="s">
        <v>1052</v>
      </c>
      <c r="E192" s="43" t="s">
        <v>728</v>
      </c>
      <c r="H192" s="43"/>
      <c r="I192" s="518"/>
    </row>
    <row r="193" spans="1:9" ht="60">
      <c r="A193" s="601"/>
      <c r="B193" s="605">
        <v>18</v>
      </c>
      <c r="C193" s="605">
        <v>298</v>
      </c>
      <c r="D193" s="607" t="s">
        <v>1053</v>
      </c>
      <c r="E193" s="43" t="s">
        <v>728</v>
      </c>
      <c r="H193" s="43"/>
      <c r="I193" s="518"/>
    </row>
    <row r="194" spans="1:9">
      <c r="A194" s="601"/>
      <c r="B194" s="595"/>
      <c r="C194" s="612"/>
      <c r="D194" s="613"/>
    </row>
    <row r="195" spans="1:9">
      <c r="A195" s="601"/>
      <c r="B195" s="595"/>
      <c r="C195" s="612"/>
      <c r="D195" s="613"/>
    </row>
    <row r="196" spans="1:9">
      <c r="A196" s="601"/>
      <c r="B196" s="595"/>
      <c r="C196" s="612"/>
      <c r="D196" s="613"/>
    </row>
    <row r="197" spans="1:9">
      <c r="A197" s="614" t="s">
        <v>408</v>
      </c>
      <c r="B197" s="595"/>
      <c r="C197" s="595"/>
      <c r="D197" s="613"/>
      <c r="E197" s="37"/>
      <c r="F197" s="37"/>
      <c r="G197" s="36"/>
    </row>
    <row r="198" spans="1:9" ht="28.8">
      <c r="A198" s="615" t="s">
        <v>58</v>
      </c>
      <c r="B198" s="615" t="s">
        <v>108</v>
      </c>
      <c r="C198" s="615" t="s">
        <v>109</v>
      </c>
      <c r="D198" s="615" t="s">
        <v>409</v>
      </c>
      <c r="E198" s="615" t="s">
        <v>124</v>
      </c>
      <c r="F198" s="615" t="s">
        <v>193</v>
      </c>
      <c r="G198" s="621" t="s">
        <v>192</v>
      </c>
    </row>
    <row r="199" spans="1:9">
      <c r="A199" s="616" t="s">
        <v>59</v>
      </c>
      <c r="B199" s="617" t="s">
        <v>117</v>
      </c>
      <c r="C199" s="617" t="s">
        <v>118</v>
      </c>
      <c r="D199" s="618" t="s">
        <v>56</v>
      </c>
      <c r="E199" s="617" t="s">
        <v>59</v>
      </c>
      <c r="F199" s="617" t="s">
        <v>33</v>
      </c>
      <c r="G199" s="617" t="s">
        <v>25</v>
      </c>
    </row>
    <row r="200" spans="1:9" ht="43.2">
      <c r="A200" s="616" t="s">
        <v>55</v>
      </c>
      <c r="B200" s="617" t="s">
        <v>26</v>
      </c>
      <c r="C200" s="617" t="s">
        <v>119</v>
      </c>
      <c r="D200" s="618" t="s">
        <v>57</v>
      </c>
      <c r="E200" s="617" t="s">
        <v>608</v>
      </c>
      <c r="F200" s="618" t="s">
        <v>34</v>
      </c>
      <c r="G200" s="617" t="s">
        <v>191</v>
      </c>
    </row>
    <row r="201" spans="1:9">
      <c r="A201" s="616" t="s">
        <v>54</v>
      </c>
      <c r="B201" s="617"/>
      <c r="C201" s="617" t="s">
        <v>120</v>
      </c>
      <c r="D201" s="618" t="s">
        <v>121</v>
      </c>
      <c r="E201" s="617" t="s">
        <v>757</v>
      </c>
      <c r="F201" s="617" t="s">
        <v>965</v>
      </c>
      <c r="G201" s="617" t="s">
        <v>672</v>
      </c>
    </row>
    <row r="202" spans="1:9">
      <c r="A202" s="617"/>
      <c r="B202" s="617"/>
      <c r="C202" s="617"/>
      <c r="D202" s="618" t="s">
        <v>59</v>
      </c>
      <c r="E202" s="617"/>
      <c r="F202" s="617" t="s">
        <v>59</v>
      </c>
      <c r="G202" s="617" t="s">
        <v>16</v>
      </c>
    </row>
    <row r="203" spans="1:9">
      <c r="A203" s="617"/>
      <c r="B203" s="617"/>
      <c r="C203" s="617"/>
      <c r="D203" s="618"/>
      <c r="E203" s="617"/>
      <c r="F203" s="617"/>
      <c r="G203" s="617" t="s">
        <v>59</v>
      </c>
    </row>
    <row r="204" spans="1:9">
      <c r="A204" s="626"/>
      <c r="B204" s="617"/>
      <c r="C204" s="620"/>
      <c r="D204" s="618"/>
      <c r="E204" s="617"/>
      <c r="F204" s="624"/>
      <c r="G204" s="617"/>
    </row>
    <row r="205" spans="1:9">
      <c r="G205" s="170"/>
    </row>
  </sheetData>
  <sheetProtection algorithmName="SHA-512" hashValue="uzuQX8eZ1IAeckl6w1uL4KvdycszBZaO+fhnwyFZns0f/jcH1SOUonLqMV7TpVBts/wYpVVSUogRtJM3/rvGNg==" saltValue="PhUHtI3UfwJYzNOVnCbwBQ==" spinCount="100000" sheet="1" objects="1" scenarios="1"/>
  <dataConsolidate/>
  <mergeCells count="16">
    <mergeCell ref="A129:C129"/>
    <mergeCell ref="A138:C138"/>
    <mergeCell ref="A66:C66"/>
    <mergeCell ref="A75:C75"/>
    <mergeCell ref="A84:C84"/>
    <mergeCell ref="A102:C102"/>
    <mergeCell ref="A120:C120"/>
    <mergeCell ref="A93:C93"/>
    <mergeCell ref="A111:C111"/>
    <mergeCell ref="A1:C1"/>
    <mergeCell ref="A13:C13"/>
    <mergeCell ref="A29:C29"/>
    <mergeCell ref="A44:C44"/>
    <mergeCell ref="A53:C53"/>
    <mergeCell ref="A3:C3"/>
    <mergeCell ref="B4:C4"/>
  </mergeCells>
  <phoneticPr fontId="25" type="noConversion"/>
  <dataValidations count="11">
    <dataValidation type="whole" allowBlank="1" showInputMessage="1" showErrorMessage="1" sqref="B46:B47 B58:B59 B68:B69 B16 B36:B37 B6" xr:uid="{0D5223D7-F55D-40E1-B4BA-F8A3BC7FB17A}">
      <formula1>0</formula1>
      <formula2>100</formula2>
    </dataValidation>
    <dataValidation showInputMessage="1" showErrorMessage="1" sqref="B34" xr:uid="{18888D45-3166-4D19-8BC2-22915B96E504}"/>
    <dataValidation type="list" showInputMessage="1" showErrorMessage="1" sqref="B33" xr:uid="{11913936-82F7-4F38-B70F-12708E02CAF6}">
      <formula1>$D$199:$D$202</formula1>
    </dataValidation>
    <dataValidation type="list" allowBlank="1" showInputMessage="1" showErrorMessage="1" sqref="B37 B16 B68:B69 B58:B59 B46:B47" xr:uid="{B1F8E4A2-CDED-43D1-ADB0-294493DBA9B7}">
      <formula1>$A$199:$A$200</formula1>
    </dataValidation>
    <dataValidation type="list" allowBlank="1" showInputMessage="1" showErrorMessage="1" sqref="B30" xr:uid="{B4533F5F-482B-4055-A9B6-7DB76CBDAE1A}">
      <formula1>$B$199:$B$200</formula1>
    </dataValidation>
    <dataValidation type="list" allowBlank="1" showInputMessage="1" showErrorMessage="1" sqref="B31" xr:uid="{EF9FDC4A-1327-438A-9518-DC63AFBB82CA}">
      <formula1>$C$199:$C$201</formula1>
    </dataValidation>
    <dataValidation type="list" allowBlank="1" showInputMessage="1" showErrorMessage="1" sqref="B35" xr:uid="{E13CCCF6-1A80-4018-8B3F-D151A25EAC12}">
      <formula1>$E$199:$E$201</formula1>
    </dataValidation>
    <dataValidation type="list" allowBlank="1" showInputMessage="1" showErrorMessage="1" sqref="B54" xr:uid="{13A91784-41ED-4B88-ACD9-33CA906B7ABE}">
      <formula1>$F$199:$F$202</formula1>
    </dataValidation>
    <dataValidation type="list" allowBlank="1" showInputMessage="1" showErrorMessage="1" sqref="B57" xr:uid="{9F74FA32-15BB-4499-9902-25DF3099927B}">
      <formula1>$A$199:$A$203</formula1>
    </dataValidation>
    <dataValidation type="list" allowBlank="1" showInputMessage="1" showErrorMessage="1" sqref="B55" xr:uid="{CE155CB1-4260-4E95-9FA4-C69120ED0BF0}">
      <formula1>$G$199:$G$203</formula1>
    </dataValidation>
    <dataValidation type="list" allowBlank="1" showInputMessage="1" showErrorMessage="1" sqref="B32 B67 B45" xr:uid="{D827E004-7CA3-4CEA-9BC0-6B5572A1246B}">
      <formula1>$A$199:$A$201</formula1>
    </dataValidation>
  </dataValidations>
  <hyperlinks>
    <hyperlink ref="E185" r:id="rId1" xr:uid="{72A2C209-C8B6-4784-A80B-742A26FF91E8}"/>
    <hyperlink ref="E186" r:id="rId2" xr:uid="{CBDB17D9-5346-49BF-84A5-6FCCFBFC979A}"/>
    <hyperlink ref="E191" r:id="rId3" xr:uid="{7DBA41F8-CBBD-4500-9A88-03D8A2E0BC22}"/>
    <hyperlink ref="E192" r:id="rId4" xr:uid="{E52330CF-E08E-4E9C-BFA2-1D864093E8AB}"/>
    <hyperlink ref="E193" r:id="rId5" xr:uid="{F2E90E16-BC94-48B7-A08D-CB5574F66451}"/>
  </hyperlinks>
  <pageMargins left="0.7" right="0.7" top="0.75" bottom="0.75" header="0.3" footer="0.3"/>
  <pageSetup paperSize="9" orientation="portrait" horizontalDpi="300" verticalDpi="300"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91120-1ED9-4E65-B882-537DCEFD3A55}">
  <sheetPr>
    <tabColor rgb="FF92D050"/>
  </sheetPr>
  <dimension ref="A1:V149"/>
  <sheetViews>
    <sheetView zoomScale="80" zoomScaleNormal="80" workbookViewId="0">
      <selection activeCell="A19" sqref="A19"/>
    </sheetView>
  </sheetViews>
  <sheetFormatPr defaultRowHeight="14.4"/>
  <cols>
    <col min="1" max="1" width="25.21875" customWidth="1"/>
    <col min="2" max="2" width="21.21875" customWidth="1"/>
    <col min="3" max="3" width="11.5546875" customWidth="1"/>
    <col min="4" max="4" width="14" customWidth="1"/>
    <col min="5" max="5" width="11.109375" customWidth="1"/>
    <col min="6" max="6" width="13.5546875" bestFit="1" customWidth="1"/>
    <col min="7" max="7" width="12.77734375" customWidth="1"/>
    <col min="8" max="8" width="19.5546875" bestFit="1" customWidth="1"/>
    <col min="9" max="9" width="11.21875" bestFit="1" customWidth="1"/>
    <col min="10" max="10" width="19.88671875" customWidth="1"/>
    <col min="12" max="12" width="9.88671875" bestFit="1" customWidth="1"/>
  </cols>
  <sheetData>
    <row r="1" spans="1:22" ht="34.049999999999997" customHeight="1">
      <c r="A1" s="667" t="s">
        <v>753</v>
      </c>
      <c r="B1" s="667"/>
      <c r="C1" s="667"/>
      <c r="D1" s="667"/>
      <c r="E1" s="667"/>
      <c r="F1" s="667"/>
      <c r="G1" s="667"/>
      <c r="H1" s="667"/>
      <c r="I1" s="667"/>
    </row>
    <row r="2" spans="1:22">
      <c r="A2" s="652" t="s">
        <v>20</v>
      </c>
      <c r="B2" s="652"/>
      <c r="C2" s="652"/>
      <c r="D2" s="382"/>
      <c r="E2" s="382"/>
      <c r="F2" s="382"/>
      <c r="G2" s="382"/>
      <c r="H2" s="382"/>
      <c r="I2" s="382"/>
    </row>
    <row r="3" spans="1:22">
      <c r="A3" s="368" t="s">
        <v>578</v>
      </c>
      <c r="D3" s="18" t="s">
        <v>603</v>
      </c>
    </row>
    <row r="4" spans="1:22">
      <c r="A4" s="374" t="s">
        <v>412</v>
      </c>
      <c r="B4" s="375" t="s">
        <v>595</v>
      </c>
      <c r="C4" s="375" t="s">
        <v>588</v>
      </c>
      <c r="D4" s="375" t="s">
        <v>589</v>
      </c>
      <c r="E4" s="375" t="s">
        <v>588</v>
      </c>
      <c r="F4" s="375" t="s">
        <v>589</v>
      </c>
      <c r="G4" s="375" t="s">
        <v>588</v>
      </c>
      <c r="H4" s="375" t="s">
        <v>574</v>
      </c>
      <c r="I4" s="375" t="s">
        <v>588</v>
      </c>
      <c r="R4" s="17"/>
    </row>
    <row r="5" spans="1:22">
      <c r="A5" s="372" t="s">
        <v>608</v>
      </c>
      <c r="B5" s="302">
        <v>0</v>
      </c>
      <c r="C5" s="44" t="s">
        <v>30</v>
      </c>
      <c r="D5" s="296">
        <f>A17</f>
        <v>119.93</v>
      </c>
      <c r="E5" s="44" t="s">
        <v>458</v>
      </c>
      <c r="F5" s="296">
        <f t="shared" ref="F5:F12" si="0">D5*$A$15/1000</f>
        <v>33.313915540000004</v>
      </c>
      <c r="G5" s="44" t="s">
        <v>590</v>
      </c>
      <c r="H5" s="381">
        <f>F5*B5</f>
        <v>0</v>
      </c>
      <c r="I5" s="44" t="s">
        <v>31</v>
      </c>
      <c r="L5" s="492"/>
      <c r="R5" s="17"/>
    </row>
    <row r="6" spans="1:22">
      <c r="A6" s="372" t="s">
        <v>15</v>
      </c>
      <c r="B6" s="302">
        <v>0</v>
      </c>
      <c r="C6" s="44" t="s">
        <v>30</v>
      </c>
      <c r="D6" s="296">
        <f>C96</f>
        <v>44</v>
      </c>
      <c r="E6" s="44" t="s">
        <v>458</v>
      </c>
      <c r="F6" s="296">
        <f t="shared" si="0"/>
        <v>12.222232</v>
      </c>
      <c r="G6" s="44" t="s">
        <v>590</v>
      </c>
      <c r="H6" s="381">
        <f>F6*B6</f>
        <v>0</v>
      </c>
      <c r="I6" s="44" t="s">
        <v>31</v>
      </c>
      <c r="L6" s="174"/>
      <c r="R6" s="17"/>
    </row>
    <row r="7" spans="1:22">
      <c r="A7" s="372" t="s">
        <v>16</v>
      </c>
      <c r="B7" s="302">
        <v>0</v>
      </c>
      <c r="C7" s="44" t="s">
        <v>30</v>
      </c>
      <c r="D7" s="296">
        <f>C100</f>
        <v>42.3</v>
      </c>
      <c r="E7" s="44" t="s">
        <v>458</v>
      </c>
      <c r="F7" s="296">
        <f t="shared" si="0"/>
        <v>11.750009400000001</v>
      </c>
      <c r="G7" s="44" t="s">
        <v>590</v>
      </c>
      <c r="H7" s="381">
        <f t="shared" ref="H7:H10" si="1">F7*B7</f>
        <v>0</v>
      </c>
      <c r="I7" s="44" t="s">
        <v>31</v>
      </c>
      <c r="O7" s="13"/>
    </row>
    <row r="8" spans="1:22">
      <c r="A8" s="372" t="s">
        <v>166</v>
      </c>
      <c r="B8" s="302">
        <v>0</v>
      </c>
      <c r="C8" s="44" t="s">
        <v>30</v>
      </c>
      <c r="D8" s="296">
        <f>AVERAGE(6.9,16.9)</f>
        <v>11.899999999999999</v>
      </c>
      <c r="E8" s="44" t="s">
        <v>458</v>
      </c>
      <c r="F8" s="296">
        <f t="shared" si="0"/>
        <v>3.3055582000000001</v>
      </c>
      <c r="G8" s="44" t="s">
        <v>590</v>
      </c>
      <c r="H8" s="381">
        <f t="shared" si="1"/>
        <v>0</v>
      </c>
      <c r="I8" s="44" t="s">
        <v>31</v>
      </c>
      <c r="T8" s="13"/>
    </row>
    <row r="9" spans="1:22">
      <c r="A9" s="372" t="s">
        <v>122</v>
      </c>
      <c r="B9" s="302">
        <v>0</v>
      </c>
      <c r="C9" s="44" t="s">
        <v>30</v>
      </c>
      <c r="D9" s="297">
        <f>H69</f>
        <v>19.210000000000004</v>
      </c>
      <c r="E9" s="44" t="s">
        <v>458</v>
      </c>
      <c r="F9" s="296">
        <f t="shared" si="0"/>
        <v>5.3361153800000016</v>
      </c>
      <c r="G9" s="44" t="s">
        <v>590</v>
      </c>
      <c r="H9" s="381">
        <f>F9*B9</f>
        <v>0</v>
      </c>
      <c r="I9" s="44" t="s">
        <v>31</v>
      </c>
      <c r="M9" s="493"/>
    </row>
    <row r="10" spans="1:22" ht="16.2">
      <c r="A10" s="372" t="s">
        <v>26</v>
      </c>
      <c r="B10" s="302">
        <v>0</v>
      </c>
      <c r="C10" s="44" t="s">
        <v>600</v>
      </c>
      <c r="D10" s="296">
        <f>C132</f>
        <v>17.399999999999999</v>
      </c>
      <c r="E10" s="44" t="s">
        <v>575</v>
      </c>
      <c r="F10" s="296">
        <f t="shared" si="0"/>
        <v>4.8333371999999999</v>
      </c>
      <c r="G10" s="44" t="s">
        <v>591</v>
      </c>
      <c r="H10" s="381">
        <f t="shared" si="1"/>
        <v>0</v>
      </c>
      <c r="I10" s="44" t="s">
        <v>31</v>
      </c>
      <c r="U10" s="13"/>
    </row>
    <row r="11" spans="1:22" ht="16.2">
      <c r="A11" s="486" t="s">
        <v>672</v>
      </c>
      <c r="B11" s="305">
        <v>0</v>
      </c>
      <c r="C11" s="130" t="s">
        <v>600</v>
      </c>
      <c r="D11" s="487">
        <v>34.130000000000003</v>
      </c>
      <c r="E11" s="130" t="s">
        <v>746</v>
      </c>
      <c r="F11" s="488">
        <f t="shared" si="0"/>
        <v>9.4805631400000028</v>
      </c>
      <c r="G11" s="130" t="s">
        <v>747</v>
      </c>
      <c r="H11" s="489">
        <f t="shared" ref="H11" si="2">F11*B11</f>
        <v>0</v>
      </c>
      <c r="I11" s="44" t="s">
        <v>31</v>
      </c>
      <c r="V11" s="13"/>
    </row>
    <row r="12" spans="1:22">
      <c r="A12" s="486" t="s">
        <v>672</v>
      </c>
      <c r="B12" s="305">
        <v>0</v>
      </c>
      <c r="C12" s="130" t="s">
        <v>30</v>
      </c>
      <c r="D12" s="487">
        <v>50</v>
      </c>
      <c r="E12" s="130" t="s">
        <v>458</v>
      </c>
      <c r="F12" s="488">
        <f t="shared" si="0"/>
        <v>13.888900000000001</v>
      </c>
      <c r="G12" s="130" t="s">
        <v>590</v>
      </c>
      <c r="H12" s="489">
        <f t="shared" ref="H12" si="3">F12*B12</f>
        <v>0</v>
      </c>
      <c r="I12" s="44" t="s">
        <v>31</v>
      </c>
      <c r="V12" s="13"/>
    </row>
    <row r="13" spans="1:22">
      <c r="A13" s="131"/>
      <c r="B13" s="131"/>
      <c r="C13" s="131"/>
      <c r="D13" s="131"/>
      <c r="E13" s="131"/>
      <c r="F13" s="497"/>
      <c r="G13" s="131"/>
      <c r="H13" s="498"/>
      <c r="I13" s="131"/>
      <c r="J13" s="499"/>
      <c r="V13" s="13"/>
    </row>
    <row r="14" spans="1:22" ht="15" thickBot="1">
      <c r="A14" s="203" t="s">
        <v>594</v>
      </c>
      <c r="D14" s="157"/>
      <c r="G14" s="131"/>
      <c r="H14" s="498"/>
      <c r="I14" s="131"/>
      <c r="J14" s="499"/>
      <c r="K14" s="494"/>
      <c r="L14" s="494"/>
    </row>
    <row r="15" spans="1:22" ht="15" thickBot="1">
      <c r="A15" s="166">
        <v>277.77800000000002</v>
      </c>
      <c r="B15" s="377" t="s">
        <v>606</v>
      </c>
      <c r="G15" s="131"/>
      <c r="H15" s="498"/>
      <c r="I15" s="131"/>
      <c r="J15" s="499"/>
      <c r="K15" s="495"/>
      <c r="L15" s="495"/>
    </row>
    <row r="16" spans="1:22" ht="15" thickBot="1">
      <c r="A16" s="174" t="s">
        <v>614</v>
      </c>
      <c r="B16" s="379"/>
      <c r="G16" s="131"/>
      <c r="H16" s="498"/>
      <c r="I16" s="131"/>
      <c r="J16" s="499"/>
      <c r="K16" s="495"/>
      <c r="L16" s="495"/>
    </row>
    <row r="17" spans="1:12" ht="15" thickBot="1">
      <c r="A17">
        <v>119.93</v>
      </c>
      <c r="B17" t="s">
        <v>609</v>
      </c>
      <c r="J17" s="496"/>
      <c r="K17" s="495"/>
      <c r="L17" s="496"/>
    </row>
    <row r="18" spans="1:12" ht="15" thickBot="1">
      <c r="A18">
        <v>33.31</v>
      </c>
      <c r="B18" t="s">
        <v>610</v>
      </c>
      <c r="J18" s="495"/>
      <c r="K18" s="495"/>
      <c r="L18" s="495"/>
    </row>
    <row r="19" spans="1:12">
      <c r="A19" t="s">
        <v>613</v>
      </c>
      <c r="B19" s="379"/>
    </row>
    <row r="20" spans="1:12">
      <c r="A20" t="s">
        <v>611</v>
      </c>
      <c r="B20" s="379"/>
    </row>
    <row r="21" spans="1:12">
      <c r="A21" t="s">
        <v>612</v>
      </c>
      <c r="B21" s="379"/>
      <c r="C21">
        <f>D6*B25/1000</f>
        <v>33.11</v>
      </c>
    </row>
    <row r="22" spans="1:12">
      <c r="B22" s="379"/>
    </row>
    <row r="23" spans="1:12" ht="16.2">
      <c r="A23" s="669" t="s">
        <v>596</v>
      </c>
      <c r="B23" s="669"/>
      <c r="C23" s="669"/>
      <c r="D23" s="669"/>
      <c r="E23" s="669"/>
      <c r="F23" s="668" t="s">
        <v>604</v>
      </c>
      <c r="G23" s="668"/>
      <c r="H23" s="668"/>
      <c r="I23" s="668"/>
    </row>
    <row r="24" spans="1:12" ht="16.2">
      <c r="A24" s="374" t="s">
        <v>412</v>
      </c>
      <c r="B24" s="375" t="s">
        <v>583</v>
      </c>
      <c r="C24" s="375" t="s">
        <v>588</v>
      </c>
      <c r="D24" s="375" t="s">
        <v>599</v>
      </c>
      <c r="E24" s="375" t="s">
        <v>587</v>
      </c>
      <c r="F24" s="668"/>
      <c r="G24" s="668"/>
      <c r="H24" s="668"/>
      <c r="I24" s="668"/>
    </row>
    <row r="25" spans="1:12">
      <c r="A25" s="380" t="s">
        <v>15</v>
      </c>
      <c r="B25" s="44">
        <f>AVERAGE(725,780)</f>
        <v>752.5</v>
      </c>
      <c r="C25" s="44" t="s">
        <v>292</v>
      </c>
      <c r="D25" s="302">
        <v>1</v>
      </c>
      <c r="E25" s="297">
        <f>D25*B25/1000</f>
        <v>0.75249999999999995</v>
      </c>
      <c r="F25" s="668"/>
      <c r="G25" s="668"/>
      <c r="H25" s="668"/>
      <c r="I25" s="668"/>
    </row>
    <row r="26" spans="1:12">
      <c r="A26" s="380" t="s">
        <v>16</v>
      </c>
      <c r="B26" s="44">
        <f>AVERAGE(820,860,800,845)</f>
        <v>831.25</v>
      </c>
      <c r="C26" s="44" t="s">
        <v>292</v>
      </c>
      <c r="D26" s="302">
        <v>1</v>
      </c>
      <c r="E26" s="297">
        <f>D26*B26/1000</f>
        <v>0.83125000000000004</v>
      </c>
      <c r="F26" s="668"/>
      <c r="G26" s="668"/>
      <c r="H26" s="668"/>
      <c r="I26" s="668"/>
    </row>
    <row r="27" spans="1:12">
      <c r="A27" t="s">
        <v>585</v>
      </c>
    </row>
    <row r="28" spans="1:12">
      <c r="A28" s="43" t="s">
        <v>584</v>
      </c>
    </row>
    <row r="29" spans="1:12">
      <c r="A29" s="43"/>
    </row>
    <row r="30" spans="1:12">
      <c r="A30" s="669" t="s">
        <v>597</v>
      </c>
      <c r="B30" s="669"/>
      <c r="C30" s="669"/>
      <c r="D30" s="669"/>
      <c r="E30" s="669"/>
      <c r="F30" s="668" t="s">
        <v>604</v>
      </c>
      <c r="G30" s="668"/>
      <c r="H30" s="668"/>
      <c r="I30" s="668"/>
    </row>
    <row r="31" spans="1:12">
      <c r="A31" s="202" t="s">
        <v>598</v>
      </c>
      <c r="B31" s="375" t="s">
        <v>512</v>
      </c>
      <c r="C31" s="373"/>
      <c r="D31" s="373" t="s">
        <v>586</v>
      </c>
      <c r="E31" s="373" t="s">
        <v>587</v>
      </c>
      <c r="F31" s="668"/>
      <c r="G31" s="668"/>
      <c r="H31" s="668"/>
      <c r="I31" s="668"/>
    </row>
    <row r="32" spans="1:12" ht="16.2">
      <c r="A32" s="372" t="s">
        <v>512</v>
      </c>
      <c r="B32" s="378">
        <f>AVERAGE(B33:B34)</f>
        <v>600</v>
      </c>
      <c r="C32" s="44" t="s">
        <v>510</v>
      </c>
      <c r="D32" s="302">
        <v>80000</v>
      </c>
      <c r="E32" s="44">
        <f>D32*B32/1000</f>
        <v>48000</v>
      </c>
      <c r="F32" s="668"/>
      <c r="G32" s="668"/>
      <c r="H32" s="668"/>
      <c r="I32" s="668"/>
    </row>
    <row r="33" spans="1:12" ht="16.2">
      <c r="A33" s="372" t="s">
        <v>582</v>
      </c>
      <c r="B33" s="44">
        <v>400</v>
      </c>
      <c r="C33" s="44" t="s">
        <v>510</v>
      </c>
      <c r="D33" s="302">
        <v>1</v>
      </c>
      <c r="E33" s="44">
        <f t="shared" ref="E33:E34" si="4">D33*B33/1000</f>
        <v>0.4</v>
      </c>
      <c r="F33" s="668"/>
      <c r="G33" s="668"/>
      <c r="H33" s="668"/>
      <c r="I33" s="668"/>
    </row>
    <row r="34" spans="1:12" ht="16.2">
      <c r="A34" s="372" t="s">
        <v>581</v>
      </c>
      <c r="B34" s="44">
        <v>800</v>
      </c>
      <c r="C34" s="44" t="s">
        <v>510</v>
      </c>
      <c r="D34" s="302">
        <v>1</v>
      </c>
      <c r="E34" s="44">
        <f t="shared" si="4"/>
        <v>0.8</v>
      </c>
    </row>
    <row r="35" spans="1:12">
      <c r="A35" t="s">
        <v>511</v>
      </c>
    </row>
    <row r="36" spans="1:12">
      <c r="A36" s="43" t="s">
        <v>413</v>
      </c>
    </row>
    <row r="38" spans="1:12">
      <c r="A38" s="18" t="s">
        <v>605</v>
      </c>
    </row>
    <row r="39" spans="1:12" ht="15" thickBot="1">
      <c r="B39" s="370" t="s">
        <v>414</v>
      </c>
      <c r="J39" s="371" t="s">
        <v>580</v>
      </c>
    </row>
    <row r="40" spans="1:12">
      <c r="B40" s="678" t="s">
        <v>415</v>
      </c>
      <c r="C40" s="694" t="s">
        <v>416</v>
      </c>
      <c r="D40" s="307" t="s">
        <v>420</v>
      </c>
      <c r="E40" s="696" t="s">
        <v>422</v>
      </c>
      <c r="F40" s="697"/>
      <c r="G40" s="696" t="s">
        <v>423</v>
      </c>
      <c r="H40" s="697"/>
      <c r="J40" s="678" t="s">
        <v>499</v>
      </c>
      <c r="K40" s="685" t="s">
        <v>500</v>
      </c>
      <c r="L40" s="338" t="s">
        <v>501</v>
      </c>
    </row>
    <row r="41" spans="1:12" ht="23.4" thickBot="1">
      <c r="B41" s="679"/>
      <c r="C41" s="695"/>
      <c r="D41" s="308" t="s">
        <v>421</v>
      </c>
      <c r="E41" s="698"/>
      <c r="F41" s="699"/>
      <c r="G41" s="698"/>
      <c r="H41" s="699"/>
      <c r="J41" s="680"/>
      <c r="K41" s="686"/>
      <c r="L41" s="310" t="s">
        <v>502</v>
      </c>
    </row>
    <row r="42" spans="1:12" ht="15" thickBot="1">
      <c r="B42" s="679"/>
      <c r="C42" s="309"/>
      <c r="D42" s="308" t="s">
        <v>424</v>
      </c>
      <c r="E42" s="308" t="s">
        <v>424</v>
      </c>
      <c r="F42" s="310" t="s">
        <v>425</v>
      </c>
      <c r="G42" s="311" t="s">
        <v>426</v>
      </c>
      <c r="H42" s="308" t="s">
        <v>427</v>
      </c>
      <c r="J42" s="330" t="s">
        <v>503</v>
      </c>
      <c r="K42" s="333">
        <v>630</v>
      </c>
      <c r="L42" s="333">
        <v>660</v>
      </c>
    </row>
    <row r="43" spans="1:12" ht="15" thickBot="1">
      <c r="B43" s="680"/>
      <c r="C43" s="312" t="s">
        <v>431</v>
      </c>
      <c r="D43" s="312" t="s">
        <v>428</v>
      </c>
      <c r="E43" s="312" t="s">
        <v>428</v>
      </c>
      <c r="F43" s="312" t="s">
        <v>432</v>
      </c>
      <c r="G43" s="700" t="s">
        <v>432</v>
      </c>
      <c r="H43" s="701"/>
      <c r="J43" s="330" t="s">
        <v>443</v>
      </c>
      <c r="K43" s="333">
        <v>470</v>
      </c>
      <c r="L43" s="333">
        <v>500</v>
      </c>
    </row>
    <row r="44" spans="1:12" ht="15" thickBot="1">
      <c r="B44" s="313" t="s">
        <v>433</v>
      </c>
      <c r="C44" s="314">
        <v>1</v>
      </c>
      <c r="D44" s="315">
        <v>1.4</v>
      </c>
      <c r="E44" s="315">
        <v>1.2</v>
      </c>
      <c r="F44" s="315">
        <v>2</v>
      </c>
      <c r="G44" s="315">
        <v>2.5</v>
      </c>
      <c r="H44" s="315">
        <v>3</v>
      </c>
      <c r="J44" s="330" t="s">
        <v>504</v>
      </c>
      <c r="K44" s="333">
        <v>650</v>
      </c>
      <c r="L44" s="333">
        <v>690</v>
      </c>
    </row>
    <row r="45" spans="1:12" ht="15" thickBot="1">
      <c r="B45" s="316" t="s">
        <v>417</v>
      </c>
      <c r="C45" s="315">
        <v>0.7</v>
      </c>
      <c r="D45" s="314">
        <v>1</v>
      </c>
      <c r="E45" s="315">
        <v>0.8</v>
      </c>
      <c r="F45" s="315">
        <v>1.4</v>
      </c>
      <c r="G45" s="317">
        <v>1.75</v>
      </c>
      <c r="H45" s="317">
        <v>2.1</v>
      </c>
      <c r="J45" s="330" t="s">
        <v>505</v>
      </c>
      <c r="K45" s="333">
        <v>650</v>
      </c>
      <c r="L45" s="333">
        <v>690</v>
      </c>
    </row>
    <row r="46" spans="1:12" ht="15" thickBot="1">
      <c r="B46" s="313" t="s">
        <v>418</v>
      </c>
      <c r="C46" s="315">
        <v>0.85</v>
      </c>
      <c r="D46" s="315">
        <v>1.2</v>
      </c>
      <c r="E46" s="314">
        <v>1</v>
      </c>
      <c r="F46" s="315">
        <v>1.7</v>
      </c>
      <c r="G46" s="315"/>
      <c r="H46" s="315"/>
      <c r="J46" s="330" t="s">
        <v>506</v>
      </c>
      <c r="K46" s="333">
        <v>600</v>
      </c>
      <c r="L46" s="333">
        <v>630</v>
      </c>
    </row>
    <row r="47" spans="1:12" ht="15" thickBot="1">
      <c r="B47" s="313" t="s">
        <v>419</v>
      </c>
      <c r="C47" s="315">
        <v>0.5</v>
      </c>
      <c r="D47" s="315">
        <v>0.7</v>
      </c>
      <c r="E47" s="315">
        <v>0.6</v>
      </c>
      <c r="F47" s="314">
        <v>1</v>
      </c>
      <c r="G47" s="315"/>
      <c r="H47" s="315"/>
      <c r="J47" s="330" t="s">
        <v>507</v>
      </c>
      <c r="K47" s="333">
        <v>490</v>
      </c>
      <c r="L47" s="333">
        <v>520</v>
      </c>
    </row>
    <row r="48" spans="1:12" ht="23.4" thickBot="1">
      <c r="B48" s="313" t="s">
        <v>429</v>
      </c>
      <c r="C48" s="315">
        <v>0.4</v>
      </c>
      <c r="D48" s="317">
        <v>0.55000000000000004</v>
      </c>
      <c r="E48" s="315"/>
      <c r="F48" s="315"/>
      <c r="G48" s="314">
        <v>1</v>
      </c>
      <c r="H48" s="315">
        <v>1.2</v>
      </c>
      <c r="J48" s="330" t="s">
        <v>455</v>
      </c>
      <c r="K48" s="333">
        <v>470</v>
      </c>
      <c r="L48" s="333">
        <v>495</v>
      </c>
    </row>
    <row r="49" spans="2:12" ht="23.4" thickBot="1">
      <c r="B49" s="313" t="s">
        <v>430</v>
      </c>
      <c r="C49" s="315">
        <v>0.33</v>
      </c>
      <c r="D49" s="317">
        <v>0.5</v>
      </c>
      <c r="E49" s="315"/>
      <c r="F49" s="315"/>
      <c r="G49" s="315">
        <v>0.8</v>
      </c>
      <c r="H49" s="314">
        <v>1</v>
      </c>
      <c r="J49" s="330" t="s">
        <v>508</v>
      </c>
      <c r="K49" s="333">
        <v>470</v>
      </c>
      <c r="L49" s="333">
        <v>495</v>
      </c>
    </row>
    <row r="50" spans="2:12" ht="15" thickBot="1">
      <c r="B50" t="s">
        <v>434</v>
      </c>
      <c r="J50" s="330" t="s">
        <v>509</v>
      </c>
      <c r="K50" s="333">
        <v>430</v>
      </c>
      <c r="L50" s="333">
        <v>455</v>
      </c>
    </row>
    <row r="51" spans="2:12">
      <c r="B51" s="43" t="s">
        <v>413</v>
      </c>
    </row>
    <row r="53" spans="2:12" ht="15" thickBot="1">
      <c r="B53" s="369" t="s">
        <v>579</v>
      </c>
    </row>
    <row r="54" spans="2:12" ht="15" thickBot="1">
      <c r="B54" s="318" t="s">
        <v>435</v>
      </c>
      <c r="C54" s="319" t="s">
        <v>436</v>
      </c>
      <c r="D54" s="320" t="s">
        <v>437</v>
      </c>
      <c r="E54" s="321" t="s">
        <v>438</v>
      </c>
      <c r="F54" s="322" t="s">
        <v>439</v>
      </c>
      <c r="G54" s="321" t="s">
        <v>440</v>
      </c>
      <c r="H54" s="320" t="s">
        <v>441</v>
      </c>
      <c r="I54" s="322" t="s">
        <v>442</v>
      </c>
    </row>
    <row r="55" spans="2:12">
      <c r="B55" s="323" t="s">
        <v>443</v>
      </c>
      <c r="C55" s="676">
        <v>19.309999999999999</v>
      </c>
      <c r="D55" s="676">
        <v>19.53</v>
      </c>
      <c r="E55" s="676">
        <v>19.329999999999998</v>
      </c>
      <c r="F55" s="676">
        <v>20.23</v>
      </c>
      <c r="G55" s="676">
        <v>21</v>
      </c>
      <c r="H55" s="676">
        <v>19.53</v>
      </c>
      <c r="I55" s="676">
        <v>22.36</v>
      </c>
    </row>
    <row r="56" spans="2:12" ht="15" thickBot="1">
      <c r="B56" s="324" t="s">
        <v>444</v>
      </c>
      <c r="C56" s="677"/>
      <c r="D56" s="677"/>
      <c r="E56" s="677"/>
      <c r="F56" s="677"/>
      <c r="G56" s="677"/>
      <c r="H56" s="677"/>
      <c r="I56" s="677"/>
    </row>
    <row r="57" spans="2:12">
      <c r="B57" s="323" t="s">
        <v>445</v>
      </c>
      <c r="C57" s="676">
        <v>19.05</v>
      </c>
      <c r="D57" s="676">
        <v>18.8</v>
      </c>
      <c r="E57" s="676">
        <v>19.02</v>
      </c>
      <c r="F57" s="676">
        <v>19.77</v>
      </c>
      <c r="G57" s="676">
        <v>19.22</v>
      </c>
      <c r="H57" s="676">
        <v>19.29</v>
      </c>
      <c r="I57" s="676">
        <v>19.18</v>
      </c>
    </row>
    <row r="58" spans="2:12" ht="15" thickBot="1">
      <c r="B58" s="324" t="s">
        <v>446</v>
      </c>
      <c r="C58" s="677"/>
      <c r="D58" s="677"/>
      <c r="E58" s="677"/>
      <c r="F58" s="677"/>
      <c r="G58" s="677"/>
      <c r="H58" s="677"/>
      <c r="I58" s="677"/>
    </row>
    <row r="59" spans="2:12">
      <c r="B59" s="323" t="s">
        <v>447</v>
      </c>
      <c r="C59" s="676">
        <v>18.62</v>
      </c>
      <c r="D59" s="676">
        <v>22.75</v>
      </c>
      <c r="E59" s="676">
        <v>19.190000000000001</v>
      </c>
      <c r="F59" s="676">
        <v>19.940000000000001</v>
      </c>
      <c r="G59" s="676">
        <v>19.77</v>
      </c>
      <c r="H59" s="676">
        <v>19.3</v>
      </c>
      <c r="I59" s="676">
        <v>18.61</v>
      </c>
    </row>
    <row r="60" spans="2:12" ht="15" thickBot="1">
      <c r="B60" s="324" t="s">
        <v>448</v>
      </c>
      <c r="C60" s="677"/>
      <c r="D60" s="677"/>
      <c r="E60" s="677"/>
      <c r="F60" s="677"/>
      <c r="G60" s="677"/>
      <c r="H60" s="677"/>
      <c r="I60" s="677"/>
    </row>
    <row r="61" spans="2:12">
      <c r="B61" s="323" t="s">
        <v>449</v>
      </c>
      <c r="C61" s="676">
        <v>18.61</v>
      </c>
      <c r="D61" s="676">
        <v>22.53</v>
      </c>
      <c r="E61" s="676">
        <v>19.149999999999999</v>
      </c>
      <c r="F61" s="676">
        <v>19.53</v>
      </c>
      <c r="G61" s="676">
        <v>19.72</v>
      </c>
      <c r="H61" s="676">
        <v>19.21</v>
      </c>
      <c r="I61" s="676">
        <v>18.5</v>
      </c>
    </row>
    <row r="62" spans="2:12" ht="15" thickBot="1">
      <c r="B62" s="324" t="s">
        <v>450</v>
      </c>
      <c r="C62" s="677"/>
      <c r="D62" s="677"/>
      <c r="E62" s="677"/>
      <c r="F62" s="677"/>
      <c r="G62" s="677"/>
      <c r="H62" s="677"/>
      <c r="I62" s="677"/>
    </row>
    <row r="63" spans="2:12">
      <c r="B63" s="323" t="s">
        <v>451</v>
      </c>
      <c r="C63" s="676">
        <v>18.670000000000002</v>
      </c>
      <c r="D63" s="676">
        <v>21.57</v>
      </c>
      <c r="E63" s="676">
        <v>19</v>
      </c>
      <c r="F63" s="676">
        <v>20.03</v>
      </c>
      <c r="G63" s="676">
        <v>20.57</v>
      </c>
      <c r="H63" s="676">
        <v>19.18</v>
      </c>
      <c r="I63" s="676">
        <v>19.27</v>
      </c>
    </row>
    <row r="64" spans="2:12" ht="15" thickBot="1">
      <c r="B64" s="324" t="s">
        <v>452</v>
      </c>
      <c r="C64" s="677"/>
      <c r="D64" s="677"/>
      <c r="E64" s="677"/>
      <c r="F64" s="677"/>
      <c r="G64" s="677"/>
      <c r="H64" s="677"/>
      <c r="I64" s="677"/>
    </row>
    <row r="65" spans="2:9">
      <c r="B65" s="323" t="s">
        <v>453</v>
      </c>
      <c r="C65" s="676">
        <v>18.89</v>
      </c>
      <c r="D65" s="676">
        <v>21.44</v>
      </c>
      <c r="E65" s="676">
        <v>19.309999999999999</v>
      </c>
      <c r="F65" s="676">
        <v>19.37</v>
      </c>
      <c r="G65" s="676">
        <v>20.079999999999998</v>
      </c>
      <c r="H65" s="676">
        <v>19.309999999999999</v>
      </c>
      <c r="I65" s="676">
        <v>18.91</v>
      </c>
    </row>
    <row r="66" spans="2:9" ht="15" thickBot="1">
      <c r="B66" s="324" t="s">
        <v>454</v>
      </c>
      <c r="C66" s="677"/>
      <c r="D66" s="677"/>
      <c r="E66" s="677"/>
      <c r="F66" s="677"/>
      <c r="G66" s="677"/>
      <c r="H66" s="677"/>
      <c r="I66" s="677"/>
    </row>
    <row r="67" spans="2:9">
      <c r="B67" s="323" t="s">
        <v>455</v>
      </c>
      <c r="C67" s="676">
        <v>18.670000000000002</v>
      </c>
      <c r="D67" s="676">
        <v>18.57</v>
      </c>
      <c r="E67" s="676">
        <v>18.649999999999999</v>
      </c>
      <c r="F67" s="676">
        <v>18.61</v>
      </c>
      <c r="G67" s="676">
        <v>19.18</v>
      </c>
      <c r="H67" s="676">
        <v>18.649999999999999</v>
      </c>
      <c r="I67" s="676">
        <v>18.32</v>
      </c>
    </row>
    <row r="68" spans="2:9" ht="15" thickBot="1">
      <c r="B68" s="324" t="s">
        <v>456</v>
      </c>
      <c r="C68" s="677"/>
      <c r="D68" s="677"/>
      <c r="E68" s="677"/>
      <c r="F68" s="677"/>
      <c r="G68" s="677"/>
      <c r="H68" s="677"/>
      <c r="I68" s="677"/>
    </row>
    <row r="69" spans="2:9" ht="15" thickBot="1">
      <c r="B69" s="366" t="s">
        <v>319</v>
      </c>
      <c r="C69" s="367">
        <f>AVERAGE(C55:C68)</f>
        <v>18.831428571428571</v>
      </c>
      <c r="D69" s="367">
        <f t="shared" ref="D69:I69" si="5">AVERAGE(D55:D68)</f>
        <v>20.741428571428571</v>
      </c>
      <c r="E69" s="367">
        <f t="shared" si="5"/>
        <v>19.092857142857145</v>
      </c>
      <c r="F69" s="367">
        <f t="shared" si="5"/>
        <v>19.640000000000004</v>
      </c>
      <c r="G69" s="367">
        <f t="shared" si="5"/>
        <v>19.934285714285714</v>
      </c>
      <c r="H69" s="367">
        <f t="shared" si="5"/>
        <v>19.210000000000004</v>
      </c>
      <c r="I69" s="367">
        <f t="shared" si="5"/>
        <v>19.307142857142857</v>
      </c>
    </row>
    <row r="70" spans="2:9" ht="15" thickBot="1">
      <c r="B70" s="366" t="s">
        <v>576</v>
      </c>
      <c r="C70" s="367">
        <f>AVERAGE(C55:C58)</f>
        <v>19.18</v>
      </c>
      <c r="D70" s="367">
        <f t="shared" ref="D70:I70" si="6">AVERAGE(D55:D58)</f>
        <v>19.164999999999999</v>
      </c>
      <c r="E70" s="367">
        <f t="shared" si="6"/>
        <v>19.174999999999997</v>
      </c>
      <c r="F70" s="367">
        <f t="shared" si="6"/>
        <v>20</v>
      </c>
      <c r="G70" s="367">
        <f t="shared" si="6"/>
        <v>20.11</v>
      </c>
      <c r="H70" s="367">
        <f t="shared" si="6"/>
        <v>19.41</v>
      </c>
      <c r="I70" s="367">
        <f t="shared" si="6"/>
        <v>20.77</v>
      </c>
    </row>
    <row r="71" spans="2:9" ht="15" thickBot="1">
      <c r="B71" s="366" t="s">
        <v>577</v>
      </c>
      <c r="C71" s="367">
        <f>AVERAGE(C59:C68)</f>
        <v>18.692</v>
      </c>
      <c r="D71" s="367">
        <f t="shared" ref="D71:I71" si="7">AVERAGE(D59:D68)</f>
        <v>21.371999999999996</v>
      </c>
      <c r="E71" s="367">
        <f t="shared" si="7"/>
        <v>19.060000000000002</v>
      </c>
      <c r="F71" s="367">
        <f t="shared" si="7"/>
        <v>19.496000000000002</v>
      </c>
      <c r="G71" s="367">
        <f t="shared" si="7"/>
        <v>19.863999999999997</v>
      </c>
      <c r="H71" s="367">
        <f t="shared" si="7"/>
        <v>19.130000000000003</v>
      </c>
      <c r="I71" s="367">
        <f t="shared" si="7"/>
        <v>18.721999999999998</v>
      </c>
    </row>
    <row r="73" spans="2:9" ht="15" thickBot="1">
      <c r="B73" s="325" t="s">
        <v>498</v>
      </c>
    </row>
    <row r="74" spans="2:9">
      <c r="B74" s="678" t="s">
        <v>13</v>
      </c>
      <c r="C74" s="326" t="s">
        <v>475</v>
      </c>
      <c r="D74" s="326" t="s">
        <v>475</v>
      </c>
      <c r="E74" s="691" t="s">
        <v>460</v>
      </c>
      <c r="F74" s="326" t="s">
        <v>475</v>
      </c>
      <c r="G74" s="326" t="s">
        <v>475</v>
      </c>
    </row>
    <row r="75" spans="2:9" ht="22.8">
      <c r="B75" s="679"/>
      <c r="C75" s="335" t="s">
        <v>457</v>
      </c>
      <c r="D75" s="327" t="s">
        <v>459</v>
      </c>
      <c r="E75" s="692"/>
      <c r="F75" s="327" t="s">
        <v>461</v>
      </c>
      <c r="G75" s="327" t="s">
        <v>473</v>
      </c>
    </row>
    <row r="76" spans="2:9" ht="15" thickBot="1">
      <c r="B76" s="680"/>
      <c r="C76" s="336" t="s">
        <v>458</v>
      </c>
      <c r="D76" s="337"/>
      <c r="E76" s="693"/>
      <c r="F76" s="328" t="s">
        <v>474</v>
      </c>
      <c r="G76" s="337"/>
    </row>
    <row r="77" spans="2:9">
      <c r="B77" s="329" t="s">
        <v>423</v>
      </c>
      <c r="C77" s="672" t="s">
        <v>476</v>
      </c>
      <c r="D77" s="672" t="s">
        <v>477</v>
      </c>
      <c r="E77" s="672" t="s">
        <v>478</v>
      </c>
      <c r="F77" s="672" t="s">
        <v>479</v>
      </c>
      <c r="G77" s="670" t="s">
        <v>480</v>
      </c>
    </row>
    <row r="78" spans="2:9" ht="15" thickBot="1">
      <c r="B78" s="330" t="s">
        <v>462</v>
      </c>
      <c r="C78" s="673"/>
      <c r="D78" s="673"/>
      <c r="E78" s="673"/>
      <c r="F78" s="673"/>
      <c r="G78" s="671"/>
    </row>
    <row r="79" spans="2:9" ht="24.6" thickBot="1">
      <c r="B79" s="332" t="s">
        <v>463</v>
      </c>
      <c r="C79" s="333">
        <v>15</v>
      </c>
      <c r="D79" s="333">
        <v>4.2</v>
      </c>
      <c r="E79" s="333" t="s">
        <v>481</v>
      </c>
      <c r="F79" s="333" t="s">
        <v>482</v>
      </c>
      <c r="G79" s="334" t="s">
        <v>485</v>
      </c>
    </row>
    <row r="80" spans="2:9" ht="15" thickBot="1">
      <c r="B80" s="332" t="s">
        <v>464</v>
      </c>
      <c r="C80" s="333" t="s">
        <v>488</v>
      </c>
      <c r="D80" s="333" t="s">
        <v>487</v>
      </c>
      <c r="E80" s="333" t="s">
        <v>486</v>
      </c>
      <c r="F80" s="333" t="s">
        <v>483</v>
      </c>
      <c r="G80" s="334" t="s">
        <v>484</v>
      </c>
    </row>
    <row r="81" spans="2:10" ht="15" thickBot="1">
      <c r="B81" s="332" t="s">
        <v>465</v>
      </c>
      <c r="C81" s="333">
        <v>18</v>
      </c>
      <c r="D81" s="333">
        <v>5</v>
      </c>
      <c r="E81" s="333" t="s">
        <v>489</v>
      </c>
      <c r="F81" s="333" t="s">
        <v>466</v>
      </c>
      <c r="G81" s="334" t="s">
        <v>491</v>
      </c>
    </row>
    <row r="82" spans="2:10" ht="24.6" thickBot="1">
      <c r="B82" s="332" t="s">
        <v>467</v>
      </c>
      <c r="C82" s="333">
        <v>17</v>
      </c>
      <c r="D82" s="333">
        <v>4.7</v>
      </c>
      <c r="E82" s="333" t="s">
        <v>490</v>
      </c>
      <c r="F82" s="333" t="s">
        <v>493</v>
      </c>
      <c r="G82" s="334" t="s">
        <v>492</v>
      </c>
    </row>
    <row r="83" spans="2:10" ht="15" thickBot="1">
      <c r="B83" s="332" t="s">
        <v>468</v>
      </c>
      <c r="C83" s="333" t="s">
        <v>494</v>
      </c>
      <c r="D83" s="333" t="s">
        <v>469</v>
      </c>
      <c r="E83" s="315" t="s">
        <v>495</v>
      </c>
      <c r="F83" s="333" t="s">
        <v>496</v>
      </c>
      <c r="G83" s="334" t="s">
        <v>497</v>
      </c>
    </row>
    <row r="84" spans="2:10" ht="15" thickBot="1">
      <c r="B84" s="332" t="s">
        <v>470</v>
      </c>
      <c r="C84" s="333">
        <v>42</v>
      </c>
      <c r="D84" s="333">
        <v>11.7</v>
      </c>
      <c r="E84" s="333">
        <v>36500</v>
      </c>
      <c r="F84" s="333">
        <v>36500</v>
      </c>
      <c r="G84" s="333">
        <v>10200</v>
      </c>
    </row>
    <row r="85" spans="2:10">
      <c r="B85" s="670" t="s">
        <v>471</v>
      </c>
      <c r="C85" s="331">
        <v>53</v>
      </c>
      <c r="D85" s="331">
        <v>14.9</v>
      </c>
      <c r="E85" s="672">
        <v>0.7</v>
      </c>
      <c r="F85" s="331">
        <v>37.4</v>
      </c>
      <c r="G85" s="674" t="s">
        <v>472</v>
      </c>
    </row>
    <row r="86" spans="2:10" ht="15" thickBot="1">
      <c r="B86" s="671"/>
      <c r="C86" s="333">
        <v>48</v>
      </c>
      <c r="D86" s="333">
        <v>13.4</v>
      </c>
      <c r="E86" s="673"/>
      <c r="F86" s="333">
        <v>33.799999999999997</v>
      </c>
      <c r="G86" s="675"/>
    </row>
    <row r="88" spans="2:10">
      <c r="B88" t="s">
        <v>513</v>
      </c>
      <c r="C88" s="161" t="s">
        <v>673</v>
      </c>
    </row>
    <row r="89" spans="2:10">
      <c r="B89" s="43" t="s">
        <v>674</v>
      </c>
      <c r="C89" s="161"/>
      <c r="J89" s="340"/>
    </row>
    <row r="90" spans="2:10">
      <c r="B90" t="s">
        <v>675</v>
      </c>
      <c r="C90" s="161"/>
    </row>
    <row r="91" spans="2:10" ht="15" thickBot="1">
      <c r="B91" s="162" t="s">
        <v>783</v>
      </c>
      <c r="C91" s="161"/>
    </row>
    <row r="92" spans="2:10" ht="14.55" customHeight="1">
      <c r="B92" s="687" t="s">
        <v>514</v>
      </c>
      <c r="C92" s="689" t="s">
        <v>601</v>
      </c>
      <c r="D92" s="689" t="s">
        <v>515</v>
      </c>
      <c r="E92" s="689" t="s">
        <v>516</v>
      </c>
      <c r="F92" s="689" t="s">
        <v>517</v>
      </c>
      <c r="G92" s="689" t="s">
        <v>518</v>
      </c>
    </row>
    <row r="93" spans="2:10" ht="15" thickBot="1">
      <c r="B93" s="688"/>
      <c r="C93" s="690"/>
      <c r="D93" s="690"/>
      <c r="E93" s="690"/>
      <c r="F93" s="690"/>
      <c r="G93" s="690"/>
    </row>
    <row r="94" spans="2:10" ht="15" thickBot="1">
      <c r="B94" s="341" t="s">
        <v>519</v>
      </c>
      <c r="C94" s="342" t="s">
        <v>520</v>
      </c>
      <c r="D94" s="342" t="s">
        <v>520</v>
      </c>
      <c r="E94" s="342" t="s">
        <v>520</v>
      </c>
      <c r="F94" s="342" t="s">
        <v>520</v>
      </c>
      <c r="G94" s="342" t="s">
        <v>520</v>
      </c>
    </row>
    <row r="95" spans="2:10" ht="15" thickBot="1">
      <c r="B95" s="343" t="s">
        <v>521</v>
      </c>
      <c r="C95" s="344">
        <v>45.5</v>
      </c>
      <c r="D95" s="342" t="s">
        <v>522</v>
      </c>
      <c r="E95" s="342">
        <v>17.39</v>
      </c>
      <c r="F95" s="342">
        <v>1</v>
      </c>
      <c r="G95" s="342" t="s">
        <v>523</v>
      </c>
    </row>
    <row r="96" spans="2:10" ht="27" thickBot="1">
      <c r="B96" s="343" t="s">
        <v>524</v>
      </c>
      <c r="C96" s="344">
        <v>44</v>
      </c>
      <c r="D96" s="342" t="s">
        <v>522</v>
      </c>
      <c r="E96" s="342">
        <v>19.22</v>
      </c>
      <c r="F96" s="342">
        <v>1</v>
      </c>
      <c r="G96" s="342" t="s">
        <v>523</v>
      </c>
    </row>
    <row r="97" spans="2:7" ht="15" thickBot="1">
      <c r="B97" s="343" t="s">
        <v>525</v>
      </c>
      <c r="C97" s="344">
        <v>42.5</v>
      </c>
      <c r="D97" s="342" t="s">
        <v>522</v>
      </c>
      <c r="E97" s="342">
        <v>20.23</v>
      </c>
      <c r="F97" s="342">
        <v>1</v>
      </c>
      <c r="G97" s="342" t="s">
        <v>523</v>
      </c>
    </row>
    <row r="98" spans="2:7" ht="26.4" customHeight="1" thickBot="1">
      <c r="B98" s="343" t="s">
        <v>526</v>
      </c>
      <c r="C98" s="344">
        <v>39.22</v>
      </c>
      <c r="D98" s="342" t="s">
        <v>522</v>
      </c>
      <c r="E98" s="344">
        <v>21.1</v>
      </c>
      <c r="F98" s="342">
        <v>1</v>
      </c>
      <c r="G98" s="342" t="s">
        <v>527</v>
      </c>
    </row>
    <row r="99" spans="2:7" ht="27" thickBot="1">
      <c r="B99" s="343" t="s">
        <v>528</v>
      </c>
      <c r="C99" s="344">
        <v>42.3</v>
      </c>
      <c r="D99" s="342" t="s">
        <v>522</v>
      </c>
      <c r="E99" s="344">
        <v>20.2</v>
      </c>
      <c r="F99" s="342">
        <v>1</v>
      </c>
      <c r="G99" s="342" t="s">
        <v>529</v>
      </c>
    </row>
    <row r="100" spans="2:7" ht="15" thickBot="1">
      <c r="B100" s="343" t="s">
        <v>530</v>
      </c>
      <c r="C100" s="344">
        <v>42.3</v>
      </c>
      <c r="D100" s="342" t="s">
        <v>522</v>
      </c>
      <c r="E100" s="342">
        <v>19.940000000000001</v>
      </c>
      <c r="F100" s="342">
        <v>1</v>
      </c>
      <c r="G100" s="342" t="s">
        <v>523</v>
      </c>
    </row>
    <row r="101" spans="2:7" ht="27" thickBot="1">
      <c r="B101" s="343" t="s">
        <v>531</v>
      </c>
      <c r="C101" s="344">
        <v>40.15</v>
      </c>
      <c r="D101" s="342" t="s">
        <v>522</v>
      </c>
      <c r="E101" s="342">
        <v>20.74</v>
      </c>
      <c r="F101" s="342">
        <v>1</v>
      </c>
      <c r="G101" s="342" t="s">
        <v>523</v>
      </c>
    </row>
    <row r="102" spans="2:7" ht="15" thickBot="1">
      <c r="B102" s="341" t="s">
        <v>532</v>
      </c>
      <c r="C102" s="344" t="s">
        <v>520</v>
      </c>
      <c r="D102" s="342" t="s">
        <v>520</v>
      </c>
      <c r="E102" s="342" t="s">
        <v>520</v>
      </c>
      <c r="F102" s="342" t="s">
        <v>520</v>
      </c>
      <c r="G102" s="342" t="s">
        <v>520</v>
      </c>
    </row>
    <row r="103" spans="2:7" ht="15" thickBot="1">
      <c r="B103" s="343" t="s">
        <v>533</v>
      </c>
      <c r="C103" s="344">
        <v>22</v>
      </c>
      <c r="D103" s="342" t="s">
        <v>522</v>
      </c>
      <c r="E103" s="342">
        <v>25.76</v>
      </c>
      <c r="F103" s="342">
        <v>1</v>
      </c>
      <c r="G103" s="342" t="s">
        <v>523</v>
      </c>
    </row>
    <row r="104" spans="2:7" ht="15" thickBot="1">
      <c r="B104" s="343" t="s">
        <v>534</v>
      </c>
      <c r="C104" s="344">
        <v>28.5</v>
      </c>
      <c r="D104" s="342" t="s">
        <v>522</v>
      </c>
      <c r="E104" s="342">
        <v>29.02</v>
      </c>
      <c r="F104" s="342">
        <v>1</v>
      </c>
      <c r="G104" s="342" t="s">
        <v>523</v>
      </c>
    </row>
    <row r="105" spans="2:7" ht="14.55" customHeight="1">
      <c r="B105" s="707" t="s">
        <v>535</v>
      </c>
      <c r="C105" s="683">
        <v>8.16</v>
      </c>
      <c r="D105" s="681" t="s">
        <v>522</v>
      </c>
      <c r="E105" s="345" t="s">
        <v>536</v>
      </c>
      <c r="F105" s="681">
        <v>1</v>
      </c>
      <c r="G105" s="681" t="s">
        <v>537</v>
      </c>
    </row>
    <row r="106" spans="2:7" ht="15" thickBot="1">
      <c r="B106" s="708"/>
      <c r="C106" s="684"/>
      <c r="D106" s="682"/>
      <c r="E106" s="342">
        <v>27.25</v>
      </c>
      <c r="F106" s="682"/>
      <c r="G106" s="682"/>
    </row>
    <row r="107" spans="2:7" ht="14.55" customHeight="1">
      <c r="B107" s="707" t="s">
        <v>538</v>
      </c>
      <c r="C107" s="683">
        <v>7.47</v>
      </c>
      <c r="D107" s="681" t="s">
        <v>522</v>
      </c>
      <c r="E107" s="345" t="s">
        <v>539</v>
      </c>
      <c r="F107" s="681">
        <v>1</v>
      </c>
      <c r="G107" s="681" t="s">
        <v>537</v>
      </c>
    </row>
    <row r="108" spans="2:7" ht="15" thickBot="1">
      <c r="B108" s="708"/>
      <c r="C108" s="684"/>
      <c r="D108" s="682"/>
      <c r="E108" s="342">
        <v>29.14</v>
      </c>
      <c r="F108" s="682"/>
      <c r="G108" s="682"/>
    </row>
    <row r="109" spans="2:7" ht="15" thickBot="1">
      <c r="B109" s="346" t="s">
        <v>540</v>
      </c>
      <c r="C109" s="344">
        <v>9.6999999999999993</v>
      </c>
      <c r="D109" s="342" t="s">
        <v>522</v>
      </c>
      <c r="E109" s="342">
        <v>28.9</v>
      </c>
      <c r="F109" s="342">
        <v>1</v>
      </c>
      <c r="G109" s="342" t="s">
        <v>541</v>
      </c>
    </row>
    <row r="110" spans="2:7" ht="16.8" thickBot="1">
      <c r="B110" s="383" t="s">
        <v>602</v>
      </c>
      <c r="C110" s="344">
        <v>12</v>
      </c>
      <c r="D110" s="342" t="s">
        <v>522</v>
      </c>
      <c r="E110" s="342">
        <v>27.82</v>
      </c>
      <c r="F110" s="342">
        <v>1</v>
      </c>
      <c r="G110" s="342" t="s">
        <v>542</v>
      </c>
    </row>
    <row r="111" spans="2:7" ht="15" thickBot="1">
      <c r="B111" s="343" t="s">
        <v>543</v>
      </c>
      <c r="C111" s="344">
        <v>16</v>
      </c>
      <c r="D111" s="342" t="s">
        <v>522</v>
      </c>
      <c r="E111" s="342">
        <v>26.45</v>
      </c>
      <c r="F111" s="342">
        <v>1</v>
      </c>
      <c r="G111" s="342" t="s">
        <v>542</v>
      </c>
    </row>
    <row r="112" spans="2:7" ht="40.200000000000003" thickBot="1">
      <c r="B112" s="343" t="s">
        <v>544</v>
      </c>
      <c r="C112" s="344">
        <v>56.95</v>
      </c>
      <c r="D112" s="342" t="s">
        <v>545</v>
      </c>
      <c r="E112" s="344">
        <v>18.690000000000001</v>
      </c>
      <c r="F112" s="342">
        <v>1</v>
      </c>
      <c r="G112" s="342" t="s">
        <v>537</v>
      </c>
    </row>
    <row r="113" spans="2:7" ht="40.200000000000003" thickBot="1">
      <c r="B113" s="343" t="s">
        <v>546</v>
      </c>
      <c r="C113" s="344">
        <v>47.76</v>
      </c>
      <c r="D113" s="342" t="s">
        <v>545</v>
      </c>
      <c r="E113" s="342">
        <v>19.579999999999998</v>
      </c>
      <c r="F113" s="342">
        <v>1</v>
      </c>
      <c r="G113" s="342" t="s">
        <v>537</v>
      </c>
    </row>
    <row r="114" spans="2:7" ht="27" thickBot="1">
      <c r="B114" s="343" t="s">
        <v>547</v>
      </c>
      <c r="C114" s="344">
        <v>43.12</v>
      </c>
      <c r="D114" s="342" t="s">
        <v>545</v>
      </c>
      <c r="E114" s="342">
        <v>18.78</v>
      </c>
      <c r="F114" s="342">
        <v>1</v>
      </c>
      <c r="G114" s="342" t="s">
        <v>537</v>
      </c>
    </row>
    <row r="115" spans="2:7" ht="26.4">
      <c r="B115" s="346" t="s">
        <v>548</v>
      </c>
      <c r="C115" s="683">
        <v>43.12</v>
      </c>
      <c r="D115" s="681" t="s">
        <v>545</v>
      </c>
      <c r="E115" s="681">
        <v>18.78</v>
      </c>
      <c r="F115" s="681">
        <v>1</v>
      </c>
      <c r="G115" s="681" t="s">
        <v>537</v>
      </c>
    </row>
    <row r="116" spans="2:7" ht="15" thickBot="1">
      <c r="B116" s="343" t="s">
        <v>549</v>
      </c>
      <c r="C116" s="684"/>
      <c r="D116" s="682"/>
      <c r="E116" s="682"/>
      <c r="F116" s="682"/>
      <c r="G116" s="682"/>
    </row>
    <row r="117" spans="2:7" ht="26.4">
      <c r="B117" s="346" t="s">
        <v>550</v>
      </c>
      <c r="C117" s="683">
        <v>43.12</v>
      </c>
      <c r="D117" s="681" t="s">
        <v>545</v>
      </c>
      <c r="E117" s="681">
        <v>18.78</v>
      </c>
      <c r="F117" s="681">
        <v>1</v>
      </c>
      <c r="G117" s="681" t="s">
        <v>537</v>
      </c>
    </row>
    <row r="118" spans="2:7" ht="15" thickBot="1">
      <c r="B118" s="343" t="s">
        <v>551</v>
      </c>
      <c r="C118" s="684"/>
      <c r="D118" s="682"/>
      <c r="E118" s="682"/>
      <c r="F118" s="682"/>
      <c r="G118" s="682"/>
    </row>
    <row r="119" spans="2:7" ht="27" thickBot="1">
      <c r="B119" s="343" t="s">
        <v>552</v>
      </c>
      <c r="C119" s="344">
        <v>49.33</v>
      </c>
      <c r="D119" s="342" t="s">
        <v>545</v>
      </c>
      <c r="E119" s="342">
        <v>18.690000000000001</v>
      </c>
      <c r="F119" s="342">
        <v>1</v>
      </c>
      <c r="G119" s="342" t="s">
        <v>537</v>
      </c>
    </row>
    <row r="120" spans="2:7" ht="27" thickBot="1">
      <c r="B120" s="343" t="s">
        <v>553</v>
      </c>
      <c r="C120" s="344">
        <v>2.73</v>
      </c>
      <c r="D120" s="342" t="s">
        <v>545</v>
      </c>
      <c r="E120" s="342">
        <v>42.1</v>
      </c>
      <c r="F120" s="342">
        <v>1</v>
      </c>
      <c r="G120" s="342" t="s">
        <v>537</v>
      </c>
    </row>
    <row r="121" spans="2:7" ht="27" thickBot="1">
      <c r="B121" s="343" t="s">
        <v>554</v>
      </c>
      <c r="C121" s="344">
        <v>2.9</v>
      </c>
      <c r="D121" s="342" t="s">
        <v>545</v>
      </c>
      <c r="E121" s="342">
        <v>47.15</v>
      </c>
      <c r="F121" s="342">
        <v>1</v>
      </c>
      <c r="G121" s="342" t="s">
        <v>537</v>
      </c>
    </row>
    <row r="122" spans="2:7" ht="15" thickBot="1">
      <c r="B122" s="343" t="s">
        <v>555</v>
      </c>
      <c r="C122" s="344">
        <v>44</v>
      </c>
      <c r="D122" s="342" t="s">
        <v>522</v>
      </c>
      <c r="E122" s="342">
        <v>19.09</v>
      </c>
      <c r="F122" s="342">
        <v>1</v>
      </c>
      <c r="G122" s="345" t="s">
        <v>523</v>
      </c>
    </row>
    <row r="123" spans="2:7" ht="27" thickBot="1">
      <c r="B123" s="347" t="s">
        <v>556</v>
      </c>
      <c r="C123" s="348">
        <v>16</v>
      </c>
      <c r="D123" s="349" t="s">
        <v>522</v>
      </c>
      <c r="E123" s="349">
        <v>20.18</v>
      </c>
      <c r="F123" s="350" t="s">
        <v>557</v>
      </c>
      <c r="G123" s="351" t="s">
        <v>558</v>
      </c>
    </row>
    <row r="124" spans="2:7" ht="40.200000000000003" thickBot="1">
      <c r="B124" s="352" t="s">
        <v>559</v>
      </c>
      <c r="C124" s="353">
        <v>17.79</v>
      </c>
      <c r="D124" s="349" t="s">
        <v>522</v>
      </c>
      <c r="E124" s="349">
        <v>21.82</v>
      </c>
      <c r="F124" s="349">
        <v>1</v>
      </c>
      <c r="G124" s="345" t="s">
        <v>558</v>
      </c>
    </row>
    <row r="125" spans="2:7" ht="27" thickBot="1">
      <c r="B125" s="354" t="s">
        <v>560</v>
      </c>
      <c r="C125" s="355">
        <v>21.12</v>
      </c>
      <c r="D125" s="356" t="s">
        <v>522</v>
      </c>
      <c r="E125" s="356">
        <v>20.45</v>
      </c>
      <c r="F125" s="356">
        <v>1</v>
      </c>
      <c r="G125" s="357" t="s">
        <v>558</v>
      </c>
    </row>
    <row r="126" spans="2:7" ht="40.200000000000003" thickBot="1">
      <c r="B126" s="352" t="s">
        <v>561</v>
      </c>
      <c r="C126" s="344">
        <v>9</v>
      </c>
      <c r="D126" s="342" t="s">
        <v>522</v>
      </c>
      <c r="E126" s="342">
        <v>17.940000000000001</v>
      </c>
      <c r="F126" s="342">
        <v>1</v>
      </c>
      <c r="G126" s="342" t="s">
        <v>562</v>
      </c>
    </row>
    <row r="127" spans="2:7" ht="15" thickBot="1">
      <c r="B127" s="341" t="s">
        <v>563</v>
      </c>
      <c r="C127" s="344" t="s">
        <v>520</v>
      </c>
      <c r="D127" s="342" t="s">
        <v>520</v>
      </c>
      <c r="E127" s="342" t="s">
        <v>520</v>
      </c>
      <c r="F127" s="342" t="s">
        <v>520</v>
      </c>
      <c r="G127" s="342" t="s">
        <v>520</v>
      </c>
    </row>
    <row r="128" spans="2:7" ht="16.2" thickBot="1">
      <c r="B128" s="343" t="s">
        <v>564</v>
      </c>
      <c r="C128" s="344">
        <v>33.6</v>
      </c>
      <c r="D128" s="342" t="s">
        <v>545</v>
      </c>
      <c r="E128" s="342">
        <v>15.07</v>
      </c>
      <c r="F128" s="342">
        <v>1</v>
      </c>
      <c r="G128" s="342" t="s">
        <v>523</v>
      </c>
    </row>
    <row r="129" spans="1:7" ht="15" thickBot="1">
      <c r="B129" s="341" t="s">
        <v>565</v>
      </c>
      <c r="C129" s="358" t="s">
        <v>520</v>
      </c>
      <c r="D129" s="342" t="s">
        <v>520</v>
      </c>
      <c r="E129" s="342" t="s">
        <v>520</v>
      </c>
      <c r="F129" s="342" t="s">
        <v>520</v>
      </c>
      <c r="G129" s="342" t="s">
        <v>520</v>
      </c>
    </row>
    <row r="130" spans="1:7" ht="53.4" thickBot="1">
      <c r="B130" s="359" t="s">
        <v>566</v>
      </c>
      <c r="C130" s="360" t="s">
        <v>567</v>
      </c>
      <c r="D130" s="361" t="s">
        <v>522</v>
      </c>
      <c r="E130" s="342">
        <v>30.5</v>
      </c>
      <c r="F130" s="349">
        <v>1</v>
      </c>
      <c r="G130" s="349" t="s">
        <v>541</v>
      </c>
    </row>
    <row r="131" spans="1:7" ht="15" thickBot="1">
      <c r="B131" s="352" t="s">
        <v>568</v>
      </c>
      <c r="C131" s="360">
        <v>13.4</v>
      </c>
      <c r="D131" s="351" t="s">
        <v>522</v>
      </c>
      <c r="E131" s="362">
        <v>26</v>
      </c>
      <c r="F131" s="363">
        <v>1</v>
      </c>
      <c r="G131" s="357" t="s">
        <v>541</v>
      </c>
    </row>
    <row r="132" spans="1:7" ht="40.200000000000003" thickBot="1">
      <c r="B132" s="343" t="s">
        <v>569</v>
      </c>
      <c r="C132" s="344">
        <v>17.399999999999999</v>
      </c>
      <c r="D132" s="342" t="s">
        <v>545</v>
      </c>
      <c r="E132" s="342">
        <v>14.89</v>
      </c>
      <c r="F132" s="342">
        <v>1</v>
      </c>
      <c r="G132" s="342" t="s">
        <v>541</v>
      </c>
    </row>
    <row r="133" spans="1:7">
      <c r="B133" s="364" t="s">
        <v>570</v>
      </c>
    </row>
    <row r="134" spans="1:7">
      <c r="B134" t="s">
        <v>571</v>
      </c>
    </row>
    <row r="135" spans="1:7" ht="16.2">
      <c r="B135" s="162" t="s">
        <v>572</v>
      </c>
    </row>
    <row r="136" spans="1:7">
      <c r="B136" s="365" t="s">
        <v>573</v>
      </c>
    </row>
    <row r="138" spans="1:7">
      <c r="A138" s="438"/>
      <c r="B138" t="s">
        <v>513</v>
      </c>
    </row>
    <row r="139" spans="1:7">
      <c r="B139" s="43" t="s">
        <v>674</v>
      </c>
    </row>
    <row r="140" spans="1:7">
      <c r="A140" s="43"/>
      <c r="B140" t="s">
        <v>784</v>
      </c>
    </row>
    <row r="141" spans="1:7" ht="15" thickBot="1">
      <c r="A141" s="43"/>
      <c r="B141" s="162" t="s">
        <v>785</v>
      </c>
    </row>
    <row r="142" spans="1:7" ht="14.4" customHeight="1">
      <c r="A142" s="43"/>
      <c r="B142" s="689" t="s">
        <v>514</v>
      </c>
      <c r="C142" s="703" t="s">
        <v>786</v>
      </c>
      <c r="D142" s="704"/>
      <c r="E142" s="689" t="s">
        <v>787</v>
      </c>
    </row>
    <row r="143" spans="1:7">
      <c r="A143" s="43"/>
      <c r="B143" s="702"/>
      <c r="C143" s="705"/>
      <c r="D143" s="706"/>
      <c r="E143" s="702"/>
    </row>
    <row r="144" spans="1:7" ht="15" thickBot="1">
      <c r="A144" s="43"/>
      <c r="B144" s="690"/>
      <c r="C144" s="479" t="s">
        <v>141</v>
      </c>
      <c r="D144" s="479" t="s">
        <v>142</v>
      </c>
      <c r="E144" s="690"/>
    </row>
    <row r="145" spans="1:5" ht="27" thickBot="1">
      <c r="B145" s="352" t="s">
        <v>166</v>
      </c>
      <c r="C145" s="360">
        <v>0.28999999999999998</v>
      </c>
      <c r="D145" s="351">
        <v>0.21</v>
      </c>
      <c r="E145" s="342" t="s">
        <v>788</v>
      </c>
    </row>
    <row r="146" spans="1:5" ht="27" thickBot="1">
      <c r="A146" s="43"/>
      <c r="B146" s="343" t="s">
        <v>26</v>
      </c>
      <c r="C146" s="344">
        <v>2.5000000000000001E-3</v>
      </c>
      <c r="D146" s="342">
        <v>0.12</v>
      </c>
      <c r="E146" s="342" t="s">
        <v>788</v>
      </c>
    </row>
    <row r="147" spans="1:5" ht="26.4">
      <c r="B147" s="346" t="s">
        <v>672</v>
      </c>
      <c r="C147" s="358">
        <v>2.5000000000000001E-3</v>
      </c>
      <c r="D147" s="345">
        <v>0.12</v>
      </c>
      <c r="E147" s="345" t="s">
        <v>788</v>
      </c>
    </row>
    <row r="148" spans="1:5">
      <c r="B148" s="519" t="s">
        <v>59</v>
      </c>
      <c r="C148" s="520">
        <v>0</v>
      </c>
      <c r="D148" s="521">
        <v>0</v>
      </c>
      <c r="E148" s="1"/>
    </row>
    <row r="149" spans="1:5">
      <c r="B149" s="519" t="s">
        <v>25</v>
      </c>
      <c r="C149" s="520">
        <v>0</v>
      </c>
      <c r="D149" s="521">
        <v>0</v>
      </c>
      <c r="E149" s="1"/>
    </row>
  </sheetData>
  <sheetProtection algorithmName="SHA-512" hashValue="xaUu92d4EjsHnjg0EqWe4PjsOriz7sHqXc+ldyaksMrut0Q1CddBNmSDjmFUXR7W5DdHiw7mrD0//GgvRImGbw==" saltValue="QTVuzucbdrasO4TeMIp/8w==" spinCount="100000" sheet="1" objects="1" scenarios="1"/>
  <mergeCells count="101">
    <mergeCell ref="C117:C118"/>
    <mergeCell ref="C55:C56"/>
    <mergeCell ref="D55:D56"/>
    <mergeCell ref="E55:E56"/>
    <mergeCell ref="F55:F56"/>
    <mergeCell ref="G55:G56"/>
    <mergeCell ref="B142:B144"/>
    <mergeCell ref="E142:E144"/>
    <mergeCell ref="C142:D143"/>
    <mergeCell ref="B107:B108"/>
    <mergeCell ref="C107:C108"/>
    <mergeCell ref="D107:D108"/>
    <mergeCell ref="F107:F108"/>
    <mergeCell ref="G107:G108"/>
    <mergeCell ref="B105:B106"/>
    <mergeCell ref="C92:C93"/>
    <mergeCell ref="C105:C106"/>
    <mergeCell ref="D105:D106"/>
    <mergeCell ref="F105:F106"/>
    <mergeCell ref="G105:G106"/>
    <mergeCell ref="C40:C41"/>
    <mergeCell ref="E40:F41"/>
    <mergeCell ref="G40:H41"/>
    <mergeCell ref="G43:H43"/>
    <mergeCell ref="H59:H60"/>
    <mergeCell ref="H55:H56"/>
    <mergeCell ref="E65:E66"/>
    <mergeCell ref="F65:F66"/>
    <mergeCell ref="G65:G66"/>
    <mergeCell ref="K40:K41"/>
    <mergeCell ref="B92:B93"/>
    <mergeCell ref="D92:D93"/>
    <mergeCell ref="E92:E93"/>
    <mergeCell ref="F92:F93"/>
    <mergeCell ref="G92:G93"/>
    <mergeCell ref="B74:B76"/>
    <mergeCell ref="E74:E76"/>
    <mergeCell ref="C77:C78"/>
    <mergeCell ref="D77:D78"/>
    <mergeCell ref="E77:E78"/>
    <mergeCell ref="F77:F78"/>
    <mergeCell ref="G77:G78"/>
    <mergeCell ref="I67:I68"/>
    <mergeCell ref="C67:C68"/>
    <mergeCell ref="I59:I60"/>
    <mergeCell ref="C61:C62"/>
    <mergeCell ref="D61:D62"/>
    <mergeCell ref="E61:E62"/>
    <mergeCell ref="F61:F62"/>
    <mergeCell ref="G61:G62"/>
    <mergeCell ref="H61:H62"/>
    <mergeCell ref="I61:I62"/>
    <mergeCell ref="C59:C60"/>
    <mergeCell ref="J40:J41"/>
    <mergeCell ref="D59:D60"/>
    <mergeCell ref="E59:E60"/>
    <mergeCell ref="F59:F60"/>
    <mergeCell ref="G59:G60"/>
    <mergeCell ref="I55:I56"/>
    <mergeCell ref="C57:C58"/>
    <mergeCell ref="D57:D58"/>
    <mergeCell ref="D117:D118"/>
    <mergeCell ref="E117:E118"/>
    <mergeCell ref="F117:F118"/>
    <mergeCell ref="G117:G118"/>
    <mergeCell ref="I63:I64"/>
    <mergeCell ref="C115:C116"/>
    <mergeCell ref="D115:D116"/>
    <mergeCell ref="E115:E116"/>
    <mergeCell ref="F115:F116"/>
    <mergeCell ref="G115:G116"/>
    <mergeCell ref="H65:H66"/>
    <mergeCell ref="I65:I66"/>
    <mergeCell ref="C63:C64"/>
    <mergeCell ref="D63:D64"/>
    <mergeCell ref="E63:E64"/>
    <mergeCell ref="F63:F64"/>
    <mergeCell ref="A1:I1"/>
    <mergeCell ref="F23:I26"/>
    <mergeCell ref="F30:I33"/>
    <mergeCell ref="A23:E23"/>
    <mergeCell ref="A30:E30"/>
    <mergeCell ref="A2:C2"/>
    <mergeCell ref="B85:B86"/>
    <mergeCell ref="E85:E86"/>
    <mergeCell ref="G85:G86"/>
    <mergeCell ref="D67:D68"/>
    <mergeCell ref="E67:E68"/>
    <mergeCell ref="F67:F68"/>
    <mergeCell ref="G67:G68"/>
    <mergeCell ref="H67:H68"/>
    <mergeCell ref="G63:G64"/>
    <mergeCell ref="H63:H64"/>
    <mergeCell ref="C65:C66"/>
    <mergeCell ref="D65:D66"/>
    <mergeCell ref="E57:E58"/>
    <mergeCell ref="F57:F58"/>
    <mergeCell ref="G57:G58"/>
    <mergeCell ref="H57:H58"/>
    <mergeCell ref="I57:I58"/>
    <mergeCell ref="B40:B43"/>
  </mergeCells>
  <phoneticPr fontId="25" type="noConversion"/>
  <hyperlinks>
    <hyperlink ref="A36" r:id="rId1" xr:uid="{0DDB4EDF-5C85-4324-BD3B-AAD11DE00286}"/>
    <hyperlink ref="B51" r:id="rId2" xr:uid="{4749854F-E9DB-427F-8BDC-2FA2EE292A4A}"/>
    <hyperlink ref="A28" r:id="rId3" xr:uid="{3E7731AF-1618-4E74-848B-B5E12F093A5A}"/>
    <hyperlink ref="B89" r:id="rId4" xr:uid="{58FC65AB-DB59-4985-A71D-6920143730F4}"/>
    <hyperlink ref="B139" r:id="rId5" xr:uid="{4488F05C-4C2B-4440-A382-69D7C9A980B0}"/>
  </hyperlinks>
  <pageMargins left="0.7" right="0.7" top="0.75" bottom="0.75" header="0.3" footer="0.3"/>
  <pageSetup orientation="portrait" r:id="rId6"/>
  <legacyDrawing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7D66A-F51D-42C0-B146-2403090348DB}">
  <sheetPr>
    <tabColor rgb="FF92D050"/>
  </sheetPr>
  <dimension ref="A1:W97"/>
  <sheetViews>
    <sheetView zoomScale="70" zoomScaleNormal="70" workbookViewId="0">
      <pane xSplit="1" topLeftCell="B1" activePane="topRight" state="frozen"/>
      <selection pane="topRight" activeCell="D13" sqref="D13"/>
    </sheetView>
  </sheetViews>
  <sheetFormatPr defaultRowHeight="14.4"/>
  <cols>
    <col min="1" max="1" width="30.44140625" customWidth="1"/>
    <col min="3" max="3" width="15" customWidth="1"/>
    <col min="4" max="4" width="15.5546875" customWidth="1"/>
    <col min="5" max="5" width="15.5546875" bestFit="1" customWidth="1"/>
    <col min="6" max="6" width="18.21875" customWidth="1"/>
    <col min="7" max="7" width="23.5546875" style="6" customWidth="1"/>
    <col min="8" max="8" width="19.5546875" style="6" customWidth="1"/>
    <col min="9" max="9" width="11.21875" style="5" customWidth="1"/>
    <col min="10" max="10" width="13.33203125" style="6" customWidth="1"/>
    <col min="11" max="11" width="14.21875" customWidth="1"/>
    <col min="12" max="12" width="18.44140625" customWidth="1"/>
    <col min="13" max="13" width="11.21875" customWidth="1"/>
    <col min="14" max="14" width="18.5546875" customWidth="1"/>
    <col min="16" max="16" width="10.21875" bestFit="1" customWidth="1"/>
  </cols>
  <sheetData>
    <row r="1" spans="1:15" s="5" customFormat="1" ht="16.2" thickBot="1">
      <c r="A1" s="32" t="s">
        <v>704</v>
      </c>
      <c r="B1" s="14"/>
      <c r="C1" s="14"/>
      <c r="D1" s="14"/>
      <c r="E1" s="14"/>
      <c r="F1"/>
      <c r="G1" s="6"/>
      <c r="H1" s="6" t="s">
        <v>705</v>
      </c>
      <c r="M1" s="125"/>
    </row>
    <row r="2" spans="1:15" s="5" customFormat="1" ht="72.599999999999994" thickBot="1">
      <c r="A2" s="1" t="s">
        <v>12</v>
      </c>
      <c r="B2" s="1" t="s">
        <v>13</v>
      </c>
      <c r="C2" s="264" t="s">
        <v>838</v>
      </c>
      <c r="D2" s="265" t="s">
        <v>267</v>
      </c>
      <c r="E2" s="266" t="s">
        <v>264</v>
      </c>
      <c r="F2" s="59"/>
      <c r="G2" s="267"/>
      <c r="H2" s="268" t="s">
        <v>839</v>
      </c>
      <c r="I2" s="269" t="s">
        <v>840</v>
      </c>
      <c r="J2" s="269" t="s">
        <v>841</v>
      </c>
      <c r="K2" s="270" t="s">
        <v>697</v>
      </c>
      <c r="L2" s="259"/>
      <c r="M2"/>
      <c r="N2"/>
    </row>
    <row r="3" spans="1:15" s="5" customFormat="1">
      <c r="A3" s="1" t="s">
        <v>14</v>
      </c>
      <c r="B3" s="1" t="s">
        <v>15</v>
      </c>
      <c r="C3" s="135">
        <f>H3+I3*$I$17+J3*$I$18</f>
        <v>599703.22116545087</v>
      </c>
      <c r="D3" s="136">
        <f>C3/E3</f>
        <v>188.69406075821391</v>
      </c>
      <c r="E3" s="137">
        <f>'Sõidukite läbisõidud 2020'!F2/1000000</f>
        <v>3178.1775152631326</v>
      </c>
      <c r="F3" s="13"/>
      <c r="G3" s="6"/>
      <c r="H3" s="262">
        <f>'Sõidukite heited 2020'!G29*1000</f>
        <v>595398.54660338874</v>
      </c>
      <c r="I3" s="262">
        <f>'Sõidukite heited 2020'!H29*1000</f>
        <v>78.653014912480003</v>
      </c>
      <c r="J3" s="262">
        <f>'Sõidukite heited 2020'!I29*1000</f>
        <v>7.8468093598999999</v>
      </c>
      <c r="K3" s="263"/>
      <c r="L3" s="13"/>
      <c r="N3"/>
    </row>
    <row r="4" spans="1:15" s="5" customFormat="1">
      <c r="A4" s="1" t="s">
        <v>14</v>
      </c>
      <c r="B4" s="1" t="s">
        <v>16</v>
      </c>
      <c r="C4" s="135">
        <f>H4+I4*$I$17+J4*$I$18</f>
        <v>806155.44465762971</v>
      </c>
      <c r="D4" s="136">
        <f t="shared" ref="D4:D10" si="0">C4/E4</f>
        <v>172.79976867691212</v>
      </c>
      <c r="E4" s="137">
        <f>'Sõidukite läbisõidud 2020'!F65/1000000</f>
        <v>4665.2576611078566</v>
      </c>
      <c r="F4" s="13"/>
      <c r="H4" s="260">
        <f>'Sõidukite heited 2020'!G30*1000</f>
        <v>796174.23980952462</v>
      </c>
      <c r="I4" s="260">
        <f>'Sõidukite heited 2020'!H30*1000</f>
        <v>4.6901000691599997</v>
      </c>
      <c r="J4" s="260">
        <f>'Sõidukite heited 2020'!I30*1000</f>
        <v>33.100511229449999</v>
      </c>
      <c r="K4" s="261"/>
      <c r="L4" s="6"/>
      <c r="M4"/>
      <c r="N4"/>
    </row>
    <row r="5" spans="1:15" s="5" customFormat="1">
      <c r="A5" s="1" t="s">
        <v>17</v>
      </c>
      <c r="B5" s="1" t="s">
        <v>15</v>
      </c>
      <c r="C5" s="135">
        <f>H5+I5*$I$17+J5*$I$18</f>
        <v>21280.133004404881</v>
      </c>
      <c r="D5" s="136">
        <f t="shared" si="0"/>
        <v>231.08569800628541</v>
      </c>
      <c r="E5" s="137">
        <f>'Sõidukite läbisõidud 2020'!F137/1000000</f>
        <v>92.087624582574009</v>
      </c>
      <c r="F5" s="13"/>
      <c r="G5" s="6"/>
      <c r="H5" s="260">
        <f>'Sõidukite heited 2020'!G37*1000</f>
        <v>21131.382200297179</v>
      </c>
      <c r="I5" s="260">
        <f>'Sõidukite heited 2020'!H37*1000</f>
        <v>1.9939357551200001</v>
      </c>
      <c r="J5" s="260">
        <f>'Sõidukite heited 2020'!I37*1000</f>
        <v>0.33188728265</v>
      </c>
      <c r="K5" s="261"/>
      <c r="L5" s="6"/>
      <c r="M5"/>
      <c r="N5"/>
    </row>
    <row r="6" spans="1:15" s="5" customFormat="1">
      <c r="A6" s="1" t="s">
        <v>17</v>
      </c>
      <c r="B6" s="1" t="s">
        <v>16</v>
      </c>
      <c r="C6" s="135">
        <f>H6+I6*$I$17+J6*$I$18</f>
        <v>249204.90860589957</v>
      </c>
      <c r="D6" s="136">
        <f t="shared" si="0"/>
        <v>214.82302218350088</v>
      </c>
      <c r="E6" s="137">
        <f>'Sõidukite läbisõidud 2020'!F164/1000000</f>
        <v>1160.0474943185086</v>
      </c>
      <c r="F6" s="13"/>
      <c r="G6" s="6"/>
      <c r="H6" s="260">
        <f>'Sõidukite heited 2020'!G38*1000</f>
        <v>246751.29359725345</v>
      </c>
      <c r="I6" s="260">
        <f>'Sõidukite heited 2020'!H38*1000</f>
        <v>0.90714025354999994</v>
      </c>
      <c r="J6" s="260">
        <f>'Sõidukite heited 2020'!I38*1000</f>
        <v>8.1575050413000003</v>
      </c>
      <c r="K6" s="261"/>
      <c r="L6" s="6"/>
      <c r="M6"/>
      <c r="N6"/>
    </row>
    <row r="7" spans="1:15" s="5" customFormat="1">
      <c r="A7" s="1" t="s">
        <v>18</v>
      </c>
      <c r="B7" s="1" t="s">
        <v>16</v>
      </c>
      <c r="C7" s="135">
        <f>(H7+I7*$I$17+J7*$I$18)*K7</f>
        <v>332714.27138879139</v>
      </c>
      <c r="D7" s="136">
        <f>C7/E7</f>
        <v>585.15677484856462</v>
      </c>
      <c r="E7" s="137">
        <f>'Sõidukite läbisõidud 2020'!F192/1000000</f>
        <v>568.58996715007879</v>
      </c>
      <c r="F7" s="13"/>
      <c r="G7" s="271" t="s">
        <v>270</v>
      </c>
      <c r="H7" s="272">
        <f>'Sõidukite heited 2020'!G46*1000</f>
        <v>431825.00521115592</v>
      </c>
      <c r="I7" s="272">
        <f>'Sõidukite heited 2020'!H46*1000</f>
        <v>14.46092941158</v>
      </c>
      <c r="J7" s="272">
        <f>'Sõidukite heited 2020'!I46*1000</f>
        <v>18.86468742257</v>
      </c>
      <c r="K7" s="273">
        <f>1-K10</f>
        <v>0.75995439866651848</v>
      </c>
      <c r="N7"/>
    </row>
    <row r="8" spans="1:15" s="5" customFormat="1">
      <c r="A8" s="1" t="s">
        <v>322</v>
      </c>
      <c r="B8" s="1" t="s">
        <v>16</v>
      </c>
      <c r="C8" s="135">
        <f>H8+I8*$I$17+J8*$I$18</f>
        <v>34749.489780915967</v>
      </c>
      <c r="D8" s="136">
        <f t="shared" ref="D8" si="1">C8/E8</f>
        <v>18943.578444775794</v>
      </c>
      <c r="E8" s="137">
        <f>A29</f>
        <v>1.8343677717606244</v>
      </c>
      <c r="F8" s="13"/>
      <c r="G8" s="274"/>
      <c r="H8" s="272">
        <f>'Sõidukite heited 2020'!G62*1000</f>
        <v>31082.213977665968</v>
      </c>
      <c r="I8" s="272">
        <f>'Sõidukite heited 2020'!H62*1000</f>
        <v>1.76422725</v>
      </c>
      <c r="J8" s="272">
        <f>'Sõidukite heited 2020'!I62*1000</f>
        <v>12.158289</v>
      </c>
      <c r="K8" s="272"/>
      <c r="L8" s="6"/>
      <c r="M8"/>
      <c r="N8"/>
    </row>
    <row r="9" spans="1:15" s="5" customFormat="1">
      <c r="A9" s="1" t="s">
        <v>323</v>
      </c>
      <c r="B9" s="1" t="s">
        <v>16</v>
      </c>
      <c r="C9" s="135">
        <f>H9+I9*$I$17+J9*$I$18</f>
        <v>20033.627531292415</v>
      </c>
      <c r="D9" s="136">
        <f>A71</f>
        <v>50</v>
      </c>
      <c r="E9" s="137">
        <f>C9/D9</f>
        <v>400.67255062584832</v>
      </c>
      <c r="F9" s="13"/>
      <c r="G9" s="274"/>
      <c r="H9" s="275">
        <f>'Sõidukite heited 2020'!G67*1000</f>
        <v>19824.576278292418</v>
      </c>
      <c r="I9" s="275">
        <f>'Sõidukite heited 2020'!H67*1000</f>
        <v>1.898001</v>
      </c>
      <c r="J9" s="275">
        <f>'Sõidukite heited 2020'!I67*1000</f>
        <v>0.54228600000000005</v>
      </c>
      <c r="K9" s="276"/>
      <c r="L9" s="201"/>
      <c r="M9"/>
      <c r="N9"/>
    </row>
    <row r="10" spans="1:15" s="5" customFormat="1">
      <c r="A10" s="1" t="s">
        <v>19</v>
      </c>
      <c r="B10" s="1" t="s">
        <v>16</v>
      </c>
      <c r="C10" s="135">
        <f>(H10+I10*$I$17+J10*$I$18)*K10</f>
        <v>105093.93390957985</v>
      </c>
      <c r="D10" s="136">
        <f t="shared" si="0"/>
        <v>793.99171150327652</v>
      </c>
      <c r="E10" s="137">
        <f>'Sõidukite läbisõidud 2020'!F256/1000000</f>
        <v>132.36149998417983</v>
      </c>
      <c r="F10" s="13"/>
      <c r="G10" s="271" t="s">
        <v>270</v>
      </c>
      <c r="H10" s="272">
        <f>'Sõidukite heited 2020'!G46*1000</f>
        <v>431825.00521115592</v>
      </c>
      <c r="I10" s="272">
        <f>'Sõidukite heited 2020'!H46*1000</f>
        <v>14.46092941158</v>
      </c>
      <c r="J10" s="272">
        <f>'Sõidukite heited 2020'!I46*1000</f>
        <v>18.86468742257</v>
      </c>
      <c r="K10" s="277">
        <v>0.24004560133348149</v>
      </c>
      <c r="N10"/>
    </row>
    <row r="11" spans="1:15" s="5" customFormat="1" ht="15" thickBot="1">
      <c r="N11"/>
    </row>
    <row r="12" spans="1:15" s="5" customFormat="1" ht="31.8" thickBot="1">
      <c r="A12" s="1" t="s">
        <v>12</v>
      </c>
      <c r="B12" s="1" t="s">
        <v>13</v>
      </c>
      <c r="C12" s="268" t="s">
        <v>670</v>
      </c>
      <c r="D12" s="268" t="s">
        <v>667</v>
      </c>
      <c r="E12" s="269" t="s">
        <v>668</v>
      </c>
      <c r="F12" s="269" t="s">
        <v>669</v>
      </c>
      <c r="G12" s="271"/>
      <c r="N12"/>
    </row>
    <row r="13" spans="1:15" s="6" customFormat="1" ht="13.5" customHeight="1">
      <c r="A13" s="523" t="s">
        <v>18</v>
      </c>
      <c r="B13" s="523" t="s">
        <v>26</v>
      </c>
      <c r="C13" s="524">
        <f>D13+(E13*$I$17+F13*$I$18)/1000</f>
        <v>6.4999999999999997E-3</v>
      </c>
      <c r="D13" s="525">
        <f>'Sõidukite heited 2020'!G26*1000*0</f>
        <v>0</v>
      </c>
      <c r="E13" s="536">
        <v>0.26</v>
      </c>
      <c r="F13" s="525">
        <v>0</v>
      </c>
      <c r="G13" s="271"/>
      <c r="M13" s="5"/>
      <c r="N13"/>
      <c r="O13" s="5"/>
    </row>
    <row r="14" spans="1:15" s="6" customFormat="1" ht="13.5" customHeight="1">
      <c r="A14" s="41"/>
      <c r="B14" s="41"/>
      <c r="C14" s="417"/>
      <c r="D14" s="418"/>
      <c r="E14" s="418"/>
      <c r="F14" s="418"/>
      <c r="G14" s="271"/>
      <c r="M14" s="5"/>
      <c r="N14"/>
      <c r="O14" s="5"/>
    </row>
    <row r="15" spans="1:15">
      <c r="A15" s="161" t="s">
        <v>274</v>
      </c>
      <c r="C15" s="13"/>
      <c r="D15" s="252"/>
      <c r="E15" s="253"/>
    </row>
    <row r="16" spans="1:15" ht="15.6">
      <c r="A16" s="43" t="s">
        <v>676</v>
      </c>
      <c r="H16" s="200" t="s">
        <v>327</v>
      </c>
      <c r="I16" s="6" t="s">
        <v>330</v>
      </c>
    </row>
    <row r="17" spans="1:23" ht="15.6">
      <c r="A17" s="32" t="s">
        <v>678</v>
      </c>
      <c r="H17" s="6" t="s">
        <v>328</v>
      </c>
      <c r="I17" s="199">
        <v>25</v>
      </c>
      <c r="J17" s="6" t="s">
        <v>331</v>
      </c>
    </row>
    <row r="18" spans="1:23" s="6" customFormat="1" ht="15.6">
      <c r="A18" t="s">
        <v>679</v>
      </c>
      <c r="B18"/>
      <c r="D18"/>
      <c r="E18"/>
      <c r="F18"/>
      <c r="H18" s="6" t="s">
        <v>329</v>
      </c>
      <c r="I18" s="199">
        <v>298</v>
      </c>
      <c r="J18" s="6" t="s">
        <v>332</v>
      </c>
    </row>
    <row r="19" spans="1:23" s="6" customFormat="1">
      <c r="A19" t="s">
        <v>680</v>
      </c>
      <c r="B19"/>
      <c r="D19"/>
      <c r="E19"/>
      <c r="F19"/>
      <c r="I19" s="199"/>
    </row>
    <row r="20" spans="1:23" s="6" customFormat="1">
      <c r="A20" s="125"/>
      <c r="B20"/>
      <c r="D20"/>
      <c r="E20"/>
      <c r="F20"/>
      <c r="H20" s="6" t="s">
        <v>616</v>
      </c>
    </row>
    <row r="21" spans="1:23">
      <c r="A21" s="43" t="s">
        <v>677</v>
      </c>
    </row>
    <row r="22" spans="1:23">
      <c r="A22" t="s">
        <v>334</v>
      </c>
    </row>
    <row r="23" spans="1:23">
      <c r="A23" t="s">
        <v>681</v>
      </c>
    </row>
    <row r="25" spans="1:23">
      <c r="A25" s="6" t="s">
        <v>682</v>
      </c>
      <c r="L25" s="110"/>
    </row>
    <row r="26" spans="1:23">
      <c r="L26" s="110"/>
    </row>
    <row r="27" spans="1:23">
      <c r="A27" s="242" t="s">
        <v>320</v>
      </c>
      <c r="B27" s="243"/>
      <c r="L27" s="110"/>
    </row>
    <row r="28" spans="1:23">
      <c r="A28" s="243">
        <f>D32/B42</f>
        <v>1834367.7717606244</v>
      </c>
      <c r="B28" s="243" t="s">
        <v>28</v>
      </c>
      <c r="L28" s="110"/>
    </row>
    <row r="29" spans="1:23">
      <c r="A29" s="244">
        <f>A28/1000000</f>
        <v>1.8343677717606244</v>
      </c>
      <c r="B29" s="244" t="s">
        <v>321</v>
      </c>
      <c r="L29" s="110"/>
    </row>
    <row r="30" spans="1:23">
      <c r="F30" s="6"/>
      <c r="I30" s="6"/>
      <c r="K30" s="6"/>
      <c r="L30" s="6"/>
      <c r="M30" s="6"/>
      <c r="N30" s="6"/>
      <c r="O30" s="6"/>
      <c r="P30" s="6"/>
      <c r="Q30" s="6"/>
      <c r="R30" s="6"/>
      <c r="S30" s="6"/>
      <c r="T30" s="6"/>
      <c r="U30" s="6"/>
      <c r="V30" s="6"/>
      <c r="W30" s="6"/>
    </row>
    <row r="31" spans="1:23">
      <c r="A31" s="223"/>
      <c r="B31" s="224"/>
      <c r="C31" s="223"/>
      <c r="D31" s="225" t="s">
        <v>300</v>
      </c>
      <c r="E31" s="225" t="s">
        <v>684</v>
      </c>
      <c r="F31" s="225" t="s">
        <v>685</v>
      </c>
      <c r="G31" s="225" t="s">
        <v>295</v>
      </c>
      <c r="H31" s="225"/>
      <c r="I31" s="6"/>
      <c r="K31" s="6"/>
      <c r="L31" s="6"/>
      <c r="M31" s="6"/>
      <c r="N31" s="6"/>
      <c r="O31" s="6"/>
      <c r="P31" s="6"/>
      <c r="Q31" s="6"/>
      <c r="R31" s="6"/>
      <c r="S31" s="6"/>
      <c r="T31" s="6"/>
      <c r="U31" s="6"/>
      <c r="V31" s="6"/>
      <c r="W31" s="6"/>
    </row>
    <row r="32" spans="1:23">
      <c r="A32" s="213" t="s">
        <v>683</v>
      </c>
      <c r="B32" s="214"/>
      <c r="C32" s="215"/>
      <c r="D32" s="442">
        <f>E32*10^6/F32/(C48/1000)</f>
        <v>12086954.976092715</v>
      </c>
      <c r="E32" s="213">
        <v>425</v>
      </c>
      <c r="F32" s="213">
        <v>42.3</v>
      </c>
      <c r="G32" s="441" t="s">
        <v>686</v>
      </c>
      <c r="H32" s="216"/>
      <c r="I32" s="6"/>
      <c r="K32" s="6"/>
      <c r="L32" s="6"/>
      <c r="M32" s="6"/>
      <c r="N32" s="6"/>
      <c r="O32" s="6"/>
      <c r="P32" s="6"/>
      <c r="Q32" s="6"/>
      <c r="R32" s="6"/>
      <c r="S32" s="6"/>
      <c r="T32" s="6"/>
      <c r="U32" s="6"/>
      <c r="V32" s="6"/>
      <c r="W32" s="6"/>
    </row>
    <row r="33" spans="1:23">
      <c r="F33" s="6"/>
      <c r="I33" s="6"/>
      <c r="K33" s="6"/>
      <c r="L33" s="6"/>
      <c r="M33" s="6"/>
      <c r="N33" s="6"/>
      <c r="O33" s="6"/>
      <c r="P33" s="6"/>
      <c r="Q33" s="6"/>
      <c r="R33" s="6"/>
      <c r="S33" s="6"/>
      <c r="T33" s="6"/>
      <c r="U33" s="6"/>
      <c r="V33" s="6"/>
      <c r="W33" s="6"/>
    </row>
    <row r="34" spans="1:23">
      <c r="A34" s="227" t="s">
        <v>302</v>
      </c>
      <c r="B34" s="228"/>
      <c r="C34" s="229"/>
      <c r="D34" s="228"/>
      <c r="E34" s="230"/>
      <c r="F34" s="230"/>
      <c r="G34" s="230"/>
      <c r="H34" s="230"/>
      <c r="I34" s="230"/>
      <c r="M34" s="6"/>
      <c r="N34" s="6"/>
      <c r="O34" s="6"/>
      <c r="P34" s="6"/>
      <c r="Q34" s="6"/>
      <c r="R34" s="6"/>
      <c r="S34" s="6"/>
      <c r="T34" s="6"/>
      <c r="U34" s="6"/>
      <c r="V34" s="6"/>
      <c r="W34" s="6"/>
    </row>
    <row r="35" spans="1:23">
      <c r="A35" s="238"/>
      <c r="B35" s="239" t="s">
        <v>303</v>
      </c>
      <c r="C35" s="239" t="s">
        <v>315</v>
      </c>
      <c r="D35" s="238" t="s">
        <v>306</v>
      </c>
      <c r="E35" s="230"/>
      <c r="F35" s="230" t="s">
        <v>311</v>
      </c>
      <c r="G35" s="230"/>
      <c r="H35" s="230" t="s">
        <v>295</v>
      </c>
      <c r="I35" s="230"/>
      <c r="M35" s="6"/>
      <c r="N35" s="6"/>
      <c r="O35" s="6"/>
      <c r="P35" s="6"/>
      <c r="Q35" s="6"/>
      <c r="R35" s="6"/>
      <c r="S35" s="6"/>
      <c r="T35" s="6"/>
      <c r="U35" s="6"/>
      <c r="V35" s="6"/>
      <c r="W35" s="6"/>
    </row>
    <row r="36" spans="1:23">
      <c r="A36" s="228" t="s">
        <v>308</v>
      </c>
      <c r="B36" s="238">
        <f>AVERAGE(3.2,8.8)</f>
        <v>6</v>
      </c>
      <c r="C36" s="239"/>
      <c r="D36" s="238"/>
      <c r="E36" s="230"/>
      <c r="F36" s="230"/>
      <c r="G36" s="230"/>
      <c r="H36" s="231" t="s">
        <v>301</v>
      </c>
      <c r="I36" s="230">
        <v>7</v>
      </c>
      <c r="M36" s="6"/>
      <c r="N36" s="6"/>
      <c r="O36" s="6"/>
      <c r="P36" s="6"/>
      <c r="Q36" s="6"/>
      <c r="R36" s="6"/>
      <c r="S36" s="6"/>
      <c r="T36" s="6"/>
      <c r="U36" s="6"/>
      <c r="V36" s="6"/>
      <c r="W36" s="6"/>
    </row>
    <row r="37" spans="1:23">
      <c r="A37" s="228" t="s">
        <v>307</v>
      </c>
      <c r="B37" s="238"/>
      <c r="C37" s="239"/>
      <c r="D37" s="238">
        <v>65</v>
      </c>
      <c r="E37" s="230"/>
      <c r="F37" s="232" t="s">
        <v>305</v>
      </c>
      <c r="G37" s="233" t="s">
        <v>309</v>
      </c>
      <c r="H37" s="233" t="s">
        <v>304</v>
      </c>
      <c r="I37" s="230">
        <v>74</v>
      </c>
      <c r="M37" s="6"/>
      <c r="N37" s="6"/>
      <c r="O37" s="6"/>
      <c r="P37" s="6"/>
      <c r="Q37" s="6"/>
      <c r="R37" s="6"/>
      <c r="S37" s="6"/>
      <c r="T37" s="6"/>
      <c r="U37" s="6"/>
      <c r="V37" s="6"/>
      <c r="W37" s="6"/>
    </row>
    <row r="38" spans="1:23">
      <c r="A38" s="228" t="s">
        <v>312</v>
      </c>
      <c r="B38" s="238">
        <f>209/100</f>
        <v>2.09</v>
      </c>
      <c r="C38" s="239"/>
      <c r="D38" s="238"/>
      <c r="E38" s="230"/>
      <c r="F38" s="232" t="s">
        <v>310</v>
      </c>
      <c r="G38" s="230"/>
      <c r="H38" s="233" t="s">
        <v>304</v>
      </c>
      <c r="I38" s="230"/>
      <c r="M38" s="6"/>
      <c r="N38" s="6"/>
      <c r="O38" s="6"/>
      <c r="P38" s="6"/>
      <c r="Q38" s="6"/>
      <c r="R38" s="6"/>
      <c r="S38" s="6"/>
      <c r="T38" s="6"/>
      <c r="U38" s="6"/>
      <c r="V38" s="6"/>
      <c r="W38" s="6"/>
    </row>
    <row r="39" spans="1:23">
      <c r="A39" s="228" t="s">
        <v>313</v>
      </c>
      <c r="B39" s="238"/>
      <c r="C39" s="239"/>
      <c r="D39" s="238">
        <v>31</v>
      </c>
      <c r="E39" s="230"/>
      <c r="F39" s="232" t="s">
        <v>314</v>
      </c>
      <c r="G39" s="230"/>
      <c r="H39" s="233" t="s">
        <v>304</v>
      </c>
      <c r="I39" s="230"/>
      <c r="M39" s="6"/>
      <c r="N39" s="6"/>
      <c r="O39" s="6"/>
      <c r="P39" s="6"/>
      <c r="Q39" s="6"/>
      <c r="R39" s="6"/>
      <c r="S39" s="6"/>
      <c r="T39" s="6"/>
      <c r="U39" s="6"/>
      <c r="V39" s="6"/>
      <c r="W39" s="6"/>
    </row>
    <row r="40" spans="1:23">
      <c r="A40" s="228" t="s">
        <v>317</v>
      </c>
      <c r="B40" s="238">
        <f>1/C40</f>
        <v>16.666666666666668</v>
      </c>
      <c r="C40" s="240">
        <v>0.06</v>
      </c>
      <c r="D40" s="238"/>
      <c r="E40" s="230"/>
      <c r="F40" s="232" t="s">
        <v>318</v>
      </c>
      <c r="G40" s="230"/>
      <c r="H40" s="233" t="s">
        <v>316</v>
      </c>
      <c r="I40" s="230"/>
      <c r="M40" s="6"/>
      <c r="N40" s="6"/>
      <c r="O40" s="6"/>
      <c r="P40" s="6"/>
      <c r="Q40" s="6"/>
      <c r="R40" s="6"/>
      <c r="S40" s="6"/>
      <c r="T40" s="6"/>
      <c r="U40" s="6"/>
      <c r="V40" s="6"/>
      <c r="W40" s="6"/>
    </row>
    <row r="41" spans="1:23">
      <c r="A41" s="245" t="s">
        <v>326</v>
      </c>
      <c r="B41" s="238">
        <v>1.6</v>
      </c>
      <c r="C41" s="229"/>
      <c r="D41" s="228"/>
      <c r="E41" s="230"/>
      <c r="F41" s="230" t="s">
        <v>324</v>
      </c>
      <c r="G41" s="230"/>
      <c r="H41" s="233" t="s">
        <v>325</v>
      </c>
      <c r="I41" s="230"/>
      <c r="M41" s="6"/>
      <c r="N41" s="6"/>
      <c r="O41" s="6"/>
      <c r="P41" s="6"/>
      <c r="Q41" s="6"/>
      <c r="R41" s="6"/>
      <c r="S41" s="6"/>
      <c r="T41" s="6"/>
      <c r="U41" s="6"/>
      <c r="V41" s="6"/>
      <c r="W41" s="6"/>
    </row>
    <row r="42" spans="1:23">
      <c r="A42" s="234" t="s">
        <v>319</v>
      </c>
      <c r="B42" s="241">
        <f>AVERAGE(B36:B41)</f>
        <v>6.5891666666666673</v>
      </c>
      <c r="C42" s="235"/>
      <c r="D42" s="236"/>
      <c r="E42" s="237"/>
      <c r="F42" s="237"/>
      <c r="G42" s="237"/>
      <c r="H42" s="237"/>
      <c r="I42" s="237"/>
      <c r="M42" s="6"/>
      <c r="N42" s="6"/>
      <c r="O42" s="6"/>
      <c r="P42" s="6"/>
      <c r="Q42" s="6"/>
      <c r="R42" s="6"/>
      <c r="S42" s="6"/>
      <c r="T42" s="6"/>
      <c r="U42" s="6"/>
      <c r="V42" s="6"/>
      <c r="W42" s="6"/>
    </row>
    <row r="43" spans="1:23">
      <c r="F43" s="6"/>
      <c r="I43" s="6"/>
      <c r="M43" s="6"/>
      <c r="N43" s="6"/>
      <c r="O43" s="6"/>
      <c r="P43" s="6"/>
      <c r="Q43" s="6"/>
      <c r="R43" s="6"/>
      <c r="S43" s="6"/>
      <c r="T43" s="6"/>
      <c r="U43" s="6"/>
      <c r="V43" s="6"/>
      <c r="W43" s="6"/>
    </row>
    <row r="44" spans="1:23">
      <c r="A44" s="208" t="s">
        <v>291</v>
      </c>
      <c r="B44" s="209"/>
      <c r="C44" s="210" t="s">
        <v>584</v>
      </c>
      <c r="D44" s="209"/>
      <c r="E44" s="211"/>
      <c r="F44" s="211"/>
      <c r="I44" s="6"/>
      <c r="M44" s="6"/>
      <c r="N44" s="6"/>
      <c r="O44" s="6"/>
      <c r="P44" s="6"/>
      <c r="Q44" s="6"/>
      <c r="R44" s="6"/>
      <c r="S44" s="6"/>
      <c r="T44" s="6"/>
      <c r="U44" s="6"/>
      <c r="V44" s="6"/>
      <c r="W44" s="6"/>
    </row>
    <row r="45" spans="1:23">
      <c r="A45" s="209"/>
      <c r="B45" s="209"/>
      <c r="C45" s="211" t="s">
        <v>297</v>
      </c>
      <c r="D45" s="211" t="s">
        <v>298</v>
      </c>
      <c r="E45" s="211"/>
      <c r="F45" s="211"/>
      <c r="I45" s="6"/>
      <c r="M45" s="6"/>
      <c r="N45" s="6"/>
      <c r="O45" s="6"/>
      <c r="P45" s="6"/>
      <c r="Q45" s="6"/>
      <c r="R45" s="6"/>
      <c r="S45" s="6"/>
      <c r="T45" s="6"/>
      <c r="U45" s="6"/>
      <c r="V45" s="6"/>
      <c r="W45" s="6"/>
    </row>
    <row r="46" spans="1:23">
      <c r="A46" s="209" t="s">
        <v>293</v>
      </c>
      <c r="B46" s="209"/>
      <c r="C46" s="211">
        <v>800</v>
      </c>
      <c r="D46" s="211">
        <v>845</v>
      </c>
      <c r="E46" s="212" t="s">
        <v>292</v>
      </c>
      <c r="F46" s="211"/>
      <c r="I46" s="6"/>
      <c r="M46" s="6"/>
      <c r="N46" s="6"/>
      <c r="O46" s="6"/>
      <c r="P46" s="6"/>
      <c r="Q46" s="6"/>
      <c r="R46" s="6"/>
      <c r="S46" s="6"/>
      <c r="T46" s="6"/>
      <c r="U46" s="6"/>
      <c r="V46" s="6"/>
      <c r="W46" s="6"/>
    </row>
    <row r="47" spans="1:23">
      <c r="A47" s="209" t="s">
        <v>293</v>
      </c>
      <c r="B47" s="209"/>
      <c r="C47" s="211">
        <v>820</v>
      </c>
      <c r="D47" s="211">
        <v>860</v>
      </c>
      <c r="E47" s="212" t="s">
        <v>292</v>
      </c>
      <c r="F47" s="211"/>
      <c r="I47" s="6"/>
      <c r="M47" s="6"/>
      <c r="N47" s="6"/>
      <c r="O47" s="6"/>
      <c r="P47" s="6"/>
      <c r="Q47" s="6"/>
      <c r="R47" s="6"/>
      <c r="S47" s="6"/>
      <c r="T47" s="6"/>
      <c r="U47" s="6"/>
      <c r="V47" s="6"/>
      <c r="W47" s="6"/>
    </row>
    <row r="48" spans="1:23">
      <c r="A48" s="220" t="s">
        <v>294</v>
      </c>
      <c r="B48" s="220"/>
      <c r="C48" s="440">
        <f>AVERAGE(C46:D47)</f>
        <v>831.25</v>
      </c>
      <c r="D48" s="221" t="s">
        <v>292</v>
      </c>
      <c r="E48" s="222"/>
      <c r="F48" s="222"/>
    </row>
    <row r="50" spans="1:3">
      <c r="A50" s="202" t="s">
        <v>688</v>
      </c>
      <c r="B50" s="203"/>
      <c r="C50" s="204" t="s">
        <v>687</v>
      </c>
    </row>
    <row r="51" spans="1:3">
      <c r="A51" s="203">
        <v>2020</v>
      </c>
      <c r="B51" s="203"/>
      <c r="C51" s="203"/>
    </row>
    <row r="52" spans="1:3" ht="24">
      <c r="A52" s="203" t="s">
        <v>299</v>
      </c>
      <c r="B52" s="205" t="s">
        <v>289</v>
      </c>
      <c r="C52" s="205" t="s">
        <v>290</v>
      </c>
    </row>
    <row r="53" spans="1:3">
      <c r="A53" s="206" t="s">
        <v>277</v>
      </c>
      <c r="B53" s="207">
        <v>0.92200000000000004</v>
      </c>
      <c r="C53" s="207">
        <v>0.56200000000000006</v>
      </c>
    </row>
    <row r="54" spans="1:3">
      <c r="A54" s="206" t="s">
        <v>278</v>
      </c>
      <c r="B54" s="207">
        <v>0.86699999999999999</v>
      </c>
      <c r="C54" s="207">
        <v>0.50700000000000001</v>
      </c>
    </row>
    <row r="55" spans="1:3">
      <c r="A55" s="206" t="s">
        <v>279</v>
      </c>
      <c r="B55" s="207">
        <v>0.75600000000000001</v>
      </c>
      <c r="C55" s="207">
        <v>0.39600000000000002</v>
      </c>
    </row>
    <row r="56" spans="1:3">
      <c r="A56" s="206" t="s">
        <v>280</v>
      </c>
      <c r="B56" s="207">
        <v>0.68500000000000005</v>
      </c>
      <c r="C56" s="207">
        <v>0.32500000000000001</v>
      </c>
    </row>
    <row r="57" spans="1:3">
      <c r="A57" s="206" t="s">
        <v>281</v>
      </c>
      <c r="B57" s="207">
        <v>0.57299999999999995</v>
      </c>
      <c r="C57" s="207">
        <v>0.30099999999999999</v>
      </c>
    </row>
    <row r="58" spans="1:3">
      <c r="A58" s="206" t="s">
        <v>282</v>
      </c>
      <c r="B58" s="207">
        <v>0.624</v>
      </c>
      <c r="C58" s="207">
        <v>0.35199999999999998</v>
      </c>
    </row>
    <row r="59" spans="1:3">
      <c r="A59" s="206" t="s">
        <v>283</v>
      </c>
      <c r="B59" s="207">
        <v>0.64500000000000002</v>
      </c>
      <c r="C59" s="207">
        <v>0.373</v>
      </c>
    </row>
    <row r="60" spans="1:3">
      <c r="A60" s="206" t="s">
        <v>284</v>
      </c>
      <c r="B60" s="207">
        <v>0.63700000000000001</v>
      </c>
      <c r="C60" s="207">
        <v>0.36499999999999999</v>
      </c>
    </row>
    <row r="61" spans="1:3">
      <c r="A61" s="206" t="s">
        <v>285</v>
      </c>
      <c r="B61" s="207">
        <v>0.60499999999999998</v>
      </c>
      <c r="C61" s="207">
        <v>0.33300000000000002</v>
      </c>
    </row>
    <row r="62" spans="1:3">
      <c r="A62" s="206" t="s">
        <v>286</v>
      </c>
      <c r="B62" s="207">
        <v>0.60899999999999999</v>
      </c>
      <c r="C62" s="207">
        <v>0.33700000000000002</v>
      </c>
    </row>
    <row r="63" spans="1:3">
      <c r="A63" s="206" t="s">
        <v>287</v>
      </c>
      <c r="B63" s="207">
        <v>0.624</v>
      </c>
      <c r="C63" s="207">
        <v>0.35199999999999998</v>
      </c>
    </row>
    <row r="64" spans="1:3">
      <c r="A64" s="206" t="s">
        <v>288</v>
      </c>
      <c r="B64" s="207">
        <v>0.65700000000000003</v>
      </c>
      <c r="C64" s="207">
        <v>0.38500000000000001</v>
      </c>
    </row>
    <row r="65" spans="1:11">
      <c r="A65" s="217" t="s">
        <v>296</v>
      </c>
      <c r="B65" s="218">
        <f>AVERAGE(B53:B64)</f>
        <v>0.68366666666666676</v>
      </c>
      <c r="C65" s="219"/>
    </row>
    <row r="67" spans="1:11" ht="15.6">
      <c r="A67" s="6" t="s">
        <v>333</v>
      </c>
      <c r="C67" s="226"/>
    </row>
    <row r="68" spans="1:11">
      <c r="A68" s="189" t="s">
        <v>271</v>
      </c>
    </row>
    <row r="69" spans="1:11">
      <c r="A69" s="188" t="s">
        <v>272</v>
      </c>
    </row>
    <row r="70" spans="1:11">
      <c r="A70" s="188" t="s">
        <v>273</v>
      </c>
    </row>
    <row r="71" spans="1:11">
      <c r="A71" s="188">
        <v>50</v>
      </c>
      <c r="B71" t="s">
        <v>276</v>
      </c>
    </row>
    <row r="72" spans="1:11">
      <c r="A72" s="188" t="s">
        <v>275</v>
      </c>
      <c r="B72" s="15"/>
    </row>
    <row r="74" spans="1:11">
      <c r="A74" s="188" t="s">
        <v>689</v>
      </c>
    </row>
    <row r="76" spans="1:11">
      <c r="A76" t="s">
        <v>690</v>
      </c>
      <c r="B76" s="43"/>
      <c r="J76" s="5"/>
      <c r="K76" s="5"/>
    </row>
    <row r="77" spans="1:11">
      <c r="A77" s="43" t="s">
        <v>674</v>
      </c>
      <c r="J77" s="5"/>
      <c r="K77" s="5"/>
    </row>
    <row r="78" spans="1:11">
      <c r="A78" t="s">
        <v>691</v>
      </c>
      <c r="J78" s="5"/>
      <c r="K78" s="5"/>
    </row>
    <row r="79" spans="1:11">
      <c r="J79" s="5"/>
      <c r="K79" s="5"/>
    </row>
    <row r="80" spans="1:11">
      <c r="J80" s="5"/>
      <c r="K80" s="5"/>
    </row>
    <row r="81" spans="10:11">
      <c r="J81" s="5"/>
      <c r="K81" s="5"/>
    </row>
    <row r="82" spans="10:11">
      <c r="J82" s="5"/>
      <c r="K82" s="5"/>
    </row>
    <row r="83" spans="10:11">
      <c r="J83" s="5"/>
      <c r="K83" s="5"/>
    </row>
    <row r="84" spans="10:11">
      <c r="J84" s="5"/>
      <c r="K84" s="5"/>
    </row>
    <row r="85" spans="10:11">
      <c r="J85" s="5"/>
      <c r="K85" s="5"/>
    </row>
    <row r="86" spans="10:11">
      <c r="J86" s="5"/>
      <c r="K86" s="5"/>
    </row>
    <row r="87" spans="10:11">
      <c r="J87" s="5"/>
      <c r="K87" s="5"/>
    </row>
    <row r="88" spans="10:11">
      <c r="J88" s="5"/>
      <c r="K88" s="5"/>
    </row>
    <row r="89" spans="10:11">
      <c r="J89" s="5"/>
      <c r="K89" s="5"/>
    </row>
    <row r="90" spans="10:11">
      <c r="J90" s="5"/>
      <c r="K90" s="5"/>
    </row>
    <row r="91" spans="10:11">
      <c r="J91" s="5"/>
      <c r="K91" s="5"/>
    </row>
    <row r="92" spans="10:11">
      <c r="J92" s="5"/>
      <c r="K92" s="5"/>
    </row>
    <row r="93" spans="10:11">
      <c r="J93" s="5"/>
      <c r="K93" s="5"/>
    </row>
    <row r="94" spans="10:11">
      <c r="J94" s="5"/>
      <c r="K94" s="5"/>
    </row>
    <row r="95" spans="10:11">
      <c r="J95" s="5"/>
      <c r="K95" s="5"/>
    </row>
    <row r="96" spans="10:11">
      <c r="J96" s="5"/>
      <c r="K96" s="5"/>
    </row>
    <row r="97" spans="10:11">
      <c r="J97" s="5"/>
      <c r="K97" s="5"/>
    </row>
  </sheetData>
  <sheetProtection algorithmName="SHA-512" hashValue="C3U7RBixI1z9sjQJx4u6laHeTOgsClktV6fuUn7ph2RX8+36xbdAp/QGGyk0OD3OI6YNkhAlybbazd1tfJy5Bw==" saltValue="EtTddpWWrDe/fvaK5Y6yQg==" spinCount="100000" sheet="1" objects="1" scenarios="1"/>
  <phoneticPr fontId="25" type="noConversion"/>
  <hyperlinks>
    <hyperlink ref="A16" r:id="rId1" xr:uid="{9B2C1B00-EA49-472E-AAA4-1A2EEE8526F5}"/>
    <hyperlink ref="A21" r:id="rId2" display="(**) National Inventory Submissions 2021 | UNFCCC" xr:uid="{D6A79818-851E-492D-AC0E-3F439AC2B583}"/>
    <hyperlink ref="A68" r:id="rId3" xr:uid="{5E8486D5-0E55-42BF-BF17-91548552E71F}"/>
    <hyperlink ref="C44" r:id="rId4" xr:uid="{492AC611-E81A-4847-9EB7-DF0A855A45CE}"/>
    <hyperlink ref="C50" r:id="rId5" location="kutuse-keskmine-muugihind" xr:uid="{DCA51F27-9B39-4035-87C9-1C84D95192F4}"/>
    <hyperlink ref="H36" r:id="rId6" xr:uid="{9B587565-ADBC-440B-9BD2-C6E8CDDB09EE}"/>
    <hyperlink ref="H37" r:id="rId7" location="Trains" xr:uid="{AE5F2760-5C7F-46CF-9188-A1B934232059}"/>
    <hyperlink ref="G37" r:id="rId8" xr:uid="{240259DA-4527-4C04-9668-4B3EB1AD7B19}"/>
    <hyperlink ref="H38:H39" r:id="rId9" location="Trains" display="https://en.wikipedia.org/wiki/Energy_efficiency_in_transport#Trains" xr:uid="{ECC8E60A-704F-4769-8812-9CC92C9FB6FD}"/>
    <hyperlink ref="H40" r:id="rId10" xr:uid="{B90C3B38-37AB-48C9-81D0-DD78D05E52CA}"/>
    <hyperlink ref="H41" r:id="rId11" xr:uid="{7EE56E5F-62C5-4776-8CA2-C745277A3174}"/>
    <hyperlink ref="G32" r:id="rId12" xr:uid="{B073C733-8373-4AE4-A864-05959A9F2738}"/>
    <hyperlink ref="A77" r:id="rId13" xr:uid="{04E5D1BD-69A8-42D7-928F-C2A72D1F413D}"/>
  </hyperlinks>
  <pageMargins left="0.7" right="0.7" top="0.75" bottom="0.75" header="0.3" footer="0.3"/>
  <pageSetup orientation="portrait" r:id="rId14"/>
  <drawing r:id="rId15"/>
  <legacyDrawing r:id="rId16"/>
  <oleObjects>
    <mc:AlternateContent xmlns:mc="http://schemas.openxmlformats.org/markup-compatibility/2006">
      <mc:Choice Requires="x14">
        <oleObject progId="Paint.Picture" shapeId="20483" r:id="rId17">
          <objectPr defaultSize="0" autoPict="0" r:id="rId18">
            <anchor moveWithCells="1">
              <from>
                <xdr:col>0</xdr:col>
                <xdr:colOff>304800</xdr:colOff>
                <xdr:row>79</xdr:row>
                <xdr:rowOff>68580</xdr:rowOff>
              </from>
              <to>
                <xdr:col>5</xdr:col>
                <xdr:colOff>281940</xdr:colOff>
                <xdr:row>102</xdr:row>
                <xdr:rowOff>15240</xdr:rowOff>
              </to>
            </anchor>
          </objectPr>
        </oleObject>
      </mc:Choice>
      <mc:Fallback>
        <oleObject progId="Paint.Picture" shapeId="20483" r:id="rId17"/>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F6C1A-1BF6-4093-974E-D1600A4C70DD}">
  <sheetPr>
    <tabColor rgb="FF92D050"/>
  </sheetPr>
  <dimension ref="A1:Q122"/>
  <sheetViews>
    <sheetView zoomScale="70" zoomScaleNormal="70" workbookViewId="0">
      <pane ySplit="9" topLeftCell="A10" activePane="bottomLeft" state="frozen"/>
      <selection pane="bottomLeft" activeCell="A16" sqref="A16"/>
    </sheetView>
  </sheetViews>
  <sheetFormatPr defaultRowHeight="14.4"/>
  <cols>
    <col min="1" max="1" width="43" customWidth="1"/>
    <col min="3" max="3" width="12.21875" customWidth="1"/>
    <col min="4" max="4" width="15.5546875" customWidth="1"/>
    <col min="5" max="5" width="12.5546875" customWidth="1"/>
    <col min="6" max="6" width="11" customWidth="1"/>
    <col min="7" max="7" width="12.21875" customWidth="1"/>
    <col min="8" max="8" width="11.21875" customWidth="1"/>
    <col min="9" max="9" width="10.5546875" customWidth="1"/>
  </cols>
  <sheetData>
    <row r="1" spans="1:11">
      <c r="A1" s="162" t="s">
        <v>190</v>
      </c>
    </row>
    <row r="2" spans="1:11">
      <c r="A2" s="189" t="s">
        <v>265</v>
      </c>
    </row>
    <row r="3" spans="1:11">
      <c r="A3" s="162" t="s">
        <v>266</v>
      </c>
    </row>
    <row r="4" spans="1:11">
      <c r="A4" t="s">
        <v>411</v>
      </c>
    </row>
    <row r="6" spans="1:11">
      <c r="A6" s="132"/>
      <c r="B6" s="715" t="s">
        <v>182</v>
      </c>
      <c r="C6" s="715"/>
      <c r="D6" s="715"/>
      <c r="E6" s="715"/>
      <c r="F6" s="715"/>
      <c r="G6" s="715"/>
      <c r="H6" s="408" t="s">
        <v>0</v>
      </c>
      <c r="I6" s="30" t="s">
        <v>9</v>
      </c>
      <c r="K6" s="16"/>
    </row>
    <row r="7" spans="1:11" ht="57.6">
      <c r="A7" s="31" t="s">
        <v>8</v>
      </c>
      <c r="B7" s="134" t="s">
        <v>1</v>
      </c>
      <c r="C7" s="138" t="s">
        <v>2</v>
      </c>
      <c r="D7" s="138" t="s">
        <v>3</v>
      </c>
      <c r="E7" s="138" t="s">
        <v>4</v>
      </c>
      <c r="F7" s="138" t="s">
        <v>5</v>
      </c>
      <c r="G7" s="138" t="s">
        <v>6</v>
      </c>
      <c r="H7" s="139" t="s">
        <v>7</v>
      </c>
      <c r="I7" s="139" t="s">
        <v>1</v>
      </c>
    </row>
    <row r="8" spans="1:11">
      <c r="A8" s="146" t="s">
        <v>10</v>
      </c>
      <c r="B8" s="2">
        <f>SUM(C8:G8)</f>
        <v>18.856888888888886</v>
      </c>
      <c r="C8" s="3">
        <v>9.9851388888888888</v>
      </c>
      <c r="D8" s="3"/>
      <c r="E8" s="3">
        <v>0.77488888888888885</v>
      </c>
      <c r="F8" s="3">
        <v>7.1999999999999984</v>
      </c>
      <c r="G8" s="3">
        <v>0.896861111111112</v>
      </c>
      <c r="H8" s="8">
        <v>73.180000000000007</v>
      </c>
      <c r="I8" s="8">
        <f>B8+H8</f>
        <v>92.036888888888896</v>
      </c>
    </row>
    <row r="9" spans="1:11">
      <c r="A9" s="146" t="s">
        <v>11</v>
      </c>
      <c r="B9" s="2">
        <f>SUM(C9:G9)</f>
        <v>17.02997222222222</v>
      </c>
      <c r="C9" s="3">
        <v>9.7723333333333322</v>
      </c>
      <c r="D9" s="3"/>
      <c r="E9" s="3">
        <v>0.75838888888888989</v>
      </c>
      <c r="F9" s="3">
        <v>5.5071388888888881</v>
      </c>
      <c r="G9" s="3">
        <v>0.99211111111111006</v>
      </c>
      <c r="H9" s="8">
        <v>71.010000000000005</v>
      </c>
      <c r="I9" s="8">
        <f>B9+H9</f>
        <v>88.039972222222218</v>
      </c>
    </row>
    <row r="10" spans="1:11">
      <c r="A10" s="146" t="s">
        <v>713</v>
      </c>
      <c r="B10" s="2">
        <f>SUM(C10:G10)</f>
        <v>15.124944444444445</v>
      </c>
      <c r="C10" s="3">
        <v>4.1443055555555555</v>
      </c>
      <c r="D10" s="3"/>
      <c r="E10" s="3">
        <v>8.0511944444444428</v>
      </c>
      <c r="F10" s="3"/>
      <c r="G10" s="3">
        <v>2.9294444444444458</v>
      </c>
      <c r="H10" s="8">
        <v>55.142855687071751</v>
      </c>
      <c r="I10" s="8">
        <f>B10+H10</f>
        <v>70.267800131516196</v>
      </c>
    </row>
    <row r="11" spans="1:11">
      <c r="A11" s="146" t="s">
        <v>712</v>
      </c>
      <c r="B11" s="2">
        <f>SUM(C11:G11)</f>
        <v>31.673249999999999</v>
      </c>
      <c r="C11" s="3">
        <v>6.1</v>
      </c>
      <c r="D11" s="3"/>
      <c r="E11" s="3">
        <v>12.518500000000001</v>
      </c>
      <c r="F11" s="3">
        <v>11.662694444444442</v>
      </c>
      <c r="G11" s="3">
        <v>1.392055555555554</v>
      </c>
      <c r="H11" s="8">
        <v>68.923621443001878</v>
      </c>
      <c r="I11" s="8">
        <f>B11+H11</f>
        <v>100.59687144300187</v>
      </c>
    </row>
    <row r="12" spans="1:11">
      <c r="A12" s="146" t="s">
        <v>731</v>
      </c>
      <c r="B12" s="2">
        <f t="shared" ref="B12:B14" si="0">SUM(C12:G12)</f>
        <v>23.164527777777778</v>
      </c>
      <c r="C12" s="3">
        <v>5.743722222222222</v>
      </c>
      <c r="D12" s="3">
        <v>13.897444444444446</v>
      </c>
      <c r="E12" s="3">
        <v>2.634722222222222</v>
      </c>
      <c r="F12" s="3"/>
      <c r="G12" s="3">
        <v>0.88863888888888931</v>
      </c>
      <c r="H12" s="8">
        <v>70.796460176991147</v>
      </c>
      <c r="I12" s="8">
        <f t="shared" ref="I12:I14" si="1">B12+H12</f>
        <v>93.960987954768925</v>
      </c>
    </row>
    <row r="13" spans="1:11">
      <c r="A13" s="502" t="s">
        <v>755</v>
      </c>
      <c r="B13" s="2">
        <f t="shared" si="0"/>
        <v>73.727111111111114</v>
      </c>
      <c r="C13" s="3">
        <v>8.239694444444444</v>
      </c>
      <c r="D13" s="3"/>
      <c r="E13" s="3">
        <v>17.010638888888892</v>
      </c>
      <c r="F13" s="3">
        <v>46.627916666666671</v>
      </c>
      <c r="G13" s="3">
        <v>1.8488611111111037</v>
      </c>
      <c r="H13" s="8">
        <v>83.332892227191934</v>
      </c>
      <c r="I13" s="8">
        <f t="shared" si="1"/>
        <v>157.06000333830303</v>
      </c>
    </row>
    <row r="14" spans="1:11">
      <c r="A14" s="502" t="s">
        <v>754</v>
      </c>
      <c r="B14" s="2">
        <f t="shared" si="0"/>
        <v>31.636999999999997</v>
      </c>
      <c r="C14" s="3">
        <v>6.0637499999999998</v>
      </c>
      <c r="D14" s="3"/>
      <c r="E14" s="3">
        <v>12.518500000000001</v>
      </c>
      <c r="F14" s="3">
        <v>11.662694444444442</v>
      </c>
      <c r="G14" s="3">
        <v>1.392055555555554</v>
      </c>
      <c r="H14" s="8">
        <v>68.923621443001878</v>
      </c>
      <c r="I14" s="8">
        <f t="shared" si="1"/>
        <v>100.56062144300188</v>
      </c>
    </row>
    <row r="15" spans="1:11">
      <c r="A15" s="1" t="s">
        <v>752</v>
      </c>
      <c r="B15" s="2">
        <v>0</v>
      </c>
      <c r="C15" s="3"/>
      <c r="D15" s="3"/>
      <c r="E15" s="3"/>
      <c r="F15" s="3"/>
      <c r="G15" s="3"/>
      <c r="H15" s="8"/>
      <c r="I15" s="8"/>
    </row>
    <row r="16" spans="1:11" ht="42" customHeight="1">
      <c r="A16" s="147" t="s">
        <v>1063</v>
      </c>
      <c r="B16" s="38">
        <v>109.44066666666666</v>
      </c>
      <c r="C16" s="39">
        <v>5.8703888888888889</v>
      </c>
      <c r="D16" s="39"/>
      <c r="E16" s="39">
        <v>7.3666944444444447</v>
      </c>
      <c r="F16" s="39">
        <v>86.111138888888874</v>
      </c>
      <c r="G16" s="39">
        <v>10.09244444444445</v>
      </c>
      <c r="H16" s="39">
        <v>0</v>
      </c>
      <c r="I16" s="40">
        <f>B16+H16</f>
        <v>109.44066666666666</v>
      </c>
      <c r="K16" s="157"/>
    </row>
    <row r="17" spans="1:14" ht="44.25" customHeight="1">
      <c r="A17" s="298" t="s">
        <v>112</v>
      </c>
      <c r="B17" s="2">
        <f t="shared" ref="B17:B20" si="2">SUM(C17:G17)</f>
        <v>42.634833333333333</v>
      </c>
      <c r="C17" s="3">
        <v>19.273861111111113</v>
      </c>
      <c r="D17" s="3"/>
      <c r="E17" s="3">
        <v>14.925527777777777</v>
      </c>
      <c r="F17" s="3">
        <v>6.393833333333335</v>
      </c>
      <c r="G17" s="3">
        <v>2.0416111111111075</v>
      </c>
      <c r="H17" s="3">
        <v>0</v>
      </c>
      <c r="I17" s="8">
        <f t="shared" ref="I17:I32" si="3">B17+H17</f>
        <v>42.634833333333333</v>
      </c>
    </row>
    <row r="18" spans="1:14" ht="28.8">
      <c r="A18" s="160" t="s">
        <v>128</v>
      </c>
      <c r="B18" s="133">
        <f>SUM(C18:G18)</f>
        <v>41.564611111111105</v>
      </c>
      <c r="C18" s="4"/>
      <c r="D18" s="4"/>
      <c r="E18" s="4"/>
      <c r="F18" s="4">
        <v>29.133499999999998</v>
      </c>
      <c r="G18" s="4">
        <v>12.431111111111109</v>
      </c>
      <c r="H18" s="3">
        <v>0</v>
      </c>
      <c r="I18" s="8">
        <f t="shared" si="3"/>
        <v>41.564611111111105</v>
      </c>
    </row>
    <row r="19" spans="1:14" ht="47.25" customHeight="1">
      <c r="A19" s="298" t="s">
        <v>113</v>
      </c>
      <c r="B19" s="2">
        <f t="shared" si="2"/>
        <v>34.487194444444441</v>
      </c>
      <c r="C19" s="3">
        <v>12.796000000000001</v>
      </c>
      <c r="D19" s="3"/>
      <c r="E19" s="3">
        <v>9.909111111111109</v>
      </c>
      <c r="F19" s="3">
        <v>2.2729444444444464</v>
      </c>
      <c r="G19" s="3">
        <v>9.5091388888888844</v>
      </c>
      <c r="H19" s="3">
        <v>0</v>
      </c>
      <c r="I19" s="8">
        <f t="shared" si="3"/>
        <v>34.487194444444441</v>
      </c>
    </row>
    <row r="20" spans="1:14" ht="56.25" customHeight="1">
      <c r="A20" s="299" t="s">
        <v>114</v>
      </c>
      <c r="B20" s="2">
        <f t="shared" si="2"/>
        <v>31.722999999999995</v>
      </c>
      <c r="C20" s="3">
        <v>12.493611111111109</v>
      </c>
      <c r="D20" s="3"/>
      <c r="E20" s="3">
        <v>9.6749722222222196</v>
      </c>
      <c r="F20" s="3">
        <v>6.9763055555555553</v>
      </c>
      <c r="G20" s="3">
        <v>2.5781111111111104</v>
      </c>
      <c r="H20" s="3">
        <v>0</v>
      </c>
      <c r="I20" s="8">
        <f t="shared" si="3"/>
        <v>31.722999999999995</v>
      </c>
    </row>
    <row r="21" spans="1:14">
      <c r="A21" s="42" t="s">
        <v>121</v>
      </c>
      <c r="B21" s="2">
        <f>SUM(D21:G21)</f>
        <v>22.836444444444446</v>
      </c>
      <c r="C21" s="4"/>
      <c r="D21" s="4"/>
      <c r="E21" s="4">
        <v>0</v>
      </c>
      <c r="F21" s="4">
        <v>10.405305555555556</v>
      </c>
      <c r="G21" s="4">
        <v>12.431138888888889</v>
      </c>
      <c r="H21" s="3">
        <v>0</v>
      </c>
      <c r="I21" s="8">
        <f>B21+H21</f>
        <v>22.836444444444446</v>
      </c>
    </row>
    <row r="22" spans="1:14" ht="29.55" customHeight="1">
      <c r="A22" s="298" t="s">
        <v>115</v>
      </c>
      <c r="B22" s="2">
        <f t="shared" ref="B22:B32" si="4">SUM(C22:G22)</f>
        <v>20.872333333333337</v>
      </c>
      <c r="C22" s="3">
        <v>5.6575833333333332</v>
      </c>
      <c r="D22" s="3">
        <v>0</v>
      </c>
      <c r="E22" s="3">
        <v>4.3811666666666662</v>
      </c>
      <c r="F22" s="3">
        <v>1.3244444444444445</v>
      </c>
      <c r="G22" s="3">
        <v>9.5091388888888897</v>
      </c>
      <c r="H22" s="3">
        <v>0</v>
      </c>
      <c r="I22" s="8">
        <f t="shared" si="3"/>
        <v>20.872333333333337</v>
      </c>
      <c r="N22" s="46"/>
    </row>
    <row r="23" spans="1:14" ht="40.5" customHeight="1">
      <c r="A23" s="298" t="s">
        <v>116</v>
      </c>
      <c r="B23" s="2">
        <f t="shared" si="4"/>
        <v>18.421083333333335</v>
      </c>
      <c r="C23" s="3"/>
      <c r="D23" s="3">
        <v>1.6147500000000001</v>
      </c>
      <c r="E23" s="3">
        <v>7.2984722222222222</v>
      </c>
      <c r="F23" s="3">
        <v>-1.2777777777777603E-3</v>
      </c>
      <c r="G23" s="3">
        <v>9.5091388888888897</v>
      </c>
      <c r="H23" s="3">
        <v>0</v>
      </c>
      <c r="I23" s="8">
        <f t="shared" si="3"/>
        <v>18.421083333333335</v>
      </c>
      <c r="N23" s="46"/>
    </row>
    <row r="24" spans="1:14" ht="28.8">
      <c r="A24" s="298" t="s">
        <v>129</v>
      </c>
      <c r="B24" s="2">
        <f t="shared" si="4"/>
        <v>17.034361111111114</v>
      </c>
      <c r="C24" s="3"/>
      <c r="D24" s="3">
        <v>2.2669444444444444</v>
      </c>
      <c r="E24" s="3">
        <v>4.3811944444444446</v>
      </c>
      <c r="F24" s="3">
        <v>0.87708333333333399</v>
      </c>
      <c r="G24" s="3">
        <v>9.5091388888888897</v>
      </c>
      <c r="H24" s="3">
        <v>0</v>
      </c>
      <c r="I24" s="8">
        <f t="shared" si="3"/>
        <v>17.034361111111114</v>
      </c>
      <c r="N24" s="46"/>
    </row>
    <row r="25" spans="1:14" ht="28.8">
      <c r="A25" s="63" t="s">
        <v>130</v>
      </c>
      <c r="B25" s="2">
        <f t="shared" si="4"/>
        <v>12.425055555555556</v>
      </c>
      <c r="C25" s="3"/>
      <c r="D25" s="3">
        <v>2.4436666666666667</v>
      </c>
      <c r="E25" s="3">
        <v>0.47224999999999973</v>
      </c>
      <c r="F25" s="3">
        <v>0</v>
      </c>
      <c r="G25" s="3">
        <v>9.5091388888888897</v>
      </c>
      <c r="H25" s="3">
        <v>0</v>
      </c>
      <c r="I25" s="8">
        <f t="shared" si="3"/>
        <v>12.425055555555556</v>
      </c>
    </row>
    <row r="26" spans="1:14" ht="28.8">
      <c r="A26" s="298" t="s">
        <v>131</v>
      </c>
      <c r="B26" s="2">
        <f t="shared" si="4"/>
        <v>12.416694444444444</v>
      </c>
      <c r="C26" s="3"/>
      <c r="D26" s="3">
        <v>2.2336111111111112</v>
      </c>
      <c r="E26" s="3">
        <v>4.3167499999999999</v>
      </c>
      <c r="F26" s="3">
        <v>4.0259166666666655</v>
      </c>
      <c r="G26" s="3">
        <v>1.8404166666666673</v>
      </c>
      <c r="H26" s="3">
        <v>0</v>
      </c>
      <c r="I26" s="8">
        <f t="shared" si="3"/>
        <v>12.416694444444444</v>
      </c>
    </row>
    <row r="27" spans="1:14" ht="28.8">
      <c r="A27" s="158" t="s">
        <v>132</v>
      </c>
      <c r="B27" s="2">
        <f t="shared" si="4"/>
        <v>9.5091111111111104</v>
      </c>
      <c r="C27" s="3"/>
      <c r="D27" s="3"/>
      <c r="E27" s="3"/>
      <c r="F27" s="3">
        <v>0</v>
      </c>
      <c r="G27" s="3">
        <v>9.5091111111111104</v>
      </c>
      <c r="H27" s="3">
        <v>0</v>
      </c>
      <c r="I27" s="8">
        <f t="shared" si="3"/>
        <v>9.5091111111111104</v>
      </c>
    </row>
    <row r="28" spans="1:14" ht="44.55" customHeight="1">
      <c r="A28" s="159" t="s">
        <v>133</v>
      </c>
      <c r="B28" s="2">
        <f t="shared" si="4"/>
        <v>9.5091000000000001</v>
      </c>
      <c r="C28" s="7"/>
      <c r="D28" s="7"/>
      <c r="E28" s="7"/>
      <c r="F28" s="7">
        <v>0</v>
      </c>
      <c r="G28" s="7">
        <v>9.5091000000000001</v>
      </c>
      <c r="H28" s="3">
        <v>0</v>
      </c>
      <c r="I28" s="8">
        <f t="shared" si="3"/>
        <v>9.5091000000000001</v>
      </c>
    </row>
    <row r="29" spans="1:14" ht="44.55" customHeight="1">
      <c r="A29" s="158" t="s">
        <v>134</v>
      </c>
      <c r="B29" s="2">
        <f t="shared" si="4"/>
        <v>3.5624166666666666</v>
      </c>
      <c r="C29" s="3"/>
      <c r="D29" s="3"/>
      <c r="E29" s="3"/>
      <c r="F29" s="3">
        <v>0</v>
      </c>
      <c r="G29" s="3">
        <v>3.5624166666666666</v>
      </c>
      <c r="H29" s="3">
        <v>0</v>
      </c>
      <c r="I29" s="8">
        <f>B29+H29</f>
        <v>3.5624166666666666</v>
      </c>
    </row>
    <row r="30" spans="1:14" ht="46.5" customHeight="1">
      <c r="A30" s="159" t="s">
        <v>135</v>
      </c>
      <c r="B30" s="2">
        <f t="shared" si="4"/>
        <v>3.5623999999999998</v>
      </c>
      <c r="C30" s="7"/>
      <c r="D30" s="7"/>
      <c r="E30" s="7"/>
      <c r="F30" s="7">
        <v>0</v>
      </c>
      <c r="G30" s="7">
        <v>3.5623999999999998</v>
      </c>
      <c r="H30" s="3">
        <v>0</v>
      </c>
      <c r="I30" s="8">
        <f t="shared" si="3"/>
        <v>3.5623999999999998</v>
      </c>
    </row>
    <row r="31" spans="1:14">
      <c r="A31" s="42" t="s">
        <v>56</v>
      </c>
      <c r="B31" s="2">
        <f t="shared" si="4"/>
        <v>-41.591472222222009</v>
      </c>
      <c r="C31" s="4">
        <v>-182.77972222222201</v>
      </c>
      <c r="D31" s="4"/>
      <c r="E31" s="4">
        <v>1.3735277777777495</v>
      </c>
      <c r="F31" s="4">
        <v>127.38358333333335</v>
      </c>
      <c r="G31" s="4">
        <v>12.431138888888892</v>
      </c>
      <c r="H31" s="3">
        <v>0</v>
      </c>
      <c r="I31" s="8">
        <f t="shared" si="3"/>
        <v>-41.591472222222009</v>
      </c>
    </row>
    <row r="32" spans="1:14">
      <c r="A32" s="42" t="s">
        <v>57</v>
      </c>
      <c r="B32" s="2">
        <f t="shared" si="4"/>
        <v>-142.4063888888889</v>
      </c>
      <c r="C32" s="4">
        <v>-164.36502777777778</v>
      </c>
      <c r="D32" s="4"/>
      <c r="E32" s="4">
        <v>1.235138888888893</v>
      </c>
      <c r="F32" s="4">
        <v>8.2923888888889028</v>
      </c>
      <c r="G32" s="4">
        <v>12.431111111111097</v>
      </c>
      <c r="H32" s="3">
        <v>0</v>
      </c>
      <c r="I32" s="8">
        <f t="shared" si="3"/>
        <v>-142.4063888888889</v>
      </c>
    </row>
    <row r="33" spans="1:9">
      <c r="A33" s="505" t="s">
        <v>59</v>
      </c>
      <c r="B33" s="506">
        <v>0</v>
      </c>
      <c r="C33" s="507"/>
      <c r="D33" s="507"/>
      <c r="E33" s="507"/>
      <c r="F33" s="507"/>
      <c r="G33" s="507"/>
      <c r="H33" s="508"/>
      <c r="I33" s="509"/>
    </row>
    <row r="34" spans="1:9" ht="14.25" customHeight="1"/>
    <row r="35" spans="1:9" ht="14.25" customHeight="1">
      <c r="A35" s="473" t="s">
        <v>721</v>
      </c>
      <c r="B35" s="473" t="s">
        <v>719</v>
      </c>
      <c r="C35" s="473" t="s">
        <v>588</v>
      </c>
      <c r="D35" s="473" t="s">
        <v>295</v>
      </c>
    </row>
    <row r="36" spans="1:9" ht="14.25" customHeight="1">
      <c r="A36" s="472" t="s">
        <v>717</v>
      </c>
      <c r="B36" s="472">
        <v>82.5</v>
      </c>
      <c r="C36" s="503" t="s">
        <v>718</v>
      </c>
      <c r="D36" s="1" t="s">
        <v>729</v>
      </c>
    </row>
    <row r="37" spans="1:9" ht="14.25" customHeight="1">
      <c r="A37" s="472" t="s">
        <v>720</v>
      </c>
      <c r="B37" s="472">
        <v>19.899999999999999</v>
      </c>
      <c r="C37" s="472" t="s">
        <v>609</v>
      </c>
      <c r="D37" s="1" t="s">
        <v>729</v>
      </c>
    </row>
    <row r="38" spans="1:9" ht="14.25" customHeight="1">
      <c r="A38" s="472" t="s">
        <v>724</v>
      </c>
      <c r="B38" s="472">
        <v>1.57</v>
      </c>
      <c r="C38" s="503" t="s">
        <v>725</v>
      </c>
      <c r="D38" s="1" t="s">
        <v>730</v>
      </c>
    </row>
    <row r="39" spans="1:9" ht="14.25" customHeight="1">
      <c r="A39" s="472" t="s">
        <v>798</v>
      </c>
      <c r="B39" s="472">
        <v>28.8</v>
      </c>
      <c r="C39" s="503" t="s">
        <v>609</v>
      </c>
      <c r="D39" s="1" t="s">
        <v>797</v>
      </c>
    </row>
    <row r="40" spans="1:9" ht="14.25" customHeight="1">
      <c r="A40" s="472" t="s">
        <v>796</v>
      </c>
      <c r="B40" s="472">
        <v>20.9</v>
      </c>
      <c r="C40" s="472" t="s">
        <v>609</v>
      </c>
      <c r="D40" s="1" t="s">
        <v>799</v>
      </c>
    </row>
    <row r="41" spans="1:9" ht="14.25" customHeight="1">
      <c r="A41" s="472" t="s">
        <v>59</v>
      </c>
      <c r="B41" s="472">
        <v>0</v>
      </c>
      <c r="C41" s="503"/>
      <c r="D41" s="1"/>
    </row>
    <row r="42" spans="1:9" ht="14.25" customHeight="1">
      <c r="A42" s="472" t="s">
        <v>761</v>
      </c>
      <c r="B42" s="472">
        <v>1.464</v>
      </c>
      <c r="C42" s="503" t="s">
        <v>762</v>
      </c>
      <c r="D42" s="1" t="s">
        <v>781</v>
      </c>
    </row>
    <row r="43" spans="1:9" ht="14.25" customHeight="1">
      <c r="A43" s="472" t="s">
        <v>763</v>
      </c>
      <c r="B43" s="472">
        <v>0.23</v>
      </c>
      <c r="C43" s="503" t="s">
        <v>762</v>
      </c>
      <c r="D43" s="1" t="s">
        <v>781</v>
      </c>
    </row>
    <row r="44" spans="1:9" ht="14.25" customHeight="1">
      <c r="A44" s="472" t="s">
        <v>769</v>
      </c>
      <c r="B44" s="472">
        <v>2.12</v>
      </c>
      <c r="C44" s="503" t="s">
        <v>762</v>
      </c>
      <c r="D44" s="1" t="s">
        <v>781</v>
      </c>
    </row>
    <row r="45" spans="1:9" ht="14.25" customHeight="1">
      <c r="A45" s="472" t="s">
        <v>764</v>
      </c>
      <c r="B45" s="472">
        <v>5.9244999999999999E-2</v>
      </c>
      <c r="C45" s="503" t="s">
        <v>762</v>
      </c>
      <c r="D45" s="1" t="s">
        <v>781</v>
      </c>
    </row>
    <row r="46" spans="1:9" ht="14.25" customHeight="1">
      <c r="A46" s="472" t="s">
        <v>765</v>
      </c>
      <c r="B46" s="472">
        <v>0.90193499999999993</v>
      </c>
      <c r="C46" s="503" t="s">
        <v>762</v>
      </c>
      <c r="D46" s="1" t="s">
        <v>781</v>
      </c>
    </row>
    <row r="47" spans="1:9" ht="14.25" customHeight="1">
      <c r="A47" s="472" t="s">
        <v>766</v>
      </c>
      <c r="B47" s="472">
        <v>1.0583349999999998</v>
      </c>
      <c r="C47" s="503" t="s">
        <v>762</v>
      </c>
      <c r="D47" s="1" t="s">
        <v>781</v>
      </c>
    </row>
    <row r="48" spans="1:9" ht="14.25" customHeight="1">
      <c r="A48" s="472" t="s">
        <v>767</v>
      </c>
      <c r="B48" s="472">
        <v>1.1304999999999999E-2</v>
      </c>
      <c r="C48" s="503" t="s">
        <v>762</v>
      </c>
      <c r="D48" s="1" t="s">
        <v>781</v>
      </c>
    </row>
    <row r="49" spans="1:8" ht="14.25" customHeight="1">
      <c r="A49" s="472" t="s">
        <v>768</v>
      </c>
      <c r="B49" s="472">
        <v>0.45024500000000001</v>
      </c>
      <c r="C49" s="503" t="s">
        <v>762</v>
      </c>
      <c r="D49" s="1" t="s">
        <v>781</v>
      </c>
    </row>
    <row r="50" spans="1:8" ht="14.25" customHeight="1">
      <c r="A50" s="472" t="s">
        <v>770</v>
      </c>
      <c r="B50" s="472">
        <v>1.998605</v>
      </c>
      <c r="C50" s="503" t="s">
        <v>762</v>
      </c>
      <c r="D50" s="1" t="s">
        <v>781</v>
      </c>
    </row>
    <row r="51" spans="1:8" ht="14.25" customHeight="1">
      <c r="A51" s="472" t="s">
        <v>771</v>
      </c>
      <c r="B51" s="472">
        <v>0.18487500000000001</v>
      </c>
      <c r="C51" s="503" t="s">
        <v>762</v>
      </c>
      <c r="D51" s="1" t="s">
        <v>781</v>
      </c>
    </row>
    <row r="52" spans="1:8" ht="14.25" customHeight="1">
      <c r="A52" s="472" t="s">
        <v>772</v>
      </c>
      <c r="B52" s="472">
        <v>2.6559949999999999</v>
      </c>
      <c r="C52" s="503" t="s">
        <v>762</v>
      </c>
      <c r="D52" s="1" t="s">
        <v>781</v>
      </c>
    </row>
    <row r="53" spans="1:8" ht="14.25" customHeight="1">
      <c r="A53" s="472" t="s">
        <v>773</v>
      </c>
      <c r="B53" s="472">
        <v>2.0616749999999997</v>
      </c>
      <c r="C53" s="503" t="s">
        <v>762</v>
      </c>
      <c r="D53" s="1" t="s">
        <v>781</v>
      </c>
    </row>
    <row r="54" spans="1:8" ht="14.25" customHeight="1">
      <c r="A54" s="472" t="s">
        <v>774</v>
      </c>
      <c r="B54" s="472">
        <v>0.35623500000000002</v>
      </c>
      <c r="C54" s="503" t="s">
        <v>762</v>
      </c>
      <c r="D54" s="1" t="s">
        <v>781</v>
      </c>
    </row>
    <row r="55" spans="1:8" ht="14.25" customHeight="1">
      <c r="A55" s="472" t="s">
        <v>775</v>
      </c>
      <c r="B55" s="472">
        <v>4.7939999999999997E-2</v>
      </c>
      <c r="C55" s="503" t="s">
        <v>762</v>
      </c>
      <c r="D55" s="1" t="s">
        <v>781</v>
      </c>
    </row>
    <row r="56" spans="1:8" ht="14.25" customHeight="1">
      <c r="A56" s="472" t="s">
        <v>776</v>
      </c>
      <c r="B56" s="472">
        <v>0.38521999999999995</v>
      </c>
      <c r="C56" s="503" t="s">
        <v>762</v>
      </c>
      <c r="D56" s="1" t="s">
        <v>781</v>
      </c>
    </row>
    <row r="57" spans="1:8" ht="14.25" customHeight="1">
      <c r="A57" s="472" t="s">
        <v>777</v>
      </c>
      <c r="B57" s="472">
        <v>0.22516499999999998</v>
      </c>
      <c r="C57" s="503" t="s">
        <v>762</v>
      </c>
      <c r="D57" s="1" t="s">
        <v>781</v>
      </c>
    </row>
    <row r="58" spans="1:8" ht="14.25" customHeight="1">
      <c r="A58" s="472" t="s">
        <v>778</v>
      </c>
      <c r="B58" s="472">
        <v>0.16303000000000001</v>
      </c>
      <c r="C58" s="503" t="s">
        <v>762</v>
      </c>
      <c r="D58" s="1" t="s">
        <v>781</v>
      </c>
    </row>
    <row r="59" spans="1:8" ht="14.25" customHeight="1">
      <c r="A59" s="472" t="s">
        <v>779</v>
      </c>
      <c r="B59" s="472">
        <v>3.2979999999999995E-2</v>
      </c>
      <c r="C59" s="503" t="s">
        <v>762</v>
      </c>
      <c r="D59" s="1" t="s">
        <v>781</v>
      </c>
    </row>
    <row r="60" spans="1:8" ht="14.25" customHeight="1">
      <c r="A60" s="472" t="s">
        <v>780</v>
      </c>
      <c r="B60" s="472">
        <v>4.5304999999999998E-2</v>
      </c>
      <c r="C60" s="503" t="s">
        <v>762</v>
      </c>
      <c r="D60" s="1" t="s">
        <v>781</v>
      </c>
    </row>
    <row r="61" spans="1:8" ht="14.25" customHeight="1">
      <c r="A61" s="59"/>
      <c r="B61" s="59"/>
      <c r="C61" s="504"/>
    </row>
    <row r="62" spans="1:8" ht="14.25" customHeight="1">
      <c r="A62" s="59"/>
      <c r="B62" s="59"/>
      <c r="C62" s="504"/>
    </row>
    <row r="63" spans="1:8">
      <c r="A63" s="161" t="s">
        <v>189</v>
      </c>
      <c r="C63" s="10"/>
      <c r="D63" s="10"/>
      <c r="E63" s="10"/>
      <c r="F63" s="10"/>
      <c r="G63" s="10"/>
      <c r="H63" s="10"/>
    </row>
    <row r="64" spans="1:8">
      <c r="A64" s="9" t="s">
        <v>86</v>
      </c>
      <c r="C64" s="10"/>
      <c r="D64" s="10"/>
      <c r="E64" s="10"/>
      <c r="F64" s="10"/>
      <c r="G64" s="10"/>
      <c r="H64" s="10"/>
    </row>
    <row r="65" spans="1:8">
      <c r="A65" s="9" t="s">
        <v>87</v>
      </c>
      <c r="C65" s="10"/>
      <c r="D65" s="10"/>
      <c r="E65" s="10"/>
      <c r="F65" s="10"/>
      <c r="G65" s="10"/>
      <c r="H65" s="10"/>
    </row>
    <row r="66" spans="1:8">
      <c r="A66" s="9" t="s">
        <v>88</v>
      </c>
      <c r="C66" s="10"/>
      <c r="D66" s="10"/>
      <c r="E66" s="10"/>
      <c r="F66" s="10"/>
      <c r="G66" s="10"/>
      <c r="H66" s="10"/>
    </row>
    <row r="67" spans="1:8">
      <c r="A67" s="9" t="s">
        <v>71</v>
      </c>
      <c r="C67" s="10"/>
      <c r="D67" s="10"/>
      <c r="E67" s="10"/>
      <c r="F67" s="10"/>
      <c r="G67" s="10"/>
      <c r="H67" s="10"/>
    </row>
    <row r="68" spans="1:8">
      <c r="A68" s="9" t="s">
        <v>72</v>
      </c>
      <c r="C68" s="9"/>
      <c r="D68" s="9"/>
      <c r="E68" s="9"/>
      <c r="F68" s="9"/>
      <c r="G68" s="9"/>
      <c r="H68" s="10"/>
    </row>
    <row r="69" spans="1:8">
      <c r="A69" s="9" t="s">
        <v>73</v>
      </c>
      <c r="C69" s="10"/>
      <c r="D69" s="10"/>
      <c r="E69" s="10"/>
      <c r="F69" s="10"/>
      <c r="G69" s="10"/>
      <c r="H69" s="10"/>
    </row>
    <row r="70" spans="1:8">
      <c r="A70" s="11" t="s">
        <v>74</v>
      </c>
      <c r="C70" s="10"/>
      <c r="D70" s="10"/>
      <c r="E70" s="10"/>
      <c r="F70" s="10"/>
      <c r="G70" s="10"/>
      <c r="H70" s="10"/>
    </row>
    <row r="71" spans="1:8">
      <c r="A71" s="9" t="s">
        <v>75</v>
      </c>
      <c r="C71" s="10"/>
      <c r="D71" s="10"/>
      <c r="E71" s="10"/>
      <c r="F71" s="10"/>
      <c r="G71" s="10"/>
      <c r="H71" s="10"/>
    </row>
    <row r="72" spans="1:8">
      <c r="A72" s="9" t="s">
        <v>76</v>
      </c>
      <c r="C72" s="10"/>
      <c r="D72" s="10"/>
      <c r="E72" s="10"/>
      <c r="G72" s="10"/>
      <c r="H72" s="10"/>
    </row>
    <row r="73" spans="1:8">
      <c r="A73" s="9" t="s">
        <v>77</v>
      </c>
    </row>
    <row r="74" spans="1:8">
      <c r="A74" t="s">
        <v>110</v>
      </c>
    </row>
    <row r="75" spans="1:8">
      <c r="A75" t="s">
        <v>79</v>
      </c>
    </row>
    <row r="76" spans="1:8">
      <c r="A76" s="9" t="s">
        <v>80</v>
      </c>
    </row>
    <row r="77" spans="1:8">
      <c r="A77" s="9" t="s">
        <v>81</v>
      </c>
    </row>
    <row r="78" spans="1:8">
      <c r="A78" s="9" t="s">
        <v>82</v>
      </c>
    </row>
    <row r="79" spans="1:8">
      <c r="A79" s="9" t="s">
        <v>83</v>
      </c>
    </row>
    <row r="80" spans="1:8">
      <c r="A80" s="9" t="s">
        <v>84</v>
      </c>
    </row>
    <row r="81" spans="1:17">
      <c r="A81" s="9" t="s">
        <v>85</v>
      </c>
    </row>
    <row r="82" spans="1:17">
      <c r="A82" t="s">
        <v>111</v>
      </c>
    </row>
    <row r="84" spans="1:17">
      <c r="A84" s="407" t="s">
        <v>665</v>
      </c>
      <c r="C84" s="162" t="s">
        <v>190</v>
      </c>
    </row>
    <row r="85" spans="1:17">
      <c r="A85" s="405" t="s">
        <v>641</v>
      </c>
      <c r="C85" s="189" t="s">
        <v>265</v>
      </c>
      <c r="D85" s="10"/>
      <c r="E85" s="10"/>
      <c r="F85" s="10"/>
      <c r="G85" s="10"/>
      <c r="H85" s="10"/>
      <c r="I85" s="10"/>
      <c r="J85" s="10"/>
      <c r="K85" s="10"/>
      <c r="L85" s="10"/>
      <c r="M85" s="10"/>
      <c r="N85" s="10"/>
      <c r="O85" s="10"/>
      <c r="P85" s="10"/>
      <c r="Q85" s="10"/>
    </row>
    <row r="86" spans="1:17">
      <c r="A86" s="388" t="s">
        <v>642</v>
      </c>
      <c r="C86" s="162" t="s">
        <v>664</v>
      </c>
      <c r="D86" s="10"/>
      <c r="E86" s="10"/>
      <c r="F86" s="10"/>
      <c r="G86" s="10"/>
      <c r="H86" s="10"/>
      <c r="I86" s="10"/>
      <c r="J86" s="10"/>
      <c r="K86" s="10"/>
      <c r="L86" s="10"/>
      <c r="M86" s="10"/>
      <c r="N86" s="10"/>
      <c r="O86" s="10"/>
      <c r="P86" s="10"/>
      <c r="Q86" s="10"/>
    </row>
    <row r="87" spans="1:17">
      <c r="A87" s="388" t="s">
        <v>643</v>
      </c>
      <c r="B87" s="389"/>
      <c r="C87" t="s">
        <v>411</v>
      </c>
    </row>
    <row r="88" spans="1:17" ht="15.6">
      <c r="A88" s="390" t="s">
        <v>617</v>
      </c>
      <c r="B88" s="390" t="s">
        <v>618</v>
      </c>
      <c r="C88" s="714" t="s">
        <v>666</v>
      </c>
      <c r="D88" s="714"/>
      <c r="E88" s="714"/>
      <c r="F88" s="714"/>
      <c r="G88" s="714"/>
      <c r="H88" s="714"/>
      <c r="I88" s="408" t="s">
        <v>0</v>
      </c>
      <c r="J88" s="408" t="s">
        <v>9</v>
      </c>
    </row>
    <row r="89" spans="1:17" ht="57.6">
      <c r="A89" s="390" t="s">
        <v>619</v>
      </c>
      <c r="B89" s="390" t="s">
        <v>618</v>
      </c>
      <c r="C89" s="134" t="s">
        <v>1</v>
      </c>
      <c r="D89" s="138" t="s">
        <v>2</v>
      </c>
      <c r="E89" s="138" t="s">
        <v>3</v>
      </c>
      <c r="F89" s="138" t="s">
        <v>4</v>
      </c>
      <c r="G89" s="138" t="s">
        <v>5</v>
      </c>
      <c r="H89" s="138" t="s">
        <v>6</v>
      </c>
      <c r="I89" s="139" t="s">
        <v>7</v>
      </c>
      <c r="J89" s="139" t="s">
        <v>1</v>
      </c>
    </row>
    <row r="90" spans="1:17">
      <c r="A90" s="391" t="s">
        <v>620</v>
      </c>
      <c r="B90" s="392" t="s">
        <v>621</v>
      </c>
      <c r="C90" s="393">
        <f>SUM(D90:H90)</f>
        <v>9.5060555555555553</v>
      </c>
      <c r="D90" s="394">
        <v>0</v>
      </c>
      <c r="E90" s="394">
        <v>0</v>
      </c>
      <c r="F90" s="394">
        <v>0</v>
      </c>
      <c r="G90" s="394">
        <v>7.0812777777777773</v>
      </c>
      <c r="H90" s="394">
        <v>2.4247777777777784</v>
      </c>
      <c r="I90" s="124">
        <f>C90-J90</f>
        <v>1.1810332619859309E-3</v>
      </c>
      <c r="J90" s="395">
        <v>9.5048745222935693</v>
      </c>
    </row>
    <row r="91" spans="1:17" ht="14.55" customHeight="1">
      <c r="A91" s="396" t="s">
        <v>620</v>
      </c>
      <c r="B91" s="392" t="s">
        <v>622</v>
      </c>
      <c r="C91" s="393">
        <f t="shared" ref="C91:C97" si="5">SUM(D91:H91)</f>
        <v>-102.949</v>
      </c>
      <c r="D91" s="394">
        <v>-111.85769444444445</v>
      </c>
      <c r="E91" s="394">
        <v>0</v>
      </c>
      <c r="F91" s="394">
        <v>0.84058333333332924</v>
      </c>
      <c r="G91" s="394">
        <v>5.6433333333333415</v>
      </c>
      <c r="H91" s="394">
        <v>2.4247777777777753</v>
      </c>
      <c r="I91" s="410">
        <f t="shared" ref="I91:I97" si="6">C91-J91</f>
        <v>1.1532554841977571E-3</v>
      </c>
      <c r="J91" s="395">
        <v>-102.9501532554842</v>
      </c>
    </row>
    <row r="92" spans="1:17" ht="16.5" customHeight="1">
      <c r="A92" s="396" t="s">
        <v>620</v>
      </c>
      <c r="B92" s="411" t="s">
        <v>623</v>
      </c>
      <c r="C92" s="419">
        <f>SUM(D92:H92)</f>
        <v>-34.339972222222215</v>
      </c>
      <c r="D92" s="412">
        <v>-124.38969444444444</v>
      </c>
      <c r="E92" s="412">
        <v>0</v>
      </c>
      <c r="F92" s="412">
        <v>0.93475000000001129</v>
      </c>
      <c r="G92" s="412">
        <v>86.69016666666667</v>
      </c>
      <c r="H92" s="412">
        <v>2.4248055555555501</v>
      </c>
      <c r="I92" s="413">
        <f t="shared" si="6"/>
        <v>1.1532554841977571E-3</v>
      </c>
      <c r="J92" s="414">
        <v>-34.341125477706413</v>
      </c>
    </row>
    <row r="93" spans="1:17">
      <c r="A93" s="397" t="s">
        <v>620</v>
      </c>
      <c r="B93" s="398" t="s">
        <v>624</v>
      </c>
      <c r="C93" s="393">
        <f t="shared" si="5"/>
        <v>22.247944444444446</v>
      </c>
      <c r="D93" s="399">
        <v>0</v>
      </c>
      <c r="E93" s="399">
        <v>0</v>
      </c>
      <c r="F93" s="399">
        <v>0</v>
      </c>
      <c r="G93" s="399">
        <v>19.82663888888889</v>
      </c>
      <c r="H93" s="399">
        <v>2.4213055555555565</v>
      </c>
      <c r="I93" s="124">
        <f>J93-C93</f>
        <v>2.2911889602319491E-3</v>
      </c>
      <c r="J93" s="400">
        <v>22.250235633404678</v>
      </c>
    </row>
    <row r="94" spans="1:17">
      <c r="A94" s="401" t="s">
        <v>631</v>
      </c>
      <c r="B94" s="398" t="s">
        <v>632</v>
      </c>
      <c r="C94" s="393">
        <f t="shared" si="5"/>
        <v>13.755916666666664</v>
      </c>
      <c r="D94" s="297">
        <v>0</v>
      </c>
      <c r="E94" s="297">
        <v>0</v>
      </c>
      <c r="F94" s="297">
        <v>0</v>
      </c>
      <c r="G94" s="297">
        <v>7.0813611111111108</v>
      </c>
      <c r="H94" s="297">
        <v>6.6745555555555542</v>
      </c>
      <c r="I94" s="124">
        <f t="shared" si="6"/>
        <v>0</v>
      </c>
      <c r="J94" s="404">
        <v>13.755916666666666</v>
      </c>
    </row>
    <row r="95" spans="1:17">
      <c r="A95" s="402" t="s">
        <v>631</v>
      </c>
      <c r="B95" s="398" t="s">
        <v>633</v>
      </c>
      <c r="C95" s="393">
        <f t="shared" si="5"/>
        <v>-98.700416666666683</v>
      </c>
      <c r="D95" s="297">
        <v>-111.85880555555556</v>
      </c>
      <c r="E95" s="297">
        <v>0</v>
      </c>
      <c r="F95" s="297">
        <v>0.84058333333334501</v>
      </c>
      <c r="G95" s="297">
        <v>5.6433888888888832</v>
      </c>
      <c r="H95" s="297">
        <v>6.6744166666666631</v>
      </c>
      <c r="I95" s="124">
        <f t="shared" si="6"/>
        <v>0</v>
      </c>
      <c r="J95" s="404">
        <v>-98.700416666666669</v>
      </c>
    </row>
    <row r="96" spans="1:17">
      <c r="A96" s="402" t="s">
        <v>631</v>
      </c>
      <c r="B96" s="398" t="s">
        <v>634</v>
      </c>
      <c r="C96" s="393">
        <f t="shared" si="5"/>
        <v>-30.090722222222219</v>
      </c>
      <c r="D96" s="297">
        <v>-124.39091666666667</v>
      </c>
      <c r="E96" s="297">
        <v>0</v>
      </c>
      <c r="F96" s="297">
        <v>0.93474999999999553</v>
      </c>
      <c r="G96" s="297">
        <v>86.691027777777791</v>
      </c>
      <c r="H96" s="297">
        <v>6.6744166666666667</v>
      </c>
      <c r="I96" s="124">
        <f t="shared" si="6"/>
        <v>9.6313435676499637E-2</v>
      </c>
      <c r="J96" s="404">
        <v>-30.187035657898718</v>
      </c>
    </row>
    <row r="97" spans="1:10">
      <c r="A97" s="403" t="s">
        <v>631</v>
      </c>
      <c r="B97" s="398" t="s">
        <v>635</v>
      </c>
      <c r="C97" s="393">
        <f t="shared" si="5"/>
        <v>26.50138888888889</v>
      </c>
      <c r="D97" s="297">
        <v>0</v>
      </c>
      <c r="E97" s="297">
        <v>0</v>
      </c>
      <c r="F97" s="297">
        <v>0</v>
      </c>
      <c r="G97" s="297">
        <v>19.826833333333333</v>
      </c>
      <c r="H97" s="297">
        <v>6.674555555555556</v>
      </c>
      <c r="I97" s="124">
        <f t="shared" si="6"/>
        <v>0</v>
      </c>
      <c r="J97" s="404">
        <v>26.501388888888886</v>
      </c>
    </row>
    <row r="98" spans="1:10">
      <c r="A98" s="415" t="s">
        <v>671</v>
      </c>
      <c r="B98" s="416"/>
      <c r="C98" s="416"/>
      <c r="J98" s="409"/>
    </row>
    <row r="99" spans="1:10" ht="15" thickBot="1"/>
    <row r="100" spans="1:10" ht="15" thickBot="1">
      <c r="A100" s="423" t="s">
        <v>618</v>
      </c>
      <c r="B100" s="426" t="s">
        <v>617</v>
      </c>
      <c r="C100" s="716" t="s">
        <v>644</v>
      </c>
      <c r="D100" s="717"/>
      <c r="E100" s="717"/>
      <c r="F100" s="717"/>
      <c r="G100" s="717"/>
      <c r="H100" s="717"/>
      <c r="I100" s="718"/>
    </row>
    <row r="101" spans="1:10">
      <c r="A101" s="420" t="s">
        <v>621</v>
      </c>
      <c r="B101" s="710" t="s">
        <v>620</v>
      </c>
      <c r="C101" s="427" t="s">
        <v>645</v>
      </c>
      <c r="D101" s="428"/>
      <c r="E101" s="428"/>
      <c r="F101" s="428"/>
      <c r="G101" s="428"/>
      <c r="H101" s="428"/>
      <c r="I101" s="429"/>
    </row>
    <row r="102" spans="1:10">
      <c r="A102" s="421" t="s">
        <v>646</v>
      </c>
      <c r="B102" s="710"/>
      <c r="C102" s="430" t="s">
        <v>647</v>
      </c>
      <c r="I102" s="249"/>
    </row>
    <row r="103" spans="1:10">
      <c r="A103" s="421" t="s">
        <v>624</v>
      </c>
      <c r="B103" s="710"/>
      <c r="C103" s="431" t="s">
        <v>648</v>
      </c>
      <c r="I103" s="249"/>
    </row>
    <row r="104" spans="1:10">
      <c r="A104" s="421" t="s">
        <v>625</v>
      </c>
      <c r="B104" s="710"/>
      <c r="C104" s="431" t="s">
        <v>649</v>
      </c>
      <c r="I104" s="249"/>
    </row>
    <row r="105" spans="1:10" ht="15" thickBot="1">
      <c r="A105" s="422" t="s">
        <v>626</v>
      </c>
      <c r="B105" s="711"/>
      <c r="C105" s="432" t="s">
        <v>650</v>
      </c>
      <c r="D105" s="433"/>
      <c r="E105" s="433"/>
      <c r="F105" s="433"/>
      <c r="G105" s="433"/>
      <c r="H105" s="433"/>
      <c r="I105" s="300"/>
    </row>
    <row r="106" spans="1:10">
      <c r="A106" s="424" t="s">
        <v>628</v>
      </c>
      <c r="B106" s="712" t="s">
        <v>627</v>
      </c>
      <c r="C106" s="427" t="s">
        <v>651</v>
      </c>
      <c r="D106" s="428"/>
      <c r="E106" s="428"/>
      <c r="F106" s="428"/>
      <c r="G106" s="428"/>
      <c r="H106" s="428"/>
      <c r="I106" s="429"/>
    </row>
    <row r="107" spans="1:10">
      <c r="A107" s="421" t="s">
        <v>629</v>
      </c>
      <c r="B107" s="710"/>
      <c r="C107" s="431" t="s">
        <v>652</v>
      </c>
      <c r="I107" s="249"/>
    </row>
    <row r="108" spans="1:10" ht="16.2" thickBot="1">
      <c r="A108" s="425" t="s">
        <v>630</v>
      </c>
      <c r="B108" s="713"/>
      <c r="C108" s="434" t="s">
        <v>653</v>
      </c>
      <c r="D108" s="433"/>
      <c r="E108" s="433"/>
      <c r="F108" s="433"/>
      <c r="G108" s="433"/>
      <c r="H108" s="433"/>
      <c r="I108" s="300"/>
    </row>
    <row r="109" spans="1:10">
      <c r="A109" s="420" t="s">
        <v>632</v>
      </c>
      <c r="B109" s="709" t="s">
        <v>631</v>
      </c>
      <c r="C109" s="427" t="s">
        <v>654</v>
      </c>
      <c r="D109" s="428"/>
      <c r="E109" s="428"/>
      <c r="F109" s="428"/>
      <c r="G109" s="428"/>
      <c r="H109" s="428"/>
      <c r="I109" s="429"/>
    </row>
    <row r="110" spans="1:10">
      <c r="A110" s="421" t="s">
        <v>655</v>
      </c>
      <c r="B110" s="710"/>
      <c r="C110" s="435" t="s">
        <v>656</v>
      </c>
      <c r="I110" s="249"/>
    </row>
    <row r="111" spans="1:10">
      <c r="A111" s="421" t="s">
        <v>635</v>
      </c>
      <c r="B111" s="710"/>
      <c r="C111" s="431" t="s">
        <v>657</v>
      </c>
      <c r="I111" s="249"/>
    </row>
    <row r="112" spans="1:10">
      <c r="A112" s="421" t="s">
        <v>636</v>
      </c>
      <c r="B112" s="710"/>
      <c r="C112" s="431" t="s">
        <v>658</v>
      </c>
      <c r="I112" s="249"/>
    </row>
    <row r="113" spans="1:9" ht="15" thickBot="1">
      <c r="A113" s="422" t="s">
        <v>637</v>
      </c>
      <c r="B113" s="711"/>
      <c r="C113" s="436" t="s">
        <v>659</v>
      </c>
      <c r="I113" s="249"/>
    </row>
    <row r="114" spans="1:9">
      <c r="A114" s="424" t="s">
        <v>639</v>
      </c>
      <c r="B114" s="712" t="s">
        <v>638</v>
      </c>
      <c r="C114" s="427" t="s">
        <v>660</v>
      </c>
      <c r="D114" s="428"/>
      <c r="E114" s="428"/>
      <c r="F114" s="428"/>
      <c r="G114" s="428"/>
      <c r="H114" s="428"/>
      <c r="I114" s="429"/>
    </row>
    <row r="115" spans="1:9">
      <c r="A115" s="421" t="s">
        <v>640</v>
      </c>
      <c r="B115" s="710"/>
      <c r="C115" s="431" t="s">
        <v>661</v>
      </c>
      <c r="I115" s="249"/>
    </row>
    <row r="116" spans="1:9" ht="16.2" thickBot="1">
      <c r="A116" s="422" t="s">
        <v>662</v>
      </c>
      <c r="B116" s="713"/>
      <c r="C116" s="434" t="s">
        <v>663</v>
      </c>
      <c r="D116" s="433"/>
      <c r="E116" s="433"/>
      <c r="F116" s="433"/>
      <c r="G116" s="433"/>
      <c r="H116" s="433"/>
      <c r="I116" s="300"/>
    </row>
    <row r="117" spans="1:9">
      <c r="A117" s="10"/>
      <c r="B117" s="10"/>
      <c r="C117" s="10"/>
    </row>
    <row r="118" spans="1:9">
      <c r="A118" s="10"/>
      <c r="B118" s="10"/>
      <c r="C118" s="10"/>
    </row>
    <row r="119" spans="1:9">
      <c r="A119" s="10"/>
      <c r="B119" s="10"/>
      <c r="C119" s="10"/>
    </row>
    <row r="120" spans="1:9">
      <c r="A120" s="10"/>
      <c r="B120" s="10"/>
      <c r="C120" s="10"/>
    </row>
    <row r="121" spans="1:9">
      <c r="A121" s="10"/>
      <c r="B121" s="406"/>
      <c r="C121" s="406"/>
    </row>
    <row r="122" spans="1:9">
      <c r="A122" s="10"/>
    </row>
  </sheetData>
  <sheetProtection algorithmName="SHA-512" hashValue="dJRAEf6n/PM7bzkZqSQZNYi15JudLUtvKuuHQ/iUGsyJQt3yzPK6pyNYdUcTf3x0kYMMjlNTWlDvhC0c/H7J7Q==" saltValue="vPYNcI2442VvcJHVlg+hQA==" spinCount="100000" sheet="1" objects="1" scenarios="1"/>
  <sortState xmlns:xlrd2="http://schemas.microsoft.com/office/spreadsheetml/2017/richdata2" ref="A16:I32">
    <sortCondition descending="1" ref="I16:I32"/>
  </sortState>
  <mergeCells count="7">
    <mergeCell ref="B109:B113"/>
    <mergeCell ref="B114:B116"/>
    <mergeCell ref="C88:H88"/>
    <mergeCell ref="B6:G6"/>
    <mergeCell ref="B101:B105"/>
    <mergeCell ref="B106:B108"/>
    <mergeCell ref="C100:I100"/>
  </mergeCells>
  <hyperlinks>
    <hyperlink ref="A2" r:id="rId1" xr:uid="{59B2F023-03F8-4B7F-BD4B-DD4C33CFABD4}"/>
    <hyperlink ref="C85" r:id="rId2" xr:uid="{340FE620-274E-4414-8F34-540A8030C56A}"/>
  </hyperlinks>
  <pageMargins left="0.7" right="0.7" top="0.75" bottom="0.75" header="0.3" footer="0.3"/>
  <pageSetup orientation="portrait"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50B32-9F5B-4514-AE6F-2F63672D2C1A}">
  <sheetPr>
    <tabColor rgb="FF92D050"/>
  </sheetPr>
  <dimension ref="A1:M127"/>
  <sheetViews>
    <sheetView topLeftCell="A103" zoomScale="70" zoomScaleNormal="70" workbookViewId="0">
      <selection activeCell="D124" sqref="D124"/>
    </sheetView>
  </sheetViews>
  <sheetFormatPr defaultRowHeight="14.4"/>
  <cols>
    <col min="1" max="1" width="35.88671875" bestFit="1" customWidth="1"/>
    <col min="2" max="2" width="25.5546875" customWidth="1"/>
    <col min="3" max="3" width="14.5546875" customWidth="1"/>
    <col min="5" max="5" width="21.109375" bestFit="1" customWidth="1"/>
    <col min="6" max="6" width="14.5546875" bestFit="1" customWidth="1"/>
    <col min="7" max="7" width="16.33203125" bestFit="1" customWidth="1"/>
    <col min="8" max="8" width="8" bestFit="1" customWidth="1"/>
    <col min="9" max="9" width="12.5546875" bestFit="1" customWidth="1"/>
    <col min="11" max="11" width="16.33203125" bestFit="1" customWidth="1"/>
    <col min="18" max="18" width="16.44140625" bestFit="1" customWidth="1"/>
  </cols>
  <sheetData>
    <row r="1" spans="1:11">
      <c r="A1" s="162" t="s">
        <v>692</v>
      </c>
    </row>
    <row r="2" spans="1:11">
      <c r="A2" s="162" t="s">
        <v>693</v>
      </c>
      <c r="G2" s="43"/>
    </row>
    <row r="3" spans="1:11">
      <c r="A3" s="162" t="s">
        <v>969</v>
      </c>
    </row>
    <row r="4" spans="1:11">
      <c r="A4" s="43" t="s">
        <v>968</v>
      </c>
      <c r="H4" s="43" t="s">
        <v>967</v>
      </c>
      <c r="J4" s="43"/>
      <c r="K4" s="43"/>
    </row>
    <row r="5" spans="1:11">
      <c r="A5" s="162" t="s">
        <v>992</v>
      </c>
      <c r="G5" s="43"/>
      <c r="H5" s="43" t="s">
        <v>394</v>
      </c>
    </row>
    <row r="6" spans="1:11">
      <c r="C6" s="181">
        <v>2020</v>
      </c>
      <c r="E6" s="125"/>
      <c r="G6" s="255"/>
    </row>
    <row r="7" spans="1:11" ht="16.2" thickBot="1">
      <c r="A7" s="280" t="s">
        <v>403</v>
      </c>
      <c r="B7" s="281" t="s">
        <v>139</v>
      </c>
      <c r="C7" s="282">
        <v>4527.8918369395333</v>
      </c>
      <c r="G7" s="43"/>
    </row>
    <row r="8" spans="1:11" ht="28.2" thickTop="1">
      <c r="A8" s="86"/>
      <c r="B8" s="279" t="s">
        <v>398</v>
      </c>
      <c r="C8" s="86" t="s">
        <v>397</v>
      </c>
      <c r="G8" s="43"/>
    </row>
    <row r="9" spans="1:11" ht="16.2" thickBot="1">
      <c r="A9" s="278" t="s">
        <v>140</v>
      </c>
      <c r="B9" s="290">
        <v>29.452967967720355</v>
      </c>
      <c r="C9" s="285">
        <f>$B$9*C7/1000*(44/12)</f>
        <v>488.98612852716934</v>
      </c>
      <c r="E9" s="125"/>
    </row>
    <row r="10" spans="1:11" ht="27.6" thickTop="1">
      <c r="A10" s="86"/>
      <c r="B10" s="279" t="s">
        <v>400</v>
      </c>
      <c r="C10" s="283" t="s">
        <v>399</v>
      </c>
    </row>
    <row r="11" spans="1:11">
      <c r="A11" s="79" t="s">
        <v>141</v>
      </c>
      <c r="B11" s="80">
        <v>0</v>
      </c>
      <c r="C11" s="113">
        <v>0</v>
      </c>
    </row>
    <row r="12" spans="1:11">
      <c r="A12" s="81" t="s">
        <v>142</v>
      </c>
      <c r="B12" s="82">
        <v>0</v>
      </c>
      <c r="C12" s="114">
        <v>0</v>
      </c>
      <c r="I12" s="157"/>
    </row>
    <row r="13" spans="1:11" ht="15.6">
      <c r="A13" s="83" t="s">
        <v>401</v>
      </c>
      <c r="B13" s="83"/>
      <c r="C13" s="112">
        <f t="shared" ref="C13" si="0">C9+C11*25+C12*298</f>
        <v>488.98612852716934</v>
      </c>
      <c r="I13" s="157"/>
    </row>
    <row r="15" spans="1:11" ht="16.2" thickBot="1">
      <c r="A15" s="280" t="s">
        <v>402</v>
      </c>
      <c r="B15" s="286" t="s">
        <v>139</v>
      </c>
      <c r="C15" s="287">
        <v>17686.378172560399</v>
      </c>
    </row>
    <row r="16" spans="1:11" ht="28.2" thickTop="1">
      <c r="A16" s="86"/>
      <c r="B16" s="279" t="s">
        <v>398</v>
      </c>
      <c r="C16" s="86" t="s">
        <v>397</v>
      </c>
    </row>
    <row r="17" spans="1:5" ht="16.2" thickBot="1">
      <c r="A17" s="278" t="s">
        <v>140</v>
      </c>
      <c r="B17" s="290">
        <v>27.406802037303738</v>
      </c>
      <c r="C17" s="285">
        <f>$B$17*C15/1000*44/12</f>
        <v>1777.3325728849268</v>
      </c>
      <c r="E17" s="125"/>
    </row>
    <row r="18" spans="1:5" ht="28.2" thickTop="1" thickBot="1">
      <c r="A18" s="288"/>
      <c r="B18" s="289" t="s">
        <v>400</v>
      </c>
      <c r="C18" s="289" t="s">
        <v>399</v>
      </c>
    </row>
    <row r="19" spans="1:5" ht="15" thickTop="1">
      <c r="A19" s="86" t="s">
        <v>141</v>
      </c>
      <c r="B19" s="87">
        <v>0</v>
      </c>
      <c r="C19" s="284">
        <v>0</v>
      </c>
    </row>
    <row r="20" spans="1:5">
      <c r="A20" s="79" t="s">
        <v>142</v>
      </c>
      <c r="B20" s="80">
        <v>0.82</v>
      </c>
      <c r="C20" s="116">
        <f>$B$20*C15/10^6</f>
        <v>1.4502830101499527E-2</v>
      </c>
    </row>
    <row r="21" spans="1:5" ht="15.6">
      <c r="A21" s="83" t="s">
        <v>401</v>
      </c>
      <c r="B21" s="83"/>
      <c r="C21" s="112">
        <f t="shared" ref="C21" si="1">C17+C19*25+C20*298</f>
        <v>1781.6544162551736</v>
      </c>
    </row>
    <row r="23" spans="1:5">
      <c r="A23" s="77" t="s">
        <v>144</v>
      </c>
      <c r="B23" s="85" t="s">
        <v>139</v>
      </c>
      <c r="C23" s="115">
        <v>28.224000000000004</v>
      </c>
    </row>
    <row r="24" spans="1:5" ht="27.6">
      <c r="A24" s="86"/>
      <c r="B24" s="279" t="s">
        <v>398</v>
      </c>
      <c r="C24" s="86" t="s">
        <v>397</v>
      </c>
    </row>
    <row r="25" spans="1:5" ht="16.2" thickBot="1">
      <c r="A25" s="86" t="s">
        <v>140</v>
      </c>
      <c r="B25" s="87">
        <v>28.9</v>
      </c>
      <c r="C25" s="112">
        <f>$B$25*C23/1000*3.664</f>
        <v>2.9886280704000003</v>
      </c>
    </row>
    <row r="26" spans="1:5" ht="28.2" thickTop="1" thickBot="1">
      <c r="A26" s="288"/>
      <c r="B26" s="289" t="s">
        <v>400</v>
      </c>
      <c r="C26" s="289" t="s">
        <v>399</v>
      </c>
    </row>
    <row r="27" spans="1:5" ht="15" thickTop="1">
      <c r="A27" s="79" t="s">
        <v>141</v>
      </c>
      <c r="B27" s="443">
        <v>1.3812733568043405</v>
      </c>
      <c r="C27" s="116">
        <f t="shared" ref="C27" si="2">$B$27*C23/10^6</f>
        <v>3.8985059222445714E-5</v>
      </c>
    </row>
    <row r="28" spans="1:5">
      <c r="A28" s="79" t="s">
        <v>142</v>
      </c>
      <c r="B28" s="443">
        <v>2.0039508609737338</v>
      </c>
      <c r="C28" s="116">
        <f t="shared" ref="C28" si="3">$B$28*C23/10^6</f>
        <v>5.6559509100122666E-5</v>
      </c>
    </row>
    <row r="29" spans="1:5" ht="15.6">
      <c r="A29" s="83" t="s">
        <v>143</v>
      </c>
      <c r="B29" s="83"/>
      <c r="C29" s="112">
        <f t="shared" ref="C29" si="4">C25+C27*25+C28*298</f>
        <v>3.0064574305923979</v>
      </c>
    </row>
    <row r="30" spans="1:5">
      <c r="A30" s="88"/>
      <c r="B30" s="88"/>
      <c r="C30" s="117"/>
    </row>
    <row r="31" spans="1:5">
      <c r="A31" s="291" t="s">
        <v>145</v>
      </c>
      <c r="B31" s="292"/>
      <c r="C31" s="292"/>
    </row>
    <row r="32" spans="1:5">
      <c r="A32" s="291" t="s">
        <v>146</v>
      </c>
      <c r="B32" s="292"/>
      <c r="C32" s="292"/>
    </row>
    <row r="33" spans="1:3">
      <c r="A33" s="291" t="s">
        <v>147</v>
      </c>
      <c r="B33" s="293" t="s">
        <v>139</v>
      </c>
      <c r="C33" s="294">
        <v>11294</v>
      </c>
    </row>
    <row r="34" spans="1:3" ht="27.6">
      <c r="A34" s="86"/>
      <c r="B34" s="279" t="s">
        <v>398</v>
      </c>
      <c r="C34" s="86" t="s">
        <v>397</v>
      </c>
    </row>
    <row r="35" spans="1:3">
      <c r="A35" s="89" t="s">
        <v>148</v>
      </c>
      <c r="B35" s="90">
        <v>0</v>
      </c>
      <c r="C35" s="1"/>
    </row>
    <row r="36" spans="1:3">
      <c r="A36" s="89" t="s">
        <v>149</v>
      </c>
      <c r="B36" s="91">
        <v>0</v>
      </c>
      <c r="C36" s="1"/>
    </row>
    <row r="37" spans="1:3" ht="15" thickBot="1">
      <c r="A37" s="90" t="s">
        <v>150</v>
      </c>
      <c r="B37" s="92"/>
      <c r="C37" s="1"/>
    </row>
    <row r="38" spans="1:3" ht="28.2" thickTop="1" thickBot="1">
      <c r="A38" s="288"/>
      <c r="B38" s="289" t="s">
        <v>400</v>
      </c>
      <c r="C38" s="289" t="s">
        <v>399</v>
      </c>
    </row>
    <row r="39" spans="1:3" ht="15" thickTop="1">
      <c r="A39" s="80" t="s">
        <v>151</v>
      </c>
      <c r="B39" s="112">
        <v>14.928387861984213</v>
      </c>
      <c r="C39" s="116">
        <f>$B$39*C33/10^6</f>
        <v>0.16860121251324969</v>
      </c>
    </row>
    <row r="40" spans="1:3">
      <c r="A40" s="80" t="s">
        <v>152</v>
      </c>
      <c r="B40" s="112"/>
      <c r="C40" s="116">
        <f>C39</f>
        <v>0.16860121251324969</v>
      </c>
    </row>
    <row r="41" spans="1:3">
      <c r="A41" s="80" t="s">
        <v>153</v>
      </c>
      <c r="B41" s="112">
        <v>2.0780279896822162</v>
      </c>
      <c r="C41" s="116">
        <f>$B$41*C33/10^6</f>
        <v>2.346924811547095E-2</v>
      </c>
    </row>
    <row r="42" spans="1:3">
      <c r="A42" s="90" t="s">
        <v>154</v>
      </c>
      <c r="B42" s="93"/>
      <c r="C42" s="116">
        <f>C41</f>
        <v>2.346924811547095E-2</v>
      </c>
    </row>
    <row r="43" spans="1:3" ht="15.6">
      <c r="A43" s="83" t="s">
        <v>143</v>
      </c>
      <c r="B43" s="83"/>
      <c r="C43" s="112">
        <f>C40*25+C42*298</f>
        <v>11.208866251241584</v>
      </c>
    </row>
    <row r="45" spans="1:3">
      <c r="A45" s="78" t="s">
        <v>155</v>
      </c>
      <c r="B45" s="94" t="s">
        <v>139</v>
      </c>
      <c r="C45" s="111">
        <v>94.964063308669054</v>
      </c>
    </row>
    <row r="46" spans="1:3" ht="27.6">
      <c r="A46" s="86"/>
      <c r="B46" s="279" t="s">
        <v>398</v>
      </c>
      <c r="C46" s="86" t="s">
        <v>397</v>
      </c>
    </row>
    <row r="47" spans="1:3" ht="15" thickBot="1">
      <c r="A47" s="95" t="s">
        <v>150</v>
      </c>
      <c r="B47" s="80">
        <v>15.07</v>
      </c>
      <c r="C47" s="112">
        <f>$B$47*C45/1000*3.664</f>
        <v>5.2435813024018589</v>
      </c>
    </row>
    <row r="48" spans="1:3" ht="28.2" thickTop="1" thickBot="1">
      <c r="A48" s="288"/>
      <c r="B48" s="289" t="s">
        <v>400</v>
      </c>
      <c r="C48" s="289" t="s">
        <v>399</v>
      </c>
    </row>
    <row r="49" spans="1:3" ht="15" thickTop="1">
      <c r="A49" s="95" t="s">
        <v>141</v>
      </c>
      <c r="B49" s="443">
        <v>1.0007837857691415</v>
      </c>
      <c r="C49" s="116">
        <f>$B$49*C45/10^6</f>
        <v>9.5038494790070251E-5</v>
      </c>
    </row>
    <row r="50" spans="1:3">
      <c r="A50" s="95" t="s">
        <v>142</v>
      </c>
      <c r="B50" s="443">
        <v>0.13704352183859689</v>
      </c>
      <c r="C50" s="116">
        <f t="shared" ref="C50" si="5">$B$50*C45/10^6</f>
        <v>1.3014209683923485E-5</v>
      </c>
    </row>
    <row r="51" spans="1:3" ht="15.6">
      <c r="A51" s="83" t="s">
        <v>143</v>
      </c>
      <c r="B51" s="83"/>
      <c r="C51" s="112">
        <f t="shared" ref="C51" si="6">C47+C49*25+C50*298</f>
        <v>5.2498354992574194</v>
      </c>
    </row>
    <row r="52" spans="1:3">
      <c r="A52" s="88"/>
      <c r="B52" s="88"/>
      <c r="C52" s="119"/>
    </row>
    <row r="53" spans="1:3">
      <c r="A53" s="97" t="s">
        <v>156</v>
      </c>
      <c r="B53" s="84" t="s">
        <v>139</v>
      </c>
      <c r="C53" s="115">
        <v>220.56251999999998</v>
      </c>
    </row>
    <row r="54" spans="1:3" ht="27.6">
      <c r="A54" s="86"/>
      <c r="B54" s="279" t="s">
        <v>398</v>
      </c>
      <c r="C54" s="86" t="s">
        <v>397</v>
      </c>
    </row>
    <row r="55" spans="1:3" ht="15" thickBot="1">
      <c r="A55" s="79" t="s">
        <v>150</v>
      </c>
      <c r="B55" s="443">
        <v>20.74029540189645</v>
      </c>
      <c r="C55" s="112">
        <f t="shared" ref="C55" si="7">$B$55*C53/1000*3.664</f>
        <v>16.761084586232844</v>
      </c>
    </row>
    <row r="56" spans="1:3" ht="28.2" thickTop="1" thickBot="1">
      <c r="A56" s="288"/>
      <c r="B56" s="289" t="s">
        <v>400</v>
      </c>
      <c r="C56" s="289" t="s">
        <v>399</v>
      </c>
    </row>
    <row r="57" spans="1:3" ht="15" thickTop="1">
      <c r="A57" s="79" t="s">
        <v>141</v>
      </c>
      <c r="B57" s="443">
        <v>1.1726090307225783</v>
      </c>
      <c r="C57" s="116">
        <f t="shared" ref="C57" si="8">$B$57*C53/10^6</f>
        <v>2.5863360279092929E-4</v>
      </c>
    </row>
    <row r="58" spans="1:3">
      <c r="A58" s="79" t="s">
        <v>142</v>
      </c>
      <c r="B58" s="443">
        <v>0.33960984376065456</v>
      </c>
      <c r="C58" s="116">
        <f t="shared" ref="C58" si="9">$B$58*C53/10^6</f>
        <v>7.4905202956656244E-5</v>
      </c>
    </row>
    <row r="59" spans="1:3" ht="15.6">
      <c r="A59" s="83" t="s">
        <v>143</v>
      </c>
      <c r="B59" s="83"/>
      <c r="C59" s="112">
        <f t="shared" ref="C59" si="10">C55+C57*25+C58*298</f>
        <v>16.7898721767837</v>
      </c>
    </row>
    <row r="60" spans="1:3">
      <c r="A60" s="88"/>
      <c r="B60" s="88"/>
      <c r="C60" s="117"/>
    </row>
    <row r="61" spans="1:3">
      <c r="A61" s="98" t="s">
        <v>158</v>
      </c>
      <c r="B61" s="96" t="s">
        <v>139</v>
      </c>
      <c r="C61" s="115">
        <v>124</v>
      </c>
    </row>
    <row r="62" spans="1:3" ht="27.6">
      <c r="A62" s="86"/>
      <c r="B62" s="279" t="s">
        <v>398</v>
      </c>
      <c r="C62" s="86" t="s">
        <v>397</v>
      </c>
    </row>
    <row r="63" spans="1:3" ht="15" thickBot="1">
      <c r="A63" s="80" t="s">
        <v>150</v>
      </c>
      <c r="B63" s="80">
        <v>0</v>
      </c>
      <c r="C63" s="112">
        <f t="shared" ref="C63" si="11">$B$63*C61/1000*3.664</f>
        <v>0</v>
      </c>
    </row>
    <row r="64" spans="1:3" ht="28.2" thickTop="1" thickBot="1">
      <c r="A64" s="288"/>
      <c r="B64" s="289" t="s">
        <v>400</v>
      </c>
      <c r="C64" s="289" t="s">
        <v>399</v>
      </c>
    </row>
    <row r="65" spans="1:3" ht="15" thickTop="1">
      <c r="A65" s="80" t="s">
        <v>152</v>
      </c>
      <c r="B65" s="80">
        <v>0.22197070607094055</v>
      </c>
      <c r="C65" s="116">
        <f t="shared" ref="C65" si="12">$B$65*C61/10^6</f>
        <v>2.7524367552796629E-5</v>
      </c>
    </row>
    <row r="66" spans="1:3">
      <c r="A66" s="80" t="s">
        <v>154</v>
      </c>
      <c r="B66" s="80">
        <v>0.11514011079368489</v>
      </c>
      <c r="C66" s="116">
        <f t="shared" ref="C66" si="13">$B$66*C61/10^6</f>
        <v>1.4277373738416926E-5</v>
      </c>
    </row>
    <row r="67" spans="1:3" ht="15.6">
      <c r="A67" s="83" t="s">
        <v>143</v>
      </c>
      <c r="B67" s="83"/>
      <c r="C67" s="112">
        <f t="shared" ref="C67" si="14">C63+C65*25+C66*298</f>
        <v>4.9427665628681595E-3</v>
      </c>
    </row>
    <row r="69" spans="1:3">
      <c r="A69" s="99" t="s">
        <v>159</v>
      </c>
      <c r="B69" s="100" t="s">
        <v>160</v>
      </c>
      <c r="C69" s="115">
        <v>121169.5</v>
      </c>
    </row>
    <row r="70" spans="1:3">
      <c r="A70" s="99"/>
      <c r="B70" s="100" t="s">
        <v>139</v>
      </c>
      <c r="C70" s="115">
        <v>1198.3663549999999</v>
      </c>
    </row>
    <row r="71" spans="1:3" ht="27.6">
      <c r="A71" s="86"/>
      <c r="B71" s="279" t="s">
        <v>398</v>
      </c>
      <c r="C71" s="86" t="s">
        <v>397</v>
      </c>
    </row>
    <row r="72" spans="1:3" ht="15" thickBot="1">
      <c r="A72" s="101" t="s">
        <v>150</v>
      </c>
      <c r="B72" s="102">
        <v>0.59199999999999997</v>
      </c>
      <c r="C72" s="120">
        <f>C69*$B$72/1000</f>
        <v>71.732343999999998</v>
      </c>
    </row>
    <row r="73" spans="1:3" ht="28.2" thickTop="1" thickBot="1">
      <c r="A73" s="288"/>
      <c r="B73" s="289" t="s">
        <v>400</v>
      </c>
      <c r="C73" s="289" t="s">
        <v>399</v>
      </c>
    </row>
    <row r="74" spans="1:3" ht="15" thickTop="1">
      <c r="A74" s="101" t="s">
        <v>152</v>
      </c>
      <c r="B74" s="103">
        <v>3.89554312676841E-3</v>
      </c>
      <c r="C74" s="118">
        <f>C70*$B$74/1000000</f>
        <v>4.6682878175707613E-6</v>
      </c>
    </row>
    <row r="75" spans="1:3">
      <c r="A75" s="104" t="s">
        <v>154</v>
      </c>
      <c r="B75" s="103">
        <v>0.17531769643961001</v>
      </c>
      <c r="C75" s="118">
        <f t="shared" ref="C75" si="15">C70*$B$75/1000000</f>
        <v>2.1009482884933191E-4</v>
      </c>
    </row>
    <row r="76" spans="1:3" ht="15.6">
      <c r="A76" s="83" t="s">
        <v>143</v>
      </c>
      <c r="B76" s="83"/>
      <c r="C76" s="112">
        <f t="shared" ref="C76" si="16">C72+C74*25+C75*298</f>
        <v>71.795068966192545</v>
      </c>
    </row>
    <row r="78" spans="1:3">
      <c r="A78" s="99" t="s">
        <v>161</v>
      </c>
      <c r="B78" s="105" t="s">
        <v>139</v>
      </c>
      <c r="C78" s="115">
        <v>12883.823145480665</v>
      </c>
    </row>
    <row r="79" spans="1:3" ht="27.6">
      <c r="A79" s="86"/>
      <c r="B79" s="279" t="s">
        <v>398</v>
      </c>
      <c r="C79" s="86" t="s">
        <v>397</v>
      </c>
    </row>
    <row r="80" spans="1:3" ht="15" thickBot="1">
      <c r="A80" s="101" t="s">
        <v>150</v>
      </c>
      <c r="B80" s="101"/>
      <c r="C80" s="112">
        <v>1131.3529827768866</v>
      </c>
    </row>
    <row r="81" spans="1:11" ht="28.2" thickTop="1" thickBot="1">
      <c r="A81" s="288"/>
      <c r="B81" s="289" t="s">
        <v>400</v>
      </c>
      <c r="C81" s="289" t="s">
        <v>399</v>
      </c>
    </row>
    <row r="82" spans="1:11" ht="15" thickTop="1">
      <c r="A82" s="101" t="s">
        <v>141</v>
      </c>
      <c r="B82" s="106">
        <v>1</v>
      </c>
      <c r="C82" s="116">
        <f t="shared" ref="C82" si="17">C78*$B$82/1000000</f>
        <v>1.2883823145480665E-2</v>
      </c>
    </row>
    <row r="83" spans="1:11">
      <c r="A83" s="101" t="s">
        <v>142</v>
      </c>
      <c r="B83" s="107">
        <v>0.1</v>
      </c>
      <c r="C83" s="116">
        <f t="shared" ref="C83" si="18">C78*$B$83/1000000</f>
        <v>1.2883823145480664E-3</v>
      </c>
    </row>
    <row r="84" spans="1:11" ht="15.6">
      <c r="A84" s="83" t="s">
        <v>143</v>
      </c>
      <c r="B84" s="83"/>
      <c r="C84" s="112">
        <f>C80+C82*25+C83*298</f>
        <v>1132.0590162852591</v>
      </c>
    </row>
    <row r="85" spans="1:11">
      <c r="A85" s="101"/>
      <c r="B85" s="107"/>
      <c r="C85" s="116"/>
    </row>
    <row r="86" spans="1:11">
      <c r="A86" s="99" t="s">
        <v>162</v>
      </c>
      <c r="B86" s="105" t="s">
        <v>139</v>
      </c>
      <c r="C86" s="115">
        <f>C94*$B$91</f>
        <v>2547.2948666227794</v>
      </c>
      <c r="D86" s="110"/>
    </row>
    <row r="87" spans="1:11">
      <c r="A87" s="99" t="s">
        <v>54</v>
      </c>
      <c r="B87" s="105" t="s">
        <v>139</v>
      </c>
      <c r="C87" s="115">
        <f>C95*$B$91</f>
        <v>441.10871130309579</v>
      </c>
      <c r="D87" s="110"/>
    </row>
    <row r="88" spans="1:11">
      <c r="A88" s="99" t="s">
        <v>163</v>
      </c>
      <c r="B88" s="105" t="s">
        <v>139</v>
      </c>
      <c r="C88" s="115">
        <f>C98*$B$91</f>
        <v>123.55517665827435</v>
      </c>
      <c r="D88" s="110"/>
      <c r="G88" s="161" t="s">
        <v>994</v>
      </c>
    </row>
    <row r="89" spans="1:11" ht="15" thickBot="1">
      <c r="A89" s="110"/>
      <c r="B89" s="110"/>
      <c r="C89" s="110"/>
      <c r="D89" s="110"/>
      <c r="G89" s="580" t="s">
        <v>993</v>
      </c>
    </row>
    <row r="90" spans="1:11" ht="16.2" thickBot="1">
      <c r="A90" s="161" t="s">
        <v>395</v>
      </c>
      <c r="B90" s="258">
        <v>0.27779999999999999</v>
      </c>
      <c r="I90" s="566" t="s">
        <v>984</v>
      </c>
      <c r="J90" s="581" t="s">
        <v>995</v>
      </c>
      <c r="K90" s="567"/>
    </row>
    <row r="91" spans="1:11" ht="20.399999999999999">
      <c r="A91" s="161" t="s">
        <v>396</v>
      </c>
      <c r="B91" s="258">
        <f>1/B90</f>
        <v>3.599712023038157</v>
      </c>
      <c r="G91" s="555"/>
      <c r="H91" s="560">
        <v>2020</v>
      </c>
      <c r="I91" s="568"/>
      <c r="J91" s="569">
        <v>11630</v>
      </c>
      <c r="K91" s="570"/>
    </row>
    <row r="92" spans="1:11" ht="20.399999999999999">
      <c r="G92" s="556" t="s">
        <v>972</v>
      </c>
      <c r="H92" s="561" t="s">
        <v>983</v>
      </c>
      <c r="I92" s="575" t="s">
        <v>165</v>
      </c>
      <c r="J92" s="569"/>
      <c r="K92" s="570"/>
    </row>
    <row r="93" spans="1:11">
      <c r="A93" s="108" t="s">
        <v>164</v>
      </c>
      <c r="G93" s="557" t="s">
        <v>973</v>
      </c>
      <c r="H93" s="562">
        <v>2.9513007803670348</v>
      </c>
      <c r="I93" s="571">
        <f t="shared" ref="I93:I98" si="19">H93*$J$91/1000</f>
        <v>34.323628075668616</v>
      </c>
      <c r="J93" s="569"/>
      <c r="K93" s="570"/>
    </row>
    <row r="94" spans="1:11">
      <c r="A94" s="105" t="s">
        <v>162</v>
      </c>
      <c r="B94" s="109" t="s">
        <v>165</v>
      </c>
      <c r="C94" s="256">
        <f>I94</f>
        <v>707.63851394780818</v>
      </c>
      <c r="D94" s="76"/>
      <c r="E94" s="43"/>
      <c r="G94" s="557" t="s">
        <v>974</v>
      </c>
      <c r="H94" s="562">
        <v>60.845959926724696</v>
      </c>
      <c r="I94" s="571">
        <f t="shared" si="19"/>
        <v>707.63851394780818</v>
      </c>
      <c r="J94" s="569"/>
      <c r="K94" s="570"/>
    </row>
    <row r="95" spans="1:11">
      <c r="A95" s="105" t="s">
        <v>54</v>
      </c>
      <c r="B95" s="109" t="s">
        <v>165</v>
      </c>
      <c r="C95" s="256">
        <f>I95</f>
        <v>122.54</v>
      </c>
      <c r="D95" s="76"/>
      <c r="E95" s="43"/>
      <c r="G95" s="557" t="s">
        <v>975</v>
      </c>
      <c r="H95" s="562">
        <v>10.536543422184007</v>
      </c>
      <c r="I95" s="571">
        <f t="shared" si="19"/>
        <v>122.54</v>
      </c>
      <c r="J95" s="569"/>
      <c r="K95" s="570"/>
    </row>
    <row r="96" spans="1:11">
      <c r="A96" s="105" t="s">
        <v>404</v>
      </c>
      <c r="B96" s="109" t="s">
        <v>165</v>
      </c>
      <c r="C96" s="256">
        <f>I96</f>
        <v>1746.0000000000002</v>
      </c>
      <c r="E96" s="43"/>
      <c r="G96" s="557" t="s">
        <v>976</v>
      </c>
      <c r="H96" s="562">
        <v>150.12897678417886</v>
      </c>
      <c r="I96" s="571">
        <f t="shared" si="19"/>
        <v>1746.0000000000002</v>
      </c>
      <c r="J96" s="569"/>
      <c r="K96" s="570"/>
    </row>
    <row r="97" spans="1:11">
      <c r="A97" s="105" t="s">
        <v>405</v>
      </c>
      <c r="B97" s="109" t="s">
        <v>165</v>
      </c>
      <c r="C97" s="256">
        <f>I97</f>
        <v>105.55700000000002</v>
      </c>
      <c r="D97" s="182"/>
      <c r="E97" s="43"/>
      <c r="G97" s="557" t="s">
        <v>977</v>
      </c>
      <c r="H97" s="562">
        <v>9.0762682717110934</v>
      </c>
      <c r="I97" s="571">
        <f t="shared" si="19"/>
        <v>105.55700000000002</v>
      </c>
      <c r="J97" s="569"/>
      <c r="K97" s="570"/>
    </row>
    <row r="98" spans="1:11">
      <c r="A98" s="105" t="s">
        <v>163</v>
      </c>
      <c r="B98" s="109" t="s">
        <v>165</v>
      </c>
      <c r="C98" s="256">
        <f>I93</f>
        <v>34.323628075668616</v>
      </c>
      <c r="D98" s="76"/>
      <c r="E98" s="43"/>
      <c r="G98" s="558" t="s">
        <v>978</v>
      </c>
      <c r="H98" s="563">
        <v>233.53904918516568</v>
      </c>
      <c r="I98" s="571">
        <f t="shared" si="19"/>
        <v>2716.0591420234769</v>
      </c>
      <c r="J98" s="569"/>
      <c r="K98" s="570"/>
    </row>
    <row r="99" spans="1:11">
      <c r="A99" s="295" t="s">
        <v>406</v>
      </c>
      <c r="G99" s="557" t="s">
        <v>979</v>
      </c>
      <c r="H99" s="564"/>
      <c r="I99" s="571"/>
      <c r="J99" s="569"/>
      <c r="K99" s="570"/>
    </row>
    <row r="100" spans="1:11" ht="20.399999999999999">
      <c r="C100" s="13"/>
      <c r="E100" s="257"/>
      <c r="G100" s="556" t="s">
        <v>980</v>
      </c>
      <c r="H100" s="565"/>
      <c r="I100" s="571"/>
      <c r="J100" s="569"/>
      <c r="K100" s="570"/>
    </row>
    <row r="101" spans="1:11" ht="15.6">
      <c r="E101" s="257"/>
      <c r="G101" s="558" t="s">
        <v>981</v>
      </c>
      <c r="H101" s="563">
        <v>825.43972484952701</v>
      </c>
      <c r="I101" s="571">
        <f>H101*$J$91/1000</f>
        <v>9599.8639999999996</v>
      </c>
      <c r="J101" s="569"/>
      <c r="K101" s="570"/>
    </row>
    <row r="102" spans="1:11" ht="21" thickBot="1">
      <c r="A102" s="105" t="s">
        <v>167</v>
      </c>
      <c r="B102" s="109" t="s">
        <v>139</v>
      </c>
      <c r="C102" s="115">
        <f>C7+C15+C23+C33+C45+C53+C61+C70+C78+C86+C87+C88</f>
        <v>51170.168847873414</v>
      </c>
      <c r="E102" s="257"/>
      <c r="G102" s="559" t="s">
        <v>982</v>
      </c>
      <c r="H102" s="576">
        <v>0.28292683542428071</v>
      </c>
      <c r="I102" s="572"/>
      <c r="J102" s="573"/>
      <c r="K102" s="574"/>
    </row>
    <row r="103" spans="1:11">
      <c r="A103" s="105" t="s">
        <v>168</v>
      </c>
      <c r="B103" s="109" t="s">
        <v>169</v>
      </c>
      <c r="C103" s="122">
        <f>C9+C17+C25+C47+C55+C63+C72+C80</f>
        <v>3494.3973221480173</v>
      </c>
      <c r="K103" s="183"/>
    </row>
    <row r="104" spans="1:11">
      <c r="A104" s="105" t="s">
        <v>170</v>
      </c>
      <c r="B104" s="109" t="s">
        <v>169</v>
      </c>
      <c r="C104" s="112">
        <f>C11+C19+C27+C49+C57+C65+C74+C82+C40</f>
        <v>0.18190988547090417</v>
      </c>
    </row>
    <row r="105" spans="1:11">
      <c r="A105" s="105" t="s">
        <v>171</v>
      </c>
      <c r="B105" s="109" t="s">
        <v>169</v>
      </c>
      <c r="C105" s="112">
        <f>C12+C20+C28+C50+C58+C66+C75+C83+C42</f>
        <v>3.9629311655846995E-2</v>
      </c>
    </row>
    <row r="107" spans="1:11">
      <c r="A107" s="105" t="s">
        <v>172</v>
      </c>
      <c r="B107" s="109" t="s">
        <v>169</v>
      </c>
      <c r="C107" s="122">
        <f>C103+C104*25+C105*298</f>
        <v>3510.7546041582323</v>
      </c>
    </row>
    <row r="109" spans="1:11">
      <c r="A109" s="719" t="s">
        <v>138</v>
      </c>
      <c r="B109" s="721"/>
      <c r="C109" s="122">
        <f>C13+C21+C29+C43+C51+C59+C67+C76+C84</f>
        <v>3510.7546041582332</v>
      </c>
    </row>
    <row r="110" spans="1:11">
      <c r="A110" s="720"/>
      <c r="B110" s="722"/>
      <c r="C110" s="122">
        <f t="shared" ref="C110" si="20">C109-C107</f>
        <v>0</v>
      </c>
    </row>
    <row r="112" spans="1:11">
      <c r="A112" s="105" t="s">
        <v>173</v>
      </c>
      <c r="B112" s="109" t="s">
        <v>174</v>
      </c>
      <c r="C112" s="123">
        <f>C103/C102</f>
        <v>6.8289736008819935E-2</v>
      </c>
    </row>
    <row r="113" spans="1:13">
      <c r="A113" s="105" t="s">
        <v>173</v>
      </c>
      <c r="B113" s="109" t="s">
        <v>175</v>
      </c>
      <c r="C113" s="123">
        <f>C107/C102</f>
        <v>6.8609400422256689E-2</v>
      </c>
    </row>
    <row r="115" spans="1:13">
      <c r="A115" s="105" t="s">
        <v>173</v>
      </c>
      <c r="B115" s="109" t="s">
        <v>176</v>
      </c>
      <c r="C115" s="12">
        <f>C112*1000</f>
        <v>68.289736008819929</v>
      </c>
      <c r="K115" s="184"/>
    </row>
    <row r="116" spans="1:13">
      <c r="A116" s="105" t="s">
        <v>173</v>
      </c>
      <c r="B116" s="109" t="s">
        <v>177</v>
      </c>
      <c r="C116" s="12">
        <f>C113*1000</f>
        <v>68.609400422256684</v>
      </c>
      <c r="K116" s="184"/>
    </row>
    <row r="118" spans="1:13">
      <c r="A118" s="105" t="s">
        <v>178</v>
      </c>
      <c r="B118" s="109" t="s">
        <v>165</v>
      </c>
      <c r="C118" s="254">
        <v>5956.5</v>
      </c>
      <c r="E118" s="43" t="s">
        <v>394</v>
      </c>
    </row>
    <row r="119" spans="1:13">
      <c r="A119" s="105" t="s">
        <v>178</v>
      </c>
      <c r="B119" s="109" t="s">
        <v>139</v>
      </c>
      <c r="C119" s="121">
        <f>C118*$B$91</f>
        <v>21441.684665226781</v>
      </c>
    </row>
    <row r="121" spans="1:13">
      <c r="A121" s="105" t="s">
        <v>173</v>
      </c>
      <c r="B121" s="109" t="s">
        <v>179</v>
      </c>
      <c r="C121" s="124">
        <f>C103/C118</f>
        <v>0.58665278639268315</v>
      </c>
      <c r="E121" s="105" t="s">
        <v>262</v>
      </c>
      <c r="H121" t="s">
        <v>985</v>
      </c>
    </row>
    <row r="122" spans="1:13">
      <c r="A122" s="105" t="s">
        <v>173</v>
      </c>
      <c r="B122" s="109" t="s">
        <v>180</v>
      </c>
      <c r="C122" s="186">
        <f>C107/C118</f>
        <v>0.58939890945324136</v>
      </c>
      <c r="E122" s="187">
        <f>C122/(1-(H122/100))</f>
        <v>0.82203474121790987</v>
      </c>
      <c r="F122" s="161" t="s">
        <v>986</v>
      </c>
      <c r="H122" s="161">
        <v>28.3</v>
      </c>
      <c r="I122" s="43" t="s">
        <v>970</v>
      </c>
      <c r="M122" t="s">
        <v>971</v>
      </c>
    </row>
    <row r="124" spans="1:13">
      <c r="A124" s="105" t="s">
        <v>263</v>
      </c>
      <c r="B124" s="109" t="s">
        <v>27</v>
      </c>
      <c r="C124" s="185">
        <f>C119/C102</f>
        <v>0.4190270454055357</v>
      </c>
    </row>
    <row r="127" spans="1:13">
      <c r="A127" s="43"/>
    </row>
  </sheetData>
  <sheetProtection algorithmName="SHA-512" hashValue="sWREaTnHEBHRFfVMVXnmqI1RHQBJk2J05SyrTRZtbBODzVhGitmkqOuXbRD2vttfgd0NsXBfGJhBAkOQmtLIVA==" saltValue="oZjCSRi1JG2dKWB0UEwEvg==" spinCount="100000" sheet="1" objects="1" scenarios="1"/>
  <mergeCells count="2">
    <mergeCell ref="A109:A110"/>
    <mergeCell ref="B109:B110"/>
  </mergeCells>
  <phoneticPr fontId="25" type="noConversion"/>
  <conditionalFormatting sqref="C110">
    <cfRule type="cellIs" dxfId="1" priority="1" operator="lessThan">
      <formula>0</formula>
    </cfRule>
    <cfRule type="cellIs" dxfId="0" priority="2" operator="greaterThan">
      <formula>0</formula>
    </cfRule>
  </conditionalFormatting>
  <hyperlinks>
    <hyperlink ref="E118" r:id="rId1" display="https://eu-central-1.protection.sophos.com/?d=stat.ee&amp;u=aHR0cHM6Ly9hbmRtZWQuc3RhdC5lZS9ldC9zdGF0L21hamFuZHVzX19lbmVyZ2VldGlrYV9fZW5lcmdpYS10YXJiaW1pbmUtamEtdG9vdG1pbmVfX2Fhc3Rhc3RhdGlzdGlrYS9LRTAzMw==&amp;i=NWViMDVkYzYyODNiMmExNjY4NjE2Zjgx&amp;t=NVlmaVhWUXgxRWdGeWVXSWo3NVMzSlFkREJlYWZxUGNHTk9LcVFpVTRmYz0=&amp;h=5eb2c95a18f84ee5b7cd65dbca0984ed" xr:uid="{B494AB36-7DB4-41DD-829F-3491E3934EFF}"/>
    <hyperlink ref="H4" r:id="rId2" xr:uid="{5D6FBAD5-5E54-413B-BC7F-29F7C71790F0}"/>
    <hyperlink ref="I122" r:id="rId3" xr:uid="{490BCF19-6C4B-4C94-AE5B-ED854D25277C}"/>
    <hyperlink ref="H5" r:id="rId4" display="https://eu-central-1.protection.sophos.com/?d=stat.ee&amp;u=aHR0cHM6Ly9hbmRtZWQuc3RhdC5lZS9ldC9zdGF0L21hamFuZHVzX19lbmVyZ2VldGlrYV9fZW5lcmdpYS10YXJiaW1pbmUtamEtdG9vdG1pbmVfX2Fhc3Rhc3RhdGlzdGlrYS9LRTAzMw==&amp;i=NWViMDVkYzYyODNiMmExNjY4NjE2Zjgx&amp;t=NVlmaVhWUXgxRWdGeWVXSWo3NVMzSlFkREJlYWZxUGNHTk9LcVFpVTRmYz0=&amp;h=5eb2c95a18f84ee5b7cd65dbca0984ed" xr:uid="{EDE2E4C7-451A-467B-AE9E-AF4CA6199A56}"/>
  </hyperlinks>
  <pageMargins left="0.7" right="0.7" top="0.75" bottom="0.75" header="0.3" footer="0.3"/>
  <pageSetup orientation="portrait" r:id="rId5"/>
  <legacyDrawing r:id="rId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FF4E0-352E-4448-8B47-D3023AD526DF}">
  <sheetPr>
    <tabColor rgb="FF92D050"/>
  </sheetPr>
  <dimension ref="A1:M97"/>
  <sheetViews>
    <sheetView zoomScale="55" zoomScaleNormal="55" workbookViewId="0">
      <pane ySplit="10" topLeftCell="A11" activePane="bottomLeft" state="frozen"/>
      <selection pane="bottomLeft" activeCell="G26" sqref="G26"/>
    </sheetView>
  </sheetViews>
  <sheetFormatPr defaultColWidth="9.21875" defaultRowHeight="12"/>
  <cols>
    <col min="1" max="1" width="47.77734375" style="192" customWidth="1"/>
    <col min="2" max="2" width="23.5546875" style="192" customWidth="1"/>
    <col min="3" max="3" width="13.44140625" style="192" bestFit="1" customWidth="1"/>
    <col min="4" max="4" width="15.21875" style="192" customWidth="1"/>
    <col min="5" max="5" width="13.77734375" style="192" customWidth="1"/>
    <col min="6" max="6" width="14" style="192" customWidth="1"/>
    <col min="7" max="9" width="15.21875" style="192" customWidth="1"/>
    <col min="10" max="10" width="1.21875" style="192" customWidth="1"/>
    <col min="11" max="16384" width="9.21875" style="192"/>
  </cols>
  <sheetData>
    <row r="1" spans="1:12" ht="15" thickBot="1">
      <c r="A1" t="s">
        <v>258</v>
      </c>
      <c r="B1" s="32" t="s">
        <v>678</v>
      </c>
      <c r="C1" t="s">
        <v>694</v>
      </c>
    </row>
    <row r="2" spans="1:12" ht="15.75" customHeight="1">
      <c r="A2" s="729" t="s">
        <v>203</v>
      </c>
      <c r="B2" s="729"/>
      <c r="C2" s="190"/>
      <c r="D2" s="190"/>
      <c r="E2" s="190"/>
      <c r="F2" s="190"/>
      <c r="G2" s="190"/>
      <c r="H2" s="190"/>
      <c r="I2" s="191" t="s">
        <v>695</v>
      </c>
      <c r="J2" s="178"/>
      <c r="L2" s="125"/>
    </row>
    <row r="3" spans="1:12" ht="15.75" customHeight="1">
      <c r="A3" s="193" t="s">
        <v>204</v>
      </c>
      <c r="B3" s="194"/>
      <c r="C3" s="178"/>
      <c r="D3" s="178"/>
      <c r="E3" s="178"/>
      <c r="F3" s="178"/>
      <c r="G3" s="178"/>
      <c r="H3" s="178"/>
      <c r="I3" s="195" t="s">
        <v>696</v>
      </c>
      <c r="J3" s="178"/>
      <c r="L3" s="125"/>
    </row>
    <row r="4" spans="1:12" ht="15.75" customHeight="1">
      <c r="A4" s="193" t="s">
        <v>205</v>
      </c>
      <c r="B4" s="194"/>
      <c r="C4" s="178"/>
      <c r="D4" s="178"/>
      <c r="E4" s="178"/>
      <c r="F4" s="178"/>
      <c r="G4" s="178"/>
      <c r="H4" s="195"/>
      <c r="I4" s="195" t="s">
        <v>206</v>
      </c>
      <c r="J4" s="178"/>
      <c r="L4" s="125"/>
    </row>
    <row r="5" spans="1:12" ht="12.75" customHeight="1">
      <c r="A5" s="178"/>
      <c r="B5" s="178"/>
      <c r="C5" s="178"/>
      <c r="D5" s="178"/>
      <c r="E5" s="178"/>
      <c r="F5" s="178"/>
      <c r="G5" s="178"/>
      <c r="H5" s="178"/>
      <c r="I5" s="178"/>
      <c r="J5" s="178"/>
    </row>
    <row r="6" spans="1:12" ht="14.25" customHeight="1">
      <c r="A6" s="444" t="s">
        <v>207</v>
      </c>
      <c r="B6" s="730" t="s">
        <v>208</v>
      </c>
      <c r="C6" s="731"/>
      <c r="D6" s="730" t="s">
        <v>209</v>
      </c>
      <c r="E6" s="732"/>
      <c r="F6" s="733"/>
      <c r="G6" s="730" t="s">
        <v>210</v>
      </c>
      <c r="H6" s="734"/>
      <c r="I6" s="731"/>
      <c r="J6" s="196"/>
    </row>
    <row r="7" spans="1:12" ht="13.5" customHeight="1">
      <c r="A7" s="197"/>
      <c r="B7" s="735" t="s">
        <v>211</v>
      </c>
      <c r="C7" s="736"/>
      <c r="D7" s="739" t="s">
        <v>212</v>
      </c>
      <c r="E7" s="735" t="s">
        <v>213</v>
      </c>
      <c r="F7" s="736" t="s">
        <v>214</v>
      </c>
      <c r="G7" s="739" t="s">
        <v>215</v>
      </c>
      <c r="H7" s="739" t="s">
        <v>213</v>
      </c>
      <c r="I7" s="739" t="s">
        <v>214</v>
      </c>
      <c r="J7" s="178"/>
    </row>
    <row r="8" spans="1:12" ht="13.5" customHeight="1">
      <c r="A8" s="197"/>
      <c r="B8" s="737"/>
      <c r="C8" s="738"/>
      <c r="D8" s="740"/>
      <c r="E8" s="737"/>
      <c r="F8" s="738"/>
      <c r="G8" s="741"/>
      <c r="H8" s="740"/>
      <c r="I8" s="740"/>
      <c r="J8" s="178"/>
    </row>
    <row r="9" spans="1:12" ht="15" customHeight="1" thickBot="1">
      <c r="A9" s="198"/>
      <c r="B9" s="439" t="s">
        <v>216</v>
      </c>
      <c r="C9" s="177" t="s">
        <v>217</v>
      </c>
      <c r="D9" s="177" t="s">
        <v>218</v>
      </c>
      <c r="E9" s="724" t="s">
        <v>219</v>
      </c>
      <c r="F9" s="725"/>
      <c r="G9" s="724" t="s">
        <v>220</v>
      </c>
      <c r="H9" s="726"/>
      <c r="I9" s="727"/>
      <c r="J9" s="178"/>
    </row>
    <row r="10" spans="1:12" ht="12.75" customHeight="1" thickTop="1">
      <c r="A10" s="445" t="s">
        <v>221</v>
      </c>
      <c r="B10" s="446">
        <v>32460.344699674009</v>
      </c>
      <c r="C10" s="446" t="s">
        <v>222</v>
      </c>
      <c r="D10" s="447" t="s">
        <v>223</v>
      </c>
      <c r="E10" s="447" t="s">
        <v>223</v>
      </c>
      <c r="F10" s="447" t="s">
        <v>223</v>
      </c>
      <c r="G10" s="446">
        <v>2205.1322836000672</v>
      </c>
      <c r="H10" s="446">
        <v>0.12112575430679</v>
      </c>
      <c r="I10" s="446">
        <v>8.1807314960870001E-2</v>
      </c>
      <c r="J10" s="178"/>
    </row>
    <row r="11" spans="1:12" ht="12" customHeight="1">
      <c r="A11" s="448" t="s">
        <v>224</v>
      </c>
      <c r="B11" s="446">
        <v>30180.208379599993</v>
      </c>
      <c r="C11" s="446" t="s">
        <v>222</v>
      </c>
      <c r="D11" s="446">
        <v>72.207631866127727</v>
      </c>
      <c r="E11" s="446">
        <v>3.7715081409765498</v>
      </c>
      <c r="F11" s="446">
        <v>2.7091257598335901</v>
      </c>
      <c r="G11" s="446">
        <v>2179.2413763171799</v>
      </c>
      <c r="H11" s="446">
        <v>0.11382490160003</v>
      </c>
      <c r="I11" s="446">
        <v>8.1761979958320005E-2</v>
      </c>
      <c r="J11" s="178"/>
    </row>
    <row r="12" spans="1:12" ht="12" customHeight="1">
      <c r="A12" s="448" t="s">
        <v>225</v>
      </c>
      <c r="B12" s="446" t="s">
        <v>226</v>
      </c>
      <c r="C12" s="446" t="s">
        <v>222</v>
      </c>
      <c r="D12" s="446" t="s">
        <v>226</v>
      </c>
      <c r="E12" s="446" t="s">
        <v>226</v>
      </c>
      <c r="F12" s="446" t="s">
        <v>226</v>
      </c>
      <c r="G12" s="446" t="s">
        <v>226</v>
      </c>
      <c r="H12" s="446" t="s">
        <v>226</v>
      </c>
      <c r="I12" s="446" t="s">
        <v>226</v>
      </c>
      <c r="J12" s="178"/>
    </row>
    <row r="13" spans="1:12" ht="12" customHeight="1">
      <c r="A13" s="448" t="s">
        <v>227</v>
      </c>
      <c r="B13" s="446">
        <v>364.47225483485215</v>
      </c>
      <c r="C13" s="446" t="s">
        <v>222</v>
      </c>
      <c r="D13" s="446">
        <v>55.256666666666682</v>
      </c>
      <c r="E13" s="446">
        <v>9.9410420480202006</v>
      </c>
      <c r="F13" s="446">
        <v>0.12438533235004</v>
      </c>
      <c r="G13" s="446">
        <v>20.139521894657818</v>
      </c>
      <c r="H13" s="446">
        <v>3.6232340106499999E-3</v>
      </c>
      <c r="I13" s="446">
        <v>4.5335002549999998E-5</v>
      </c>
      <c r="J13" s="178"/>
    </row>
    <row r="14" spans="1:12" ht="12" customHeight="1">
      <c r="A14" s="448" t="s">
        <v>228</v>
      </c>
      <c r="B14" s="446" t="s">
        <v>229</v>
      </c>
      <c r="C14" s="446" t="s">
        <v>222</v>
      </c>
      <c r="D14" s="446" t="s">
        <v>229</v>
      </c>
      <c r="E14" s="446" t="s">
        <v>229</v>
      </c>
      <c r="F14" s="446" t="s">
        <v>229</v>
      </c>
      <c r="G14" s="446">
        <v>5.7513853882296697</v>
      </c>
      <c r="H14" s="446" t="s">
        <v>229</v>
      </c>
      <c r="I14" s="446" t="s">
        <v>229</v>
      </c>
      <c r="J14" s="178"/>
    </row>
    <row r="15" spans="1:12" ht="13.5" customHeight="1">
      <c r="A15" s="448" t="s">
        <v>230</v>
      </c>
      <c r="B15" s="446">
        <v>1915.6640652391627</v>
      </c>
      <c r="C15" s="446" t="s">
        <v>222</v>
      </c>
      <c r="D15" s="446">
        <v>64.337288200055696</v>
      </c>
      <c r="E15" s="446">
        <v>1.9197618010602799</v>
      </c>
      <c r="F15" s="446" t="s">
        <v>226</v>
      </c>
      <c r="G15" s="446">
        <v>123.24863105978231</v>
      </c>
      <c r="H15" s="446">
        <v>3.6776186961100001E-3</v>
      </c>
      <c r="I15" s="446" t="s">
        <v>226</v>
      </c>
      <c r="J15" s="178"/>
    </row>
    <row r="16" spans="1:12" ht="12" customHeight="1">
      <c r="A16" s="449" t="s">
        <v>231</v>
      </c>
      <c r="B16" s="446">
        <v>50.263181600000003</v>
      </c>
      <c r="C16" s="446" t="s">
        <v>222</v>
      </c>
      <c r="D16" s="447" t="s">
        <v>223</v>
      </c>
      <c r="E16" s="447" t="s">
        <v>223</v>
      </c>
      <c r="F16" s="447" t="s">
        <v>223</v>
      </c>
      <c r="G16" s="446">
        <v>3.5632004945000002</v>
      </c>
      <c r="H16" s="446">
        <v>6.4181488250000002E-5</v>
      </c>
      <c r="I16" s="446">
        <v>1.005263632E-4</v>
      </c>
      <c r="J16" s="178"/>
    </row>
    <row r="17" spans="1:13" ht="12" customHeight="1">
      <c r="A17" s="448" t="s">
        <v>232</v>
      </c>
      <c r="B17" s="450">
        <v>50.263181600000003</v>
      </c>
      <c r="C17" s="446" t="s">
        <v>222</v>
      </c>
      <c r="D17" s="446">
        <v>70.890866456810215</v>
      </c>
      <c r="E17" s="446">
        <v>1.27690858809463</v>
      </c>
      <c r="F17" s="446">
        <v>2</v>
      </c>
      <c r="G17" s="450">
        <v>3.5632004945000002</v>
      </c>
      <c r="H17" s="450">
        <v>6.4181488250000002E-5</v>
      </c>
      <c r="I17" s="450">
        <v>1.005263632E-4</v>
      </c>
      <c r="J17" s="178"/>
    </row>
    <row r="18" spans="1:13" ht="12" customHeight="1">
      <c r="A18" s="448" t="s">
        <v>233</v>
      </c>
      <c r="B18" s="450" t="s">
        <v>226</v>
      </c>
      <c r="C18" s="446" t="s">
        <v>222</v>
      </c>
      <c r="D18" s="446" t="s">
        <v>226</v>
      </c>
      <c r="E18" s="446" t="s">
        <v>226</v>
      </c>
      <c r="F18" s="446" t="s">
        <v>226</v>
      </c>
      <c r="G18" s="450" t="s">
        <v>226</v>
      </c>
      <c r="H18" s="450" t="s">
        <v>226</v>
      </c>
      <c r="I18" s="450" t="s">
        <v>226</v>
      </c>
      <c r="J18" s="178"/>
    </row>
    <row r="19" spans="1:13" ht="12" customHeight="1">
      <c r="A19" s="448" t="s">
        <v>166</v>
      </c>
      <c r="B19" s="450" t="s">
        <v>226</v>
      </c>
      <c r="C19" s="446" t="s">
        <v>222</v>
      </c>
      <c r="D19" s="446" t="s">
        <v>226</v>
      </c>
      <c r="E19" s="446" t="s">
        <v>226</v>
      </c>
      <c r="F19" s="446" t="s">
        <v>226</v>
      </c>
      <c r="G19" s="450" t="s">
        <v>226</v>
      </c>
      <c r="H19" s="450" t="s">
        <v>226</v>
      </c>
      <c r="I19" s="450" t="s">
        <v>226</v>
      </c>
      <c r="J19" s="178"/>
    </row>
    <row r="20" spans="1:13" ht="12" customHeight="1">
      <c r="A20" s="451" t="s">
        <v>234</v>
      </c>
      <c r="B20" s="446">
        <v>31713.823518074008</v>
      </c>
      <c r="C20" s="446" t="s">
        <v>222</v>
      </c>
      <c r="D20" s="447" t="s">
        <v>223</v>
      </c>
      <c r="E20" s="447" t="s">
        <v>223</v>
      </c>
      <c r="F20" s="447" t="s">
        <v>223</v>
      </c>
      <c r="G20" s="446">
        <v>2150.6622928496085</v>
      </c>
      <c r="H20" s="446">
        <v>0.11739934456854</v>
      </c>
      <c r="I20" s="446">
        <v>6.9006213597669994E-2</v>
      </c>
      <c r="J20" s="178"/>
    </row>
    <row r="21" spans="1:13" ht="12" customHeight="1">
      <c r="A21" s="448" t="s">
        <v>157</v>
      </c>
      <c r="B21" s="446">
        <v>8840.2051979999978</v>
      </c>
      <c r="C21" s="446" t="s">
        <v>222</v>
      </c>
      <c r="D21" s="446">
        <v>70.478621669348513</v>
      </c>
      <c r="E21" s="446">
        <v>9.6811991232479997</v>
      </c>
      <c r="F21" s="446">
        <v>0.93700277580366997</v>
      </c>
      <c r="G21" s="446">
        <v>623.04547762925006</v>
      </c>
      <c r="H21" s="446">
        <v>8.5583786812210003E-2</v>
      </c>
      <c r="I21" s="446">
        <v>8.2832968091999994E-3</v>
      </c>
      <c r="J21" s="178"/>
      <c r="K21" s="500">
        <f>D21*B21/1000</f>
        <v>623.04547762925006</v>
      </c>
    </row>
    <row r="22" spans="1:13" ht="12" customHeight="1">
      <c r="A22" s="448" t="s">
        <v>235</v>
      </c>
      <c r="B22" s="446">
        <v>20170.331999999995</v>
      </c>
      <c r="C22" s="446" t="s">
        <v>222</v>
      </c>
      <c r="D22" s="446">
        <v>73.114837109172726</v>
      </c>
      <c r="E22" s="446">
        <v>0.99443924543680995</v>
      </c>
      <c r="F22" s="446">
        <v>2.98074933488056</v>
      </c>
      <c r="G22" s="446">
        <v>1474.7505386179339</v>
      </c>
      <c r="H22" s="446">
        <v>2.0058169734290001E-2</v>
      </c>
      <c r="I22" s="446">
        <v>6.0122703693319998E-2</v>
      </c>
      <c r="J22" s="178"/>
      <c r="K22" s="500">
        <f t="shared" ref="K22:K26" si="0">D22*B22/1000</f>
        <v>1474.7505386179337</v>
      </c>
    </row>
    <row r="23" spans="1:13" ht="12.75" customHeight="1">
      <c r="A23" s="448" t="s">
        <v>236</v>
      </c>
      <c r="B23" s="446">
        <v>423.15000000000003</v>
      </c>
      <c r="C23" s="446" t="s">
        <v>222</v>
      </c>
      <c r="D23" s="446">
        <v>63.748952663446218</v>
      </c>
      <c r="E23" s="446">
        <v>10.53180979624247</v>
      </c>
      <c r="F23" s="446">
        <v>1.3113035391705099</v>
      </c>
      <c r="G23" s="446">
        <v>26.975369319537268</v>
      </c>
      <c r="H23" s="446">
        <v>4.4565353152800002E-3</v>
      </c>
      <c r="I23" s="446">
        <v>5.5487809260000001E-4</v>
      </c>
      <c r="J23" s="178"/>
      <c r="K23" s="500">
        <f t="shared" si="0"/>
        <v>26.975369319537268</v>
      </c>
    </row>
    <row r="24" spans="1:13" ht="12.75" customHeight="1">
      <c r="A24" s="448" t="s">
        <v>237</v>
      </c>
      <c r="B24" s="446" t="s">
        <v>226</v>
      </c>
      <c r="C24" s="446" t="s">
        <v>222</v>
      </c>
      <c r="D24" s="447" t="s">
        <v>223</v>
      </c>
      <c r="E24" s="447" t="s">
        <v>223</v>
      </c>
      <c r="F24" s="447" t="s">
        <v>223</v>
      </c>
      <c r="G24" s="446" t="s">
        <v>226</v>
      </c>
      <c r="H24" s="446" t="s">
        <v>226</v>
      </c>
      <c r="I24" s="446" t="s">
        <v>226</v>
      </c>
      <c r="J24" s="178"/>
      <c r="K24" s="500"/>
    </row>
    <row r="25" spans="1:13" ht="12" customHeight="1">
      <c r="A25" s="448" t="s">
        <v>227</v>
      </c>
      <c r="B25" s="446">
        <v>364.47225483485215</v>
      </c>
      <c r="C25" s="446" t="s">
        <v>222</v>
      </c>
      <c r="D25" s="446">
        <v>55.256666666666682</v>
      </c>
      <c r="E25" s="446">
        <v>9.9410420480202006</v>
      </c>
      <c r="F25" s="446">
        <v>0.12438533235004</v>
      </c>
      <c r="G25" s="446">
        <v>20.139521894657818</v>
      </c>
      <c r="H25" s="446">
        <v>3.6232340106499999E-3</v>
      </c>
      <c r="I25" s="446">
        <v>4.5335002549999998E-5</v>
      </c>
      <c r="J25" s="178"/>
      <c r="K25" s="500">
        <f t="shared" si="0"/>
        <v>20.139521894657822</v>
      </c>
    </row>
    <row r="26" spans="1:13" ht="12.75" customHeight="1">
      <c r="A26" s="448" t="s">
        <v>230</v>
      </c>
      <c r="B26" s="446">
        <v>1915.6640652391627</v>
      </c>
      <c r="C26" s="446" t="s">
        <v>222</v>
      </c>
      <c r="D26" s="446">
        <v>64.337288200055696</v>
      </c>
      <c r="E26" s="446">
        <v>1.9197618010602799</v>
      </c>
      <c r="F26" s="446" t="s">
        <v>226</v>
      </c>
      <c r="G26" s="446">
        <v>123.24863105978231</v>
      </c>
      <c r="H26" s="446">
        <v>3.6776186961100001E-3</v>
      </c>
      <c r="I26" s="446" t="s">
        <v>226</v>
      </c>
      <c r="J26" s="178"/>
      <c r="K26" s="500">
        <f t="shared" si="0"/>
        <v>123.2486310597823</v>
      </c>
    </row>
    <row r="27" spans="1:13" ht="12" customHeight="1">
      <c r="A27" s="448" t="s">
        <v>238</v>
      </c>
      <c r="B27" s="446" t="s">
        <v>229</v>
      </c>
      <c r="C27" s="446" t="s">
        <v>222</v>
      </c>
      <c r="D27" s="447" t="s">
        <v>223</v>
      </c>
      <c r="E27" s="447" t="s">
        <v>223</v>
      </c>
      <c r="F27" s="447" t="s">
        <v>223</v>
      </c>
      <c r="G27" s="446">
        <v>5.7513853882296697</v>
      </c>
      <c r="H27" s="446" t="s">
        <v>229</v>
      </c>
      <c r="I27" s="446" t="s">
        <v>229</v>
      </c>
      <c r="J27" s="178"/>
    </row>
    <row r="28" spans="1:13" ht="12" customHeight="1">
      <c r="A28" s="452" t="s">
        <v>239</v>
      </c>
      <c r="B28" s="446">
        <v>22040.583768380893</v>
      </c>
      <c r="C28" s="446" t="s">
        <v>222</v>
      </c>
      <c r="D28" s="447" t="s">
        <v>223</v>
      </c>
      <c r="E28" s="447" t="s">
        <v>223</v>
      </c>
      <c r="F28" s="447" t="s">
        <v>223</v>
      </c>
      <c r="G28" s="446">
        <v>1444.439063015338</v>
      </c>
      <c r="H28" s="446">
        <v>9.5100503003680004E-2</v>
      </c>
      <c r="I28" s="446">
        <v>4.1547533684500003E-2</v>
      </c>
      <c r="J28" s="178"/>
      <c r="K28" s="250"/>
    </row>
    <row r="29" spans="1:13" ht="12" customHeight="1">
      <c r="A29" s="448" t="s">
        <v>157</v>
      </c>
      <c r="B29" s="450">
        <v>8447.9311953163578</v>
      </c>
      <c r="C29" s="446" t="s">
        <v>222</v>
      </c>
      <c r="D29" s="446">
        <v>70.478621669348513</v>
      </c>
      <c r="E29" s="446">
        <v>9.3103285400911204</v>
      </c>
      <c r="F29" s="446">
        <v>0.92884390017882001</v>
      </c>
      <c r="G29" s="450">
        <v>595.3985466033887</v>
      </c>
      <c r="H29" s="450">
        <v>7.8653014912480002E-2</v>
      </c>
      <c r="I29" s="450">
        <v>7.8468093599000002E-3</v>
      </c>
      <c r="J29" s="178"/>
      <c r="K29" s="251"/>
      <c r="L29" s="251"/>
      <c r="M29" s="251"/>
    </row>
    <row r="30" spans="1:13" ht="12" customHeight="1">
      <c r="A30" s="448" t="s">
        <v>235</v>
      </c>
      <c r="B30" s="450">
        <v>10889.366252990521</v>
      </c>
      <c r="C30" s="446" t="s">
        <v>222</v>
      </c>
      <c r="D30" s="446">
        <v>73.114837109172726</v>
      </c>
      <c r="E30" s="446">
        <v>0.43070459383915</v>
      </c>
      <c r="F30" s="446">
        <v>3.0397096084778701</v>
      </c>
      <c r="G30" s="450">
        <v>796.17423980952458</v>
      </c>
      <c r="H30" s="450">
        <v>4.6901000691599998E-3</v>
      </c>
      <c r="I30" s="450">
        <v>3.310051122945E-2</v>
      </c>
      <c r="J30" s="178"/>
      <c r="K30" s="250"/>
    </row>
    <row r="31" spans="1:13" ht="12.75" customHeight="1">
      <c r="A31" s="448" t="s">
        <v>236</v>
      </c>
      <c r="B31" s="450">
        <v>423.15000000000003</v>
      </c>
      <c r="C31" s="446" t="s">
        <v>222</v>
      </c>
      <c r="D31" s="446">
        <v>63.748952663446218</v>
      </c>
      <c r="E31" s="446">
        <v>10.53180979624247</v>
      </c>
      <c r="F31" s="446">
        <v>1.3113035391705099</v>
      </c>
      <c r="G31" s="450">
        <v>26.975369319537268</v>
      </c>
      <c r="H31" s="450">
        <v>4.4565353152800002E-3</v>
      </c>
      <c r="I31" s="450">
        <v>5.5487809260000001E-4</v>
      </c>
      <c r="J31" s="178"/>
    </row>
    <row r="32" spans="1:13" ht="12.75" customHeight="1">
      <c r="A32" s="448" t="s">
        <v>237</v>
      </c>
      <c r="B32" s="446" t="s">
        <v>226</v>
      </c>
      <c r="C32" s="446" t="s">
        <v>222</v>
      </c>
      <c r="D32" s="447" t="s">
        <v>223</v>
      </c>
      <c r="E32" s="447" t="s">
        <v>223</v>
      </c>
      <c r="F32" s="447" t="s">
        <v>223</v>
      </c>
      <c r="G32" s="446" t="s">
        <v>226</v>
      </c>
      <c r="H32" s="446" t="s">
        <v>226</v>
      </c>
      <c r="I32" s="446" t="s">
        <v>226</v>
      </c>
      <c r="J32" s="178"/>
    </row>
    <row r="33" spans="1:10" ht="12" customHeight="1">
      <c r="A33" s="448" t="s">
        <v>227</v>
      </c>
      <c r="B33" s="450">
        <v>364.47225483485215</v>
      </c>
      <c r="C33" s="446" t="s">
        <v>222</v>
      </c>
      <c r="D33" s="446">
        <v>55.256666666666682</v>
      </c>
      <c r="E33" s="446">
        <v>9.9410420480202006</v>
      </c>
      <c r="F33" s="446">
        <v>0.12438533235004</v>
      </c>
      <c r="G33" s="450">
        <v>20.139521894657818</v>
      </c>
      <c r="H33" s="450">
        <v>3.6232340106499999E-3</v>
      </c>
      <c r="I33" s="450">
        <v>4.5335002549999998E-5</v>
      </c>
      <c r="J33" s="178"/>
    </row>
    <row r="34" spans="1:10" ht="12.75" customHeight="1">
      <c r="A34" s="448" t="s">
        <v>230</v>
      </c>
      <c r="B34" s="450">
        <v>1915.6640652391627</v>
      </c>
      <c r="C34" s="446" t="s">
        <v>222</v>
      </c>
      <c r="D34" s="446">
        <v>64.337288200055696</v>
      </c>
      <c r="E34" s="446">
        <v>1.9197618010602799</v>
      </c>
      <c r="F34" s="446" t="s">
        <v>226</v>
      </c>
      <c r="G34" s="450">
        <v>123.24863105978231</v>
      </c>
      <c r="H34" s="450">
        <v>3.6776186961100001E-3</v>
      </c>
      <c r="I34" s="450" t="s">
        <v>226</v>
      </c>
      <c r="J34" s="178"/>
    </row>
    <row r="35" spans="1:10" ht="12" customHeight="1">
      <c r="A35" s="448" t="s">
        <v>238</v>
      </c>
      <c r="B35" s="446" t="s">
        <v>240</v>
      </c>
      <c r="C35" s="446" t="s">
        <v>222</v>
      </c>
      <c r="D35" s="447" t="s">
        <v>223</v>
      </c>
      <c r="E35" s="447" t="s">
        <v>223</v>
      </c>
      <c r="F35" s="447" t="s">
        <v>223</v>
      </c>
      <c r="G35" s="446">
        <v>5.7513853882296697</v>
      </c>
      <c r="H35" s="446" t="s">
        <v>240</v>
      </c>
      <c r="I35" s="446" t="s">
        <v>240</v>
      </c>
      <c r="J35" s="178"/>
    </row>
    <row r="36" spans="1:10" ht="12" customHeight="1">
      <c r="A36" s="452" t="s">
        <v>241</v>
      </c>
      <c r="B36" s="446">
        <v>3674.6725364776557</v>
      </c>
      <c r="C36" s="446" t="s">
        <v>222</v>
      </c>
      <c r="D36" s="447" t="s">
        <v>223</v>
      </c>
      <c r="E36" s="447" t="s">
        <v>223</v>
      </c>
      <c r="F36" s="447" t="s">
        <v>223</v>
      </c>
      <c r="G36" s="446">
        <v>267.88267579755063</v>
      </c>
      <c r="H36" s="446">
        <v>2.9010760086699999E-3</v>
      </c>
      <c r="I36" s="446">
        <v>8.4893923239500006E-3</v>
      </c>
      <c r="J36" s="178"/>
    </row>
    <row r="37" spans="1:10" ht="12" customHeight="1">
      <c r="A37" s="448" t="s">
        <v>157</v>
      </c>
      <c r="B37" s="450">
        <v>299.82683684472966</v>
      </c>
      <c r="C37" s="446" t="s">
        <v>222</v>
      </c>
      <c r="D37" s="446">
        <v>70.478621669348499</v>
      </c>
      <c r="E37" s="446">
        <v>6.6502911350547098</v>
      </c>
      <c r="F37" s="446">
        <v>1.1069298737319899</v>
      </c>
      <c r="G37" s="450">
        <v>21.131382200297178</v>
      </c>
      <c r="H37" s="450">
        <v>1.99393575512E-3</v>
      </c>
      <c r="I37" s="450">
        <v>3.3188728264999998E-4</v>
      </c>
      <c r="J37" s="178"/>
    </row>
    <row r="38" spans="1:10" ht="12" customHeight="1">
      <c r="A38" s="448" t="s">
        <v>235</v>
      </c>
      <c r="B38" s="450">
        <v>3374.845699632926</v>
      </c>
      <c r="C38" s="446" t="s">
        <v>222</v>
      </c>
      <c r="D38" s="446">
        <v>73.114837109172726</v>
      </c>
      <c r="E38" s="446">
        <v>0.26879458626765002</v>
      </c>
      <c r="F38" s="446">
        <v>2.41714903949158</v>
      </c>
      <c r="G38" s="450">
        <v>246.75129359725344</v>
      </c>
      <c r="H38" s="450">
        <v>9.0714025354999997E-4</v>
      </c>
      <c r="I38" s="450">
        <v>8.1575050413000005E-3</v>
      </c>
      <c r="J38" s="178"/>
    </row>
    <row r="39" spans="1:10" ht="12.75" customHeight="1">
      <c r="A39" s="448" t="s">
        <v>236</v>
      </c>
      <c r="B39" s="450" t="s">
        <v>226</v>
      </c>
      <c r="C39" s="446" t="s">
        <v>222</v>
      </c>
      <c r="D39" s="446" t="s">
        <v>226</v>
      </c>
      <c r="E39" s="446" t="s">
        <v>226</v>
      </c>
      <c r="F39" s="446" t="s">
        <v>226</v>
      </c>
      <c r="G39" s="450" t="s">
        <v>226</v>
      </c>
      <c r="H39" s="450" t="s">
        <v>226</v>
      </c>
      <c r="I39" s="450" t="s">
        <v>226</v>
      </c>
      <c r="J39" s="178"/>
    </row>
    <row r="40" spans="1:10" ht="12.75" customHeight="1">
      <c r="A40" s="448" t="s">
        <v>237</v>
      </c>
      <c r="B40" s="446" t="s">
        <v>226</v>
      </c>
      <c r="C40" s="446" t="s">
        <v>59</v>
      </c>
      <c r="D40" s="447" t="s">
        <v>223</v>
      </c>
      <c r="E40" s="447" t="s">
        <v>223</v>
      </c>
      <c r="F40" s="447" t="s">
        <v>223</v>
      </c>
      <c r="G40" s="446" t="s">
        <v>226</v>
      </c>
      <c r="H40" s="446" t="s">
        <v>226</v>
      </c>
      <c r="I40" s="446" t="s">
        <v>226</v>
      </c>
      <c r="J40" s="178"/>
    </row>
    <row r="41" spans="1:10" ht="12" customHeight="1">
      <c r="A41" s="448" t="s">
        <v>227</v>
      </c>
      <c r="B41" s="450" t="s">
        <v>226</v>
      </c>
      <c r="C41" s="446" t="s">
        <v>222</v>
      </c>
      <c r="D41" s="446" t="s">
        <v>226</v>
      </c>
      <c r="E41" s="446" t="s">
        <v>226</v>
      </c>
      <c r="F41" s="446" t="s">
        <v>226</v>
      </c>
      <c r="G41" s="450" t="s">
        <v>226</v>
      </c>
      <c r="H41" s="450" t="s">
        <v>226</v>
      </c>
      <c r="I41" s="450" t="s">
        <v>226</v>
      </c>
      <c r="J41" s="178"/>
    </row>
    <row r="42" spans="1:10" ht="12.75" customHeight="1">
      <c r="A42" s="448" t="s">
        <v>230</v>
      </c>
      <c r="B42" s="450" t="s">
        <v>226</v>
      </c>
      <c r="C42" s="446" t="s">
        <v>222</v>
      </c>
      <c r="D42" s="446" t="s">
        <v>226</v>
      </c>
      <c r="E42" s="446" t="s">
        <v>226</v>
      </c>
      <c r="F42" s="446" t="s">
        <v>226</v>
      </c>
      <c r="G42" s="450" t="s">
        <v>226</v>
      </c>
      <c r="H42" s="450" t="s">
        <v>226</v>
      </c>
      <c r="I42" s="450" t="s">
        <v>226</v>
      </c>
      <c r="J42" s="178"/>
    </row>
    <row r="43" spans="1:10" ht="12" customHeight="1">
      <c r="A43" s="448" t="s">
        <v>238</v>
      </c>
      <c r="B43" s="446" t="s">
        <v>226</v>
      </c>
      <c r="C43" s="446" t="s">
        <v>59</v>
      </c>
      <c r="D43" s="447" t="s">
        <v>223</v>
      </c>
      <c r="E43" s="447" t="s">
        <v>223</v>
      </c>
      <c r="F43" s="447" t="s">
        <v>223</v>
      </c>
      <c r="G43" s="446" t="s">
        <v>226</v>
      </c>
      <c r="H43" s="446" t="s">
        <v>226</v>
      </c>
      <c r="I43" s="446" t="s">
        <v>226</v>
      </c>
      <c r="J43" s="178"/>
    </row>
    <row r="44" spans="1:10" ht="12" customHeight="1">
      <c r="A44" s="452" t="s">
        <v>242</v>
      </c>
      <c r="B44" s="446">
        <v>5914.3542254033473</v>
      </c>
      <c r="C44" s="446" t="s">
        <v>222</v>
      </c>
      <c r="D44" s="447" t="s">
        <v>223</v>
      </c>
      <c r="E44" s="447" t="s">
        <v>223</v>
      </c>
      <c r="F44" s="447" t="s">
        <v>223</v>
      </c>
      <c r="G44" s="446">
        <v>432.40533872906479</v>
      </c>
      <c r="H44" s="446">
        <v>1.45999005534E-2</v>
      </c>
      <c r="I44" s="446">
        <v>1.8871963398580001E-2</v>
      </c>
      <c r="J44" s="178"/>
    </row>
    <row r="45" spans="1:10" ht="12" customHeight="1">
      <c r="A45" s="448" t="s">
        <v>157</v>
      </c>
      <c r="B45" s="450">
        <v>8.2341780267989595</v>
      </c>
      <c r="C45" s="446" t="s">
        <v>222</v>
      </c>
      <c r="D45" s="446">
        <v>70.478621669348925</v>
      </c>
      <c r="E45" s="446">
        <v>16.877354529827318</v>
      </c>
      <c r="F45" s="446">
        <v>0.88363112703169999</v>
      </c>
      <c r="G45" s="450">
        <v>0.58033351790883003</v>
      </c>
      <c r="H45" s="450">
        <v>1.3897114181999999E-4</v>
      </c>
      <c r="I45" s="450">
        <v>7.2759760100000003E-6</v>
      </c>
      <c r="J45" s="178"/>
    </row>
    <row r="46" spans="1:10" ht="12" customHeight="1">
      <c r="A46" s="448" t="s">
        <v>235</v>
      </c>
      <c r="B46" s="450">
        <v>5906.1200473765484</v>
      </c>
      <c r="C46" s="446" t="s">
        <v>222</v>
      </c>
      <c r="D46" s="446">
        <v>73.11483710917274</v>
      </c>
      <c r="E46" s="446">
        <v>2.4484652014487001</v>
      </c>
      <c r="F46" s="446">
        <v>3.1940914291014999</v>
      </c>
      <c r="G46" s="450">
        <v>431.82500521115594</v>
      </c>
      <c r="H46" s="450">
        <v>1.446092941158E-2</v>
      </c>
      <c r="I46" s="450">
        <v>1.8864687422570001E-2</v>
      </c>
      <c r="J46" s="178"/>
    </row>
    <row r="47" spans="1:10" ht="12.75" customHeight="1">
      <c r="A47" s="448" t="s">
        <v>236</v>
      </c>
      <c r="B47" s="450" t="s">
        <v>226</v>
      </c>
      <c r="C47" s="446" t="s">
        <v>222</v>
      </c>
      <c r="D47" s="446" t="s">
        <v>226</v>
      </c>
      <c r="E47" s="446" t="s">
        <v>226</v>
      </c>
      <c r="F47" s="446" t="s">
        <v>226</v>
      </c>
      <c r="G47" s="450" t="s">
        <v>226</v>
      </c>
      <c r="H47" s="450" t="s">
        <v>226</v>
      </c>
      <c r="I47" s="450" t="s">
        <v>226</v>
      </c>
      <c r="J47" s="178"/>
    </row>
    <row r="48" spans="1:10" ht="12.75" customHeight="1">
      <c r="A48" s="448" t="s">
        <v>243</v>
      </c>
      <c r="B48" s="446" t="s">
        <v>226</v>
      </c>
      <c r="C48" s="446" t="s">
        <v>59</v>
      </c>
      <c r="D48" s="447" t="s">
        <v>223</v>
      </c>
      <c r="E48" s="447" t="s">
        <v>223</v>
      </c>
      <c r="F48" s="447" t="s">
        <v>223</v>
      </c>
      <c r="G48" s="446" t="s">
        <v>226</v>
      </c>
      <c r="H48" s="446" t="s">
        <v>226</v>
      </c>
      <c r="I48" s="446" t="s">
        <v>226</v>
      </c>
      <c r="J48" s="178"/>
    </row>
    <row r="49" spans="1:10" ht="12" customHeight="1">
      <c r="A49" s="448" t="s">
        <v>227</v>
      </c>
      <c r="B49" s="450" t="s">
        <v>226</v>
      </c>
      <c r="C49" s="446" t="s">
        <v>222</v>
      </c>
      <c r="D49" s="446" t="s">
        <v>226</v>
      </c>
      <c r="E49" s="446" t="s">
        <v>226</v>
      </c>
      <c r="F49" s="446" t="s">
        <v>226</v>
      </c>
      <c r="G49" s="450" t="s">
        <v>226</v>
      </c>
      <c r="H49" s="450" t="s">
        <v>226</v>
      </c>
      <c r="I49" s="450" t="s">
        <v>226</v>
      </c>
      <c r="J49" s="178"/>
    </row>
    <row r="50" spans="1:10" ht="12.75" customHeight="1">
      <c r="A50" s="448" t="s">
        <v>230</v>
      </c>
      <c r="B50" s="450" t="s">
        <v>226</v>
      </c>
      <c r="C50" s="446" t="s">
        <v>222</v>
      </c>
      <c r="D50" s="446" t="s">
        <v>226</v>
      </c>
      <c r="E50" s="446" t="s">
        <v>226</v>
      </c>
      <c r="F50" s="446" t="s">
        <v>226</v>
      </c>
      <c r="G50" s="450" t="s">
        <v>226</v>
      </c>
      <c r="H50" s="450" t="s">
        <v>226</v>
      </c>
      <c r="I50" s="450" t="s">
        <v>226</v>
      </c>
      <c r="J50" s="178"/>
    </row>
    <row r="51" spans="1:10" ht="12" customHeight="1">
      <c r="A51" s="448" t="s">
        <v>238</v>
      </c>
      <c r="B51" s="446" t="s">
        <v>226</v>
      </c>
      <c r="C51" s="446" t="s">
        <v>59</v>
      </c>
      <c r="D51" s="447" t="s">
        <v>223</v>
      </c>
      <c r="E51" s="447" t="s">
        <v>223</v>
      </c>
      <c r="F51" s="447" t="s">
        <v>223</v>
      </c>
      <c r="G51" s="446" t="s">
        <v>226</v>
      </c>
      <c r="H51" s="446" t="s">
        <v>226</v>
      </c>
      <c r="I51" s="446" t="s">
        <v>226</v>
      </c>
      <c r="J51" s="178"/>
    </row>
    <row r="52" spans="1:10" ht="12" customHeight="1">
      <c r="A52" s="452" t="s">
        <v>244</v>
      </c>
      <c r="B52" s="446">
        <v>84.212987812112175</v>
      </c>
      <c r="C52" s="446" t="s">
        <v>222</v>
      </c>
      <c r="D52" s="447" t="s">
        <v>223</v>
      </c>
      <c r="E52" s="447" t="s">
        <v>223</v>
      </c>
      <c r="F52" s="447" t="s">
        <v>223</v>
      </c>
      <c r="G52" s="446">
        <v>5.9352153076553096</v>
      </c>
      <c r="H52" s="446">
        <v>4.7978650027900001E-3</v>
      </c>
      <c r="I52" s="446">
        <v>9.7324190639999994E-5</v>
      </c>
      <c r="J52" s="178"/>
    </row>
    <row r="53" spans="1:10" ht="12" customHeight="1">
      <c r="A53" s="448" t="s">
        <v>157</v>
      </c>
      <c r="B53" s="450">
        <v>84.212987812112175</v>
      </c>
      <c r="C53" s="446" t="s">
        <v>222</v>
      </c>
      <c r="D53" s="446">
        <v>70.478621669348485</v>
      </c>
      <c r="E53" s="446">
        <v>56.972981572563718</v>
      </c>
      <c r="F53" s="446">
        <v>1.15569098269189</v>
      </c>
      <c r="G53" s="450">
        <v>5.9352153076553096</v>
      </c>
      <c r="H53" s="450">
        <v>4.7978650027900001E-3</v>
      </c>
      <c r="I53" s="450">
        <v>9.7324190639999994E-5</v>
      </c>
      <c r="J53" s="178"/>
    </row>
    <row r="54" spans="1:10" ht="12" customHeight="1">
      <c r="A54" s="448" t="s">
        <v>235</v>
      </c>
      <c r="B54" s="450" t="s">
        <v>226</v>
      </c>
      <c r="C54" s="446" t="s">
        <v>222</v>
      </c>
      <c r="D54" s="446" t="s">
        <v>226</v>
      </c>
      <c r="E54" s="446" t="s">
        <v>226</v>
      </c>
      <c r="F54" s="446" t="s">
        <v>226</v>
      </c>
      <c r="G54" s="450" t="s">
        <v>226</v>
      </c>
      <c r="H54" s="450" t="s">
        <v>226</v>
      </c>
      <c r="I54" s="450" t="s">
        <v>226</v>
      </c>
      <c r="J54" s="178"/>
    </row>
    <row r="55" spans="1:10" ht="12.75" customHeight="1">
      <c r="A55" s="448" t="s">
        <v>236</v>
      </c>
      <c r="B55" s="450" t="s">
        <v>226</v>
      </c>
      <c r="C55" s="446" t="s">
        <v>222</v>
      </c>
      <c r="D55" s="446" t="s">
        <v>226</v>
      </c>
      <c r="E55" s="446" t="s">
        <v>226</v>
      </c>
      <c r="F55" s="446" t="s">
        <v>226</v>
      </c>
      <c r="G55" s="450" t="s">
        <v>226</v>
      </c>
      <c r="H55" s="450" t="s">
        <v>226</v>
      </c>
      <c r="I55" s="450" t="s">
        <v>226</v>
      </c>
      <c r="J55" s="178"/>
    </row>
    <row r="56" spans="1:10" ht="12.75" customHeight="1">
      <c r="A56" s="448" t="s">
        <v>237</v>
      </c>
      <c r="B56" s="446" t="s">
        <v>226</v>
      </c>
      <c r="C56" s="446" t="s">
        <v>59</v>
      </c>
      <c r="D56" s="447" t="s">
        <v>223</v>
      </c>
      <c r="E56" s="447" t="s">
        <v>223</v>
      </c>
      <c r="F56" s="447" t="s">
        <v>223</v>
      </c>
      <c r="G56" s="446" t="s">
        <v>226</v>
      </c>
      <c r="H56" s="446" t="s">
        <v>226</v>
      </c>
      <c r="I56" s="446" t="s">
        <v>226</v>
      </c>
      <c r="J56" s="178"/>
    </row>
    <row r="57" spans="1:10" ht="12" customHeight="1">
      <c r="A57" s="448" t="s">
        <v>227</v>
      </c>
      <c r="B57" s="450" t="s">
        <v>226</v>
      </c>
      <c r="C57" s="446" t="s">
        <v>222</v>
      </c>
      <c r="D57" s="446" t="s">
        <v>226</v>
      </c>
      <c r="E57" s="446" t="s">
        <v>226</v>
      </c>
      <c r="F57" s="446" t="s">
        <v>226</v>
      </c>
      <c r="G57" s="450" t="s">
        <v>226</v>
      </c>
      <c r="H57" s="450" t="s">
        <v>226</v>
      </c>
      <c r="I57" s="450" t="s">
        <v>226</v>
      </c>
      <c r="J57" s="178"/>
    </row>
    <row r="58" spans="1:10" ht="12.75" customHeight="1">
      <c r="A58" s="448" t="s">
        <v>230</v>
      </c>
      <c r="B58" s="450" t="s">
        <v>226</v>
      </c>
      <c r="C58" s="446" t="s">
        <v>222</v>
      </c>
      <c r="D58" s="446" t="s">
        <v>226</v>
      </c>
      <c r="E58" s="446" t="s">
        <v>226</v>
      </c>
      <c r="F58" s="446" t="s">
        <v>226</v>
      </c>
      <c r="G58" s="450" t="s">
        <v>226</v>
      </c>
      <c r="H58" s="450" t="s">
        <v>226</v>
      </c>
      <c r="I58" s="450" t="s">
        <v>226</v>
      </c>
      <c r="J58" s="178"/>
    </row>
    <row r="59" spans="1:10" ht="12" customHeight="1">
      <c r="A59" s="448" t="s">
        <v>238</v>
      </c>
      <c r="B59" s="446" t="s">
        <v>226</v>
      </c>
      <c r="C59" s="446" t="s">
        <v>59</v>
      </c>
      <c r="D59" s="447" t="s">
        <v>223</v>
      </c>
      <c r="E59" s="447" t="s">
        <v>223</v>
      </c>
      <c r="F59" s="447" t="s">
        <v>223</v>
      </c>
      <c r="G59" s="446" t="s">
        <v>226</v>
      </c>
      <c r="H59" s="446" t="s">
        <v>226</v>
      </c>
      <c r="I59" s="446" t="s">
        <v>226</v>
      </c>
      <c r="J59" s="178"/>
    </row>
    <row r="60" spans="1:10" ht="12" customHeight="1">
      <c r="A60" s="452" t="s">
        <v>245</v>
      </c>
      <c r="B60" s="446" t="s">
        <v>226</v>
      </c>
      <c r="C60" s="446" t="s">
        <v>222</v>
      </c>
      <c r="D60" s="447" t="s">
        <v>223</v>
      </c>
      <c r="E60" s="447" t="s">
        <v>223</v>
      </c>
      <c r="F60" s="447" t="s">
        <v>223</v>
      </c>
      <c r="G60" s="446" t="s">
        <v>226</v>
      </c>
      <c r="H60" s="446" t="s">
        <v>226</v>
      </c>
      <c r="I60" s="446" t="s">
        <v>226</v>
      </c>
      <c r="J60" s="178"/>
    </row>
    <row r="61" spans="1:10" ht="12" customHeight="1">
      <c r="A61" s="449" t="s">
        <v>246</v>
      </c>
      <c r="B61" s="446">
        <v>425.11500000000007</v>
      </c>
      <c r="C61" s="446" t="s">
        <v>222</v>
      </c>
      <c r="D61" s="447" t="s">
        <v>223</v>
      </c>
      <c r="E61" s="447" t="s">
        <v>223</v>
      </c>
      <c r="F61" s="447" t="s">
        <v>223</v>
      </c>
      <c r="G61" s="446">
        <v>31.082213977665969</v>
      </c>
      <c r="H61" s="446">
        <v>1.76422725E-3</v>
      </c>
      <c r="I61" s="446">
        <v>1.2158288999999999E-2</v>
      </c>
      <c r="J61" s="178"/>
    </row>
    <row r="62" spans="1:10" ht="12" customHeight="1">
      <c r="A62" s="448" t="s">
        <v>224</v>
      </c>
      <c r="B62" s="450">
        <v>425.11500000000007</v>
      </c>
      <c r="C62" s="446" t="s">
        <v>222</v>
      </c>
      <c r="D62" s="446">
        <v>73.114837109172726</v>
      </c>
      <c r="E62" s="446">
        <v>4.1500000000000004</v>
      </c>
      <c r="F62" s="446">
        <v>28.6</v>
      </c>
      <c r="G62" s="450">
        <v>31.082213977665969</v>
      </c>
      <c r="H62" s="450">
        <v>1.76422725E-3</v>
      </c>
      <c r="I62" s="450">
        <v>1.2158288999999999E-2</v>
      </c>
      <c r="J62" s="178"/>
    </row>
    <row r="63" spans="1:10" ht="12" customHeight="1">
      <c r="A63" s="448" t="s">
        <v>225</v>
      </c>
      <c r="B63" s="450" t="s">
        <v>226</v>
      </c>
      <c r="C63" s="446" t="s">
        <v>222</v>
      </c>
      <c r="D63" s="446" t="s">
        <v>226</v>
      </c>
      <c r="E63" s="446" t="s">
        <v>226</v>
      </c>
      <c r="F63" s="446" t="s">
        <v>226</v>
      </c>
      <c r="G63" s="450" t="s">
        <v>226</v>
      </c>
      <c r="H63" s="450" t="s">
        <v>226</v>
      </c>
      <c r="I63" s="450" t="s">
        <v>226</v>
      </c>
      <c r="J63" s="178"/>
    </row>
    <row r="64" spans="1:10" ht="12" customHeight="1">
      <c r="A64" s="448" t="s">
        <v>227</v>
      </c>
      <c r="B64" s="450" t="s">
        <v>226</v>
      </c>
      <c r="C64" s="446" t="s">
        <v>222</v>
      </c>
      <c r="D64" s="446" t="s">
        <v>226</v>
      </c>
      <c r="E64" s="446" t="s">
        <v>226</v>
      </c>
      <c r="F64" s="446" t="s">
        <v>226</v>
      </c>
      <c r="G64" s="450" t="s">
        <v>226</v>
      </c>
      <c r="H64" s="450" t="s">
        <v>226</v>
      </c>
      <c r="I64" s="450" t="s">
        <v>226</v>
      </c>
      <c r="J64" s="178"/>
    </row>
    <row r="65" spans="1:10" ht="12" customHeight="1">
      <c r="A65" s="448" t="s">
        <v>230</v>
      </c>
      <c r="B65" s="450" t="s">
        <v>226</v>
      </c>
      <c r="C65" s="446" t="s">
        <v>222</v>
      </c>
      <c r="D65" s="446" t="s">
        <v>226</v>
      </c>
      <c r="E65" s="446" t="s">
        <v>226</v>
      </c>
      <c r="F65" s="446" t="s">
        <v>226</v>
      </c>
      <c r="G65" s="450" t="s">
        <v>226</v>
      </c>
      <c r="H65" s="450" t="s">
        <v>226</v>
      </c>
      <c r="I65" s="450" t="s">
        <v>226</v>
      </c>
      <c r="J65" s="178"/>
    </row>
    <row r="66" spans="1:10" ht="13.5" customHeight="1">
      <c r="A66" s="448" t="s">
        <v>247</v>
      </c>
      <c r="B66" s="446" t="s">
        <v>226</v>
      </c>
      <c r="C66" s="446" t="s">
        <v>222</v>
      </c>
      <c r="D66" s="447" t="s">
        <v>223</v>
      </c>
      <c r="E66" s="447" t="s">
        <v>223</v>
      </c>
      <c r="F66" s="447" t="s">
        <v>223</v>
      </c>
      <c r="G66" s="446" t="s">
        <v>226</v>
      </c>
      <c r="H66" s="446" t="s">
        <v>226</v>
      </c>
      <c r="I66" s="446" t="s">
        <v>226</v>
      </c>
      <c r="J66" s="178"/>
    </row>
    <row r="67" spans="1:10" ht="12" customHeight="1">
      <c r="A67" s="449" t="s">
        <v>248</v>
      </c>
      <c r="B67" s="446">
        <v>271.14299999999997</v>
      </c>
      <c r="C67" s="446" t="s">
        <v>222</v>
      </c>
      <c r="D67" s="447" t="s">
        <v>223</v>
      </c>
      <c r="E67" s="447" t="s">
        <v>223</v>
      </c>
      <c r="F67" s="447" t="s">
        <v>223</v>
      </c>
      <c r="G67" s="446">
        <v>19.824576278292419</v>
      </c>
      <c r="H67" s="446">
        <v>1.8980010000000001E-3</v>
      </c>
      <c r="I67" s="446">
        <v>5.4228600000000001E-4</v>
      </c>
      <c r="J67" s="178"/>
    </row>
    <row r="68" spans="1:10" ht="12" customHeight="1">
      <c r="A68" s="448" t="s">
        <v>249</v>
      </c>
      <c r="B68" s="450" t="s">
        <v>226</v>
      </c>
      <c r="C68" s="446" t="s">
        <v>222</v>
      </c>
      <c r="D68" s="446" t="s">
        <v>226</v>
      </c>
      <c r="E68" s="446" t="s">
        <v>226</v>
      </c>
      <c r="F68" s="446" t="s">
        <v>226</v>
      </c>
      <c r="G68" s="450" t="s">
        <v>226</v>
      </c>
      <c r="H68" s="450" t="s">
        <v>226</v>
      </c>
      <c r="I68" s="450" t="s">
        <v>226</v>
      </c>
      <c r="J68" s="178"/>
    </row>
    <row r="69" spans="1:10" ht="12" customHeight="1">
      <c r="A69" s="448" t="s">
        <v>250</v>
      </c>
      <c r="B69" s="450">
        <v>271.14299999999997</v>
      </c>
      <c r="C69" s="446" t="s">
        <v>222</v>
      </c>
      <c r="D69" s="446">
        <v>73.114837109172726</v>
      </c>
      <c r="E69" s="446">
        <v>7</v>
      </c>
      <c r="F69" s="446">
        <v>2</v>
      </c>
      <c r="G69" s="450">
        <v>19.824576278292419</v>
      </c>
      <c r="H69" s="450">
        <v>1.8980010000000001E-3</v>
      </c>
      <c r="I69" s="450">
        <v>5.4228600000000001E-4</v>
      </c>
      <c r="J69" s="178"/>
    </row>
    <row r="70" spans="1:10" ht="12" customHeight="1">
      <c r="A70" s="448" t="s">
        <v>157</v>
      </c>
      <c r="B70" s="450" t="s">
        <v>226</v>
      </c>
      <c r="C70" s="446" t="s">
        <v>222</v>
      </c>
      <c r="D70" s="446" t="s">
        <v>226</v>
      </c>
      <c r="E70" s="446" t="s">
        <v>226</v>
      </c>
      <c r="F70" s="446" t="s">
        <v>226</v>
      </c>
      <c r="G70" s="450" t="s">
        <v>226</v>
      </c>
      <c r="H70" s="450" t="s">
        <v>226</v>
      </c>
      <c r="I70" s="450" t="s">
        <v>226</v>
      </c>
      <c r="J70" s="178"/>
    </row>
    <row r="71" spans="1:10" ht="12" customHeight="1">
      <c r="A71" s="448" t="s">
        <v>251</v>
      </c>
      <c r="B71" s="446" t="s">
        <v>226</v>
      </c>
      <c r="C71" s="446" t="s">
        <v>222</v>
      </c>
      <c r="D71" s="447" t="s">
        <v>223</v>
      </c>
      <c r="E71" s="447" t="s">
        <v>223</v>
      </c>
      <c r="F71" s="447" t="s">
        <v>223</v>
      </c>
      <c r="G71" s="446" t="s">
        <v>226</v>
      </c>
      <c r="H71" s="446" t="s">
        <v>226</v>
      </c>
      <c r="I71" s="446" t="s">
        <v>226</v>
      </c>
      <c r="J71" s="178"/>
    </row>
    <row r="72" spans="1:10" ht="12" customHeight="1">
      <c r="A72" s="448" t="s">
        <v>227</v>
      </c>
      <c r="B72" s="450" t="s">
        <v>226</v>
      </c>
      <c r="C72" s="446" t="s">
        <v>222</v>
      </c>
      <c r="D72" s="446" t="s">
        <v>226</v>
      </c>
      <c r="E72" s="446" t="s">
        <v>226</v>
      </c>
      <c r="F72" s="446" t="s">
        <v>226</v>
      </c>
      <c r="G72" s="450" t="s">
        <v>226</v>
      </c>
      <c r="H72" s="450" t="s">
        <v>226</v>
      </c>
      <c r="I72" s="450" t="s">
        <v>226</v>
      </c>
      <c r="J72" s="178"/>
    </row>
    <row r="73" spans="1:10" ht="12" customHeight="1">
      <c r="A73" s="448" t="s">
        <v>230</v>
      </c>
      <c r="B73" s="450" t="s">
        <v>226</v>
      </c>
      <c r="C73" s="446" t="s">
        <v>222</v>
      </c>
      <c r="D73" s="446" t="s">
        <v>226</v>
      </c>
      <c r="E73" s="446" t="s">
        <v>226</v>
      </c>
      <c r="F73" s="446" t="s">
        <v>226</v>
      </c>
      <c r="G73" s="450" t="s">
        <v>226</v>
      </c>
      <c r="H73" s="450" t="s">
        <v>226</v>
      </c>
      <c r="I73" s="450" t="s">
        <v>226</v>
      </c>
      <c r="J73" s="178"/>
    </row>
    <row r="74" spans="1:10" ht="13.5" customHeight="1">
      <c r="A74" s="448" t="s">
        <v>252</v>
      </c>
      <c r="B74" s="446" t="s">
        <v>226</v>
      </c>
      <c r="C74" s="446" t="s">
        <v>222</v>
      </c>
      <c r="D74" s="447" t="s">
        <v>223</v>
      </c>
      <c r="E74" s="447" t="s">
        <v>223</v>
      </c>
      <c r="F74" s="447" t="s">
        <v>223</v>
      </c>
      <c r="G74" s="446" t="s">
        <v>226</v>
      </c>
      <c r="H74" s="446" t="s">
        <v>226</v>
      </c>
      <c r="I74" s="446" t="s">
        <v>226</v>
      </c>
      <c r="J74" s="178"/>
    </row>
    <row r="75" spans="1:10" ht="12" customHeight="1">
      <c r="A75" s="449" t="s">
        <v>253</v>
      </c>
      <c r="B75" s="446" t="s">
        <v>226</v>
      </c>
      <c r="C75" s="446" t="s">
        <v>222</v>
      </c>
      <c r="D75" s="447" t="s">
        <v>223</v>
      </c>
      <c r="E75" s="447" t="s">
        <v>223</v>
      </c>
      <c r="F75" s="447" t="s">
        <v>223</v>
      </c>
      <c r="G75" s="446" t="s">
        <v>226</v>
      </c>
      <c r="H75" s="446" t="s">
        <v>226</v>
      </c>
      <c r="I75" s="446" t="s">
        <v>226</v>
      </c>
      <c r="J75" s="178"/>
    </row>
    <row r="76" spans="1:10" ht="12" customHeight="1">
      <c r="A76" s="453" t="s">
        <v>224</v>
      </c>
      <c r="B76" s="446" t="s">
        <v>226</v>
      </c>
      <c r="C76" s="446" t="s">
        <v>222</v>
      </c>
      <c r="D76" s="446" t="s">
        <v>226</v>
      </c>
      <c r="E76" s="446" t="s">
        <v>226</v>
      </c>
      <c r="F76" s="446" t="s">
        <v>226</v>
      </c>
      <c r="G76" s="446" t="s">
        <v>226</v>
      </c>
      <c r="H76" s="446" t="s">
        <v>226</v>
      </c>
      <c r="I76" s="446" t="s">
        <v>226</v>
      </c>
      <c r="J76" s="178"/>
    </row>
    <row r="77" spans="1:10" ht="12" customHeight="1">
      <c r="A77" s="453" t="s">
        <v>225</v>
      </c>
      <c r="B77" s="446" t="s">
        <v>226</v>
      </c>
      <c r="C77" s="446" t="s">
        <v>222</v>
      </c>
      <c r="D77" s="446" t="s">
        <v>226</v>
      </c>
      <c r="E77" s="446" t="s">
        <v>226</v>
      </c>
      <c r="F77" s="446" t="s">
        <v>226</v>
      </c>
      <c r="G77" s="446" t="s">
        <v>226</v>
      </c>
      <c r="H77" s="446" t="s">
        <v>226</v>
      </c>
      <c r="I77" s="446" t="s">
        <v>226</v>
      </c>
      <c r="J77" s="178"/>
    </row>
    <row r="78" spans="1:10" ht="12" customHeight="1">
      <c r="A78" s="453" t="s">
        <v>227</v>
      </c>
      <c r="B78" s="446" t="s">
        <v>226</v>
      </c>
      <c r="C78" s="446" t="s">
        <v>222</v>
      </c>
      <c r="D78" s="446" t="s">
        <v>226</v>
      </c>
      <c r="E78" s="446" t="s">
        <v>226</v>
      </c>
      <c r="F78" s="446" t="s">
        <v>226</v>
      </c>
      <c r="G78" s="446" t="s">
        <v>226</v>
      </c>
      <c r="H78" s="446" t="s">
        <v>226</v>
      </c>
      <c r="I78" s="446" t="s">
        <v>226</v>
      </c>
      <c r="J78" s="178"/>
    </row>
    <row r="79" spans="1:10" ht="12" customHeight="1">
      <c r="A79" s="453" t="s">
        <v>254</v>
      </c>
      <c r="B79" s="446" t="s">
        <v>226</v>
      </c>
      <c r="C79" s="446" t="s">
        <v>222</v>
      </c>
      <c r="D79" s="446" t="s">
        <v>226</v>
      </c>
      <c r="E79" s="446" t="s">
        <v>226</v>
      </c>
      <c r="F79" s="446" t="s">
        <v>226</v>
      </c>
      <c r="G79" s="446" t="s">
        <v>226</v>
      </c>
      <c r="H79" s="446" t="s">
        <v>226</v>
      </c>
      <c r="I79" s="446" t="s">
        <v>226</v>
      </c>
      <c r="J79" s="178"/>
    </row>
    <row r="80" spans="1:10" ht="12" customHeight="1">
      <c r="A80" s="453" t="s">
        <v>255</v>
      </c>
      <c r="B80" s="446" t="s">
        <v>226</v>
      </c>
      <c r="C80" s="446" t="s">
        <v>222</v>
      </c>
      <c r="D80" s="446" t="s">
        <v>226</v>
      </c>
      <c r="E80" s="446" t="s">
        <v>226</v>
      </c>
      <c r="F80" s="446" t="s">
        <v>226</v>
      </c>
      <c r="G80" s="446" t="s">
        <v>226</v>
      </c>
      <c r="H80" s="446" t="s">
        <v>226</v>
      </c>
      <c r="I80" s="446" t="s">
        <v>226</v>
      </c>
      <c r="J80" s="178"/>
    </row>
    <row r="81" spans="1:10" ht="12" customHeight="1">
      <c r="A81" s="454" t="s">
        <v>256</v>
      </c>
      <c r="B81" s="446" t="s">
        <v>226</v>
      </c>
      <c r="C81" s="446" t="s">
        <v>222</v>
      </c>
      <c r="D81" s="447" t="s">
        <v>223</v>
      </c>
      <c r="E81" s="447" t="s">
        <v>223</v>
      </c>
      <c r="F81" s="447" t="s">
        <v>223</v>
      </c>
      <c r="G81" s="446" t="s">
        <v>226</v>
      </c>
      <c r="H81" s="446" t="s">
        <v>226</v>
      </c>
      <c r="I81" s="446" t="s">
        <v>226</v>
      </c>
      <c r="J81" s="178"/>
    </row>
    <row r="82" spans="1:10" ht="12" customHeight="1">
      <c r="A82" s="453" t="s">
        <v>224</v>
      </c>
      <c r="B82" s="450" t="s">
        <v>226</v>
      </c>
      <c r="C82" s="446" t="s">
        <v>222</v>
      </c>
      <c r="D82" s="446" t="s">
        <v>226</v>
      </c>
      <c r="E82" s="446" t="s">
        <v>226</v>
      </c>
      <c r="F82" s="446" t="s">
        <v>226</v>
      </c>
      <c r="G82" s="450" t="s">
        <v>226</v>
      </c>
      <c r="H82" s="450" t="s">
        <v>226</v>
      </c>
      <c r="I82" s="450" t="s">
        <v>226</v>
      </c>
      <c r="J82" s="178"/>
    </row>
    <row r="83" spans="1:10" ht="12" customHeight="1">
      <c r="A83" s="453" t="s">
        <v>225</v>
      </c>
      <c r="B83" s="450" t="s">
        <v>226</v>
      </c>
      <c r="C83" s="446" t="s">
        <v>222</v>
      </c>
      <c r="D83" s="446" t="s">
        <v>226</v>
      </c>
      <c r="E83" s="446" t="s">
        <v>226</v>
      </c>
      <c r="F83" s="446" t="s">
        <v>226</v>
      </c>
      <c r="G83" s="450" t="s">
        <v>226</v>
      </c>
      <c r="H83" s="450" t="s">
        <v>226</v>
      </c>
      <c r="I83" s="450" t="s">
        <v>226</v>
      </c>
      <c r="J83" s="178"/>
    </row>
    <row r="84" spans="1:10" ht="12" customHeight="1">
      <c r="A84" s="453" t="s">
        <v>227</v>
      </c>
      <c r="B84" s="450" t="s">
        <v>226</v>
      </c>
      <c r="C84" s="446" t="s">
        <v>222</v>
      </c>
      <c r="D84" s="446" t="s">
        <v>226</v>
      </c>
      <c r="E84" s="446" t="s">
        <v>226</v>
      </c>
      <c r="F84" s="446" t="s">
        <v>226</v>
      </c>
      <c r="G84" s="450" t="s">
        <v>226</v>
      </c>
      <c r="H84" s="450" t="s">
        <v>226</v>
      </c>
      <c r="I84" s="450" t="s">
        <v>226</v>
      </c>
      <c r="J84" s="178"/>
    </row>
    <row r="85" spans="1:10" ht="12" customHeight="1">
      <c r="A85" s="453" t="s">
        <v>254</v>
      </c>
      <c r="B85" s="450" t="s">
        <v>226</v>
      </c>
      <c r="C85" s="446" t="s">
        <v>222</v>
      </c>
      <c r="D85" s="446" t="s">
        <v>226</v>
      </c>
      <c r="E85" s="446" t="s">
        <v>226</v>
      </c>
      <c r="F85" s="446" t="s">
        <v>226</v>
      </c>
      <c r="G85" s="450" t="s">
        <v>226</v>
      </c>
      <c r="H85" s="450" t="s">
        <v>226</v>
      </c>
      <c r="I85" s="450" t="s">
        <v>226</v>
      </c>
      <c r="J85" s="178"/>
    </row>
    <row r="86" spans="1:10" ht="12" customHeight="1">
      <c r="A86" s="453" t="s">
        <v>255</v>
      </c>
      <c r="B86" s="450" t="s">
        <v>226</v>
      </c>
      <c r="C86" s="446" t="s">
        <v>222</v>
      </c>
      <c r="D86" s="446" t="s">
        <v>226</v>
      </c>
      <c r="E86" s="446" t="s">
        <v>226</v>
      </c>
      <c r="F86" s="446" t="s">
        <v>226</v>
      </c>
      <c r="G86" s="450" t="s">
        <v>226</v>
      </c>
      <c r="H86" s="450" t="s">
        <v>226</v>
      </c>
      <c r="I86" s="450" t="s">
        <v>226</v>
      </c>
      <c r="J86" s="178"/>
    </row>
    <row r="87" spans="1:10" ht="12" customHeight="1">
      <c r="A87" s="454" t="s">
        <v>257</v>
      </c>
      <c r="B87" s="446" t="s">
        <v>226</v>
      </c>
      <c r="C87" s="446" t="s">
        <v>222</v>
      </c>
      <c r="D87" s="447" t="s">
        <v>223</v>
      </c>
      <c r="E87" s="447" t="s">
        <v>223</v>
      </c>
      <c r="F87" s="447" t="s">
        <v>223</v>
      </c>
      <c r="G87" s="446" t="s">
        <v>226</v>
      </c>
      <c r="H87" s="446" t="s">
        <v>226</v>
      </c>
      <c r="I87" s="446" t="s">
        <v>226</v>
      </c>
      <c r="J87" s="178"/>
    </row>
    <row r="88" spans="1:10" ht="12" customHeight="1">
      <c r="A88" s="728" t="s">
        <v>268</v>
      </c>
      <c r="B88" s="728"/>
      <c r="C88" s="178"/>
      <c r="D88" s="178"/>
      <c r="E88" s="178"/>
      <c r="F88" s="178"/>
      <c r="G88" s="178"/>
      <c r="H88" s="178"/>
      <c r="I88" s="178"/>
      <c r="J88" s="178"/>
    </row>
    <row r="89" spans="1:10" ht="12" customHeight="1"/>
    <row r="90" spans="1:10" ht="12" customHeight="1"/>
    <row r="91" spans="1:10" ht="12" customHeight="1">
      <c r="A91" s="384"/>
    </row>
    <row r="92" spans="1:10" ht="12" customHeight="1">
      <c r="A92" s="723"/>
      <c r="B92" s="723"/>
      <c r="C92" s="723"/>
      <c r="D92" s="723"/>
      <c r="E92" s="723"/>
      <c r="F92" s="723"/>
      <c r="G92" s="723"/>
      <c r="H92" s="723"/>
      <c r="I92" s="723"/>
    </row>
    <row r="97" ht="12" customHeight="1"/>
  </sheetData>
  <sheetProtection algorithmName="SHA-512" hashValue="PrSvJ2uDMJfC/vZcKv8Nf6kxAiyofS37KxsjWi8ryxOMwA50QwmBsEGxRQkVDpGidjSfc5SxUbkdD5D/lv19MQ==" saltValue="qPthVOk++LznatbP7E6B8w==" spinCount="100000" sheet="1" objects="1" scenarios="1"/>
  <mergeCells count="15">
    <mergeCell ref="A92:I92"/>
    <mergeCell ref="E9:F9"/>
    <mergeCell ref="G9:I9"/>
    <mergeCell ref="A88:B88"/>
    <mergeCell ref="A2:B2"/>
    <mergeCell ref="B6:C6"/>
    <mergeCell ref="D6:F6"/>
    <mergeCell ref="G6:I6"/>
    <mergeCell ref="B7:C8"/>
    <mergeCell ref="D7:D8"/>
    <mergeCell ref="E7:E8"/>
    <mergeCell ref="F7:F8"/>
    <mergeCell ref="G7:G8"/>
    <mergeCell ref="H7:H8"/>
    <mergeCell ref="I7:I8"/>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C9627-DA65-424B-879C-07DF69B4A74F}">
  <sheetPr>
    <tabColor rgb="FF92D050"/>
  </sheetPr>
  <dimension ref="A1:I291"/>
  <sheetViews>
    <sheetView topLeftCell="A39" zoomScale="55" zoomScaleNormal="55" workbookViewId="0">
      <selection activeCell="H2" sqref="H2"/>
    </sheetView>
  </sheetViews>
  <sheetFormatPr defaultRowHeight="14.4"/>
  <cols>
    <col min="1" max="1" width="22.5546875" bestFit="1" customWidth="1"/>
    <col min="2" max="2" width="11.77734375" bestFit="1" customWidth="1"/>
    <col min="3" max="3" width="30.21875" bestFit="1" customWidth="1"/>
    <col min="4" max="5" width="12.88671875" bestFit="1" customWidth="1"/>
    <col min="6" max="6" width="14.44140625" bestFit="1" customWidth="1"/>
    <col min="8" max="8" width="12.44140625" bestFit="1" customWidth="1"/>
    <col min="9" max="9" width="11.44140625" bestFit="1" customWidth="1"/>
    <col min="14" max="14" width="18.5546875" bestFit="1" customWidth="1"/>
  </cols>
  <sheetData>
    <row r="1" spans="1:7" ht="15" thickBot="1">
      <c r="A1" s="246" t="s">
        <v>335</v>
      </c>
      <c r="B1" s="246" t="s">
        <v>336</v>
      </c>
      <c r="C1" s="246" t="s">
        <v>337</v>
      </c>
      <c r="D1" s="246" t="s">
        <v>338</v>
      </c>
      <c r="E1" s="246" t="s">
        <v>699</v>
      </c>
      <c r="G1" s="161" t="s">
        <v>393</v>
      </c>
    </row>
    <row r="2" spans="1:7" ht="15" thickBot="1">
      <c r="A2" s="247" t="s">
        <v>339</v>
      </c>
      <c r="B2" s="247" t="s">
        <v>340</v>
      </c>
      <c r="C2" s="247" t="s">
        <v>341</v>
      </c>
      <c r="D2" s="247" t="s">
        <v>342</v>
      </c>
      <c r="E2" s="455">
        <v>208432.58641036617</v>
      </c>
      <c r="F2" s="464">
        <f>SUM(E2:E64)</f>
        <v>3178177515.2631326</v>
      </c>
    </row>
    <row r="3" spans="1:7">
      <c r="A3" s="248" t="s">
        <v>339</v>
      </c>
      <c r="B3" s="248" t="s">
        <v>340</v>
      </c>
      <c r="C3" s="248" t="s">
        <v>341</v>
      </c>
      <c r="D3" s="248" t="s">
        <v>343</v>
      </c>
      <c r="E3" s="457">
        <v>460083.41603006865</v>
      </c>
      <c r="F3" s="459"/>
    </row>
    <row r="4" spans="1:7">
      <c r="A4" s="247" t="s">
        <v>339</v>
      </c>
      <c r="B4" s="247" t="s">
        <v>340</v>
      </c>
      <c r="C4" s="247" t="s">
        <v>341</v>
      </c>
      <c r="D4" s="247" t="s">
        <v>344</v>
      </c>
      <c r="E4" s="458">
        <v>255241.5994601518</v>
      </c>
      <c r="F4" s="460"/>
    </row>
    <row r="5" spans="1:7">
      <c r="A5" s="248" t="s">
        <v>339</v>
      </c>
      <c r="B5" s="248" t="s">
        <v>340</v>
      </c>
      <c r="C5" s="248" t="s">
        <v>341</v>
      </c>
      <c r="D5" s="248" t="s">
        <v>345</v>
      </c>
      <c r="E5" s="457">
        <v>809139.98432338773</v>
      </c>
      <c r="F5" s="460"/>
    </row>
    <row r="6" spans="1:7">
      <c r="A6" s="247" t="s">
        <v>339</v>
      </c>
      <c r="B6" s="247" t="s">
        <v>340</v>
      </c>
      <c r="C6" s="247" t="s">
        <v>341</v>
      </c>
      <c r="D6" s="247" t="s">
        <v>346</v>
      </c>
      <c r="E6" s="458">
        <v>2811946.0602529207</v>
      </c>
      <c r="F6" s="460"/>
    </row>
    <row r="7" spans="1:7">
      <c r="A7" s="248" t="s">
        <v>339</v>
      </c>
      <c r="B7" s="248" t="s">
        <v>340</v>
      </c>
      <c r="C7" s="248" t="s">
        <v>341</v>
      </c>
      <c r="D7" s="248" t="s">
        <v>347</v>
      </c>
      <c r="E7" s="457">
        <v>6519682.3275479283</v>
      </c>
      <c r="F7" s="460"/>
    </row>
    <row r="8" spans="1:7">
      <c r="A8" s="247" t="s">
        <v>339</v>
      </c>
      <c r="B8" s="247" t="s">
        <v>340</v>
      </c>
      <c r="C8" s="247" t="s">
        <v>341</v>
      </c>
      <c r="D8" s="247" t="s">
        <v>348</v>
      </c>
      <c r="E8" s="458">
        <v>29223613.168340225</v>
      </c>
      <c r="F8" s="460"/>
    </row>
    <row r="9" spans="1:7">
      <c r="A9" s="248" t="s">
        <v>339</v>
      </c>
      <c r="B9" s="248" t="s">
        <v>340</v>
      </c>
      <c r="C9" s="248" t="s">
        <v>341</v>
      </c>
      <c r="D9" s="248" t="s">
        <v>349</v>
      </c>
      <c r="E9" s="457">
        <v>98719650.613383114</v>
      </c>
      <c r="F9" s="460"/>
    </row>
    <row r="10" spans="1:7">
      <c r="A10" s="247" t="s">
        <v>339</v>
      </c>
      <c r="B10" s="247" t="s">
        <v>340</v>
      </c>
      <c r="C10" s="247" t="s">
        <v>341</v>
      </c>
      <c r="D10" s="247" t="s">
        <v>350</v>
      </c>
      <c r="E10" s="458">
        <v>108632393.83037661</v>
      </c>
      <c r="F10" s="460"/>
    </row>
    <row r="11" spans="1:7">
      <c r="A11" s="248" t="s">
        <v>339</v>
      </c>
      <c r="B11" s="248" t="s">
        <v>340</v>
      </c>
      <c r="C11" s="248" t="s">
        <v>341</v>
      </c>
      <c r="D11" s="248" t="s">
        <v>351</v>
      </c>
      <c r="E11" s="457">
        <v>157196598.87678632</v>
      </c>
      <c r="F11" s="460"/>
    </row>
    <row r="12" spans="1:7">
      <c r="A12" s="247" t="s">
        <v>339</v>
      </c>
      <c r="B12" s="247" t="s">
        <v>340</v>
      </c>
      <c r="C12" s="247" t="s">
        <v>341</v>
      </c>
      <c r="D12" s="247" t="s">
        <v>352</v>
      </c>
      <c r="E12" s="458">
        <v>105009572.07071412</v>
      </c>
      <c r="F12" s="460"/>
    </row>
    <row r="13" spans="1:7">
      <c r="A13" s="248" t="s">
        <v>339</v>
      </c>
      <c r="B13" s="248" t="s">
        <v>340</v>
      </c>
      <c r="C13" s="248" t="s">
        <v>341</v>
      </c>
      <c r="D13" s="248" t="s">
        <v>353</v>
      </c>
      <c r="E13" s="457">
        <v>204272743.67109567</v>
      </c>
      <c r="F13" s="460"/>
    </row>
    <row r="14" spans="1:7">
      <c r="A14" s="247" t="s">
        <v>339</v>
      </c>
      <c r="B14" s="247" t="s">
        <v>340</v>
      </c>
      <c r="C14" s="247" t="s">
        <v>341</v>
      </c>
      <c r="D14" s="247" t="s">
        <v>698</v>
      </c>
      <c r="E14" s="458">
        <v>46364441.545730002</v>
      </c>
      <c r="F14" s="460"/>
    </row>
    <row r="15" spans="1:7">
      <c r="A15" s="248" t="s">
        <v>339</v>
      </c>
      <c r="B15" s="248" t="s">
        <v>340</v>
      </c>
      <c r="C15" s="248" t="s">
        <v>354</v>
      </c>
      <c r="D15" s="248" t="s">
        <v>342</v>
      </c>
      <c r="E15" s="457">
        <v>142540.73848783565</v>
      </c>
      <c r="F15" s="460"/>
    </row>
    <row r="16" spans="1:7">
      <c r="A16" s="247" t="s">
        <v>339</v>
      </c>
      <c r="B16" s="247" t="s">
        <v>340</v>
      </c>
      <c r="C16" s="247" t="s">
        <v>354</v>
      </c>
      <c r="D16" s="247" t="s">
        <v>343</v>
      </c>
      <c r="E16" s="458">
        <v>422791.77508290252</v>
      </c>
      <c r="F16" s="460"/>
    </row>
    <row r="17" spans="1:6">
      <c r="A17" s="248" t="s">
        <v>339</v>
      </c>
      <c r="B17" s="248" t="s">
        <v>340</v>
      </c>
      <c r="C17" s="248" t="s">
        <v>354</v>
      </c>
      <c r="D17" s="248" t="s">
        <v>344</v>
      </c>
      <c r="E17" s="457">
        <v>351665.67784150277</v>
      </c>
      <c r="F17" s="460"/>
    </row>
    <row r="18" spans="1:6">
      <c r="A18" s="247" t="s">
        <v>339</v>
      </c>
      <c r="B18" s="247" t="s">
        <v>340</v>
      </c>
      <c r="C18" s="247" t="s">
        <v>354</v>
      </c>
      <c r="D18" s="247" t="s">
        <v>345</v>
      </c>
      <c r="E18" s="458">
        <v>1592774.3579582269</v>
      </c>
      <c r="F18" s="460"/>
    </row>
    <row r="19" spans="1:6">
      <c r="A19" s="248" t="s">
        <v>339</v>
      </c>
      <c r="B19" s="248" t="s">
        <v>340</v>
      </c>
      <c r="C19" s="248" t="s">
        <v>354</v>
      </c>
      <c r="D19" s="248" t="s">
        <v>346</v>
      </c>
      <c r="E19" s="457">
        <v>46126748.459845968</v>
      </c>
      <c r="F19" s="460"/>
    </row>
    <row r="20" spans="1:6">
      <c r="A20" s="247" t="s">
        <v>339</v>
      </c>
      <c r="B20" s="247" t="s">
        <v>340</v>
      </c>
      <c r="C20" s="247" t="s">
        <v>354</v>
      </c>
      <c r="D20" s="247" t="s">
        <v>347</v>
      </c>
      <c r="E20" s="458">
        <v>93122307.498919219</v>
      </c>
      <c r="F20" s="460"/>
    </row>
    <row r="21" spans="1:6">
      <c r="A21" s="248" t="s">
        <v>339</v>
      </c>
      <c r="B21" s="248" t="s">
        <v>340</v>
      </c>
      <c r="C21" s="248" t="s">
        <v>354</v>
      </c>
      <c r="D21" s="248" t="s">
        <v>348</v>
      </c>
      <c r="E21" s="457">
        <v>176566441.44326958</v>
      </c>
      <c r="F21" s="460"/>
    </row>
    <row r="22" spans="1:6">
      <c r="A22" s="247" t="s">
        <v>339</v>
      </c>
      <c r="B22" s="247" t="s">
        <v>340</v>
      </c>
      <c r="C22" s="247" t="s">
        <v>354</v>
      </c>
      <c r="D22" s="247" t="s">
        <v>349</v>
      </c>
      <c r="E22" s="458">
        <v>300328110.56972396</v>
      </c>
      <c r="F22" s="460"/>
    </row>
    <row r="23" spans="1:6">
      <c r="A23" s="248" t="s">
        <v>339</v>
      </c>
      <c r="B23" s="248" t="s">
        <v>340</v>
      </c>
      <c r="C23" s="248" t="s">
        <v>354</v>
      </c>
      <c r="D23" s="248" t="s">
        <v>350</v>
      </c>
      <c r="E23" s="457">
        <v>371877166.9390406</v>
      </c>
      <c r="F23" s="460"/>
    </row>
    <row r="24" spans="1:6">
      <c r="A24" s="247" t="s">
        <v>339</v>
      </c>
      <c r="B24" s="247" t="s">
        <v>340</v>
      </c>
      <c r="C24" s="247" t="s">
        <v>354</v>
      </c>
      <c r="D24" s="247" t="s">
        <v>351</v>
      </c>
      <c r="E24" s="458">
        <v>302399319.65947402</v>
      </c>
      <c r="F24" s="460"/>
    </row>
    <row r="25" spans="1:6">
      <c r="A25" s="248" t="s">
        <v>339</v>
      </c>
      <c r="B25" s="248" t="s">
        <v>340</v>
      </c>
      <c r="C25" s="248" t="s">
        <v>354</v>
      </c>
      <c r="D25" s="248" t="s">
        <v>352</v>
      </c>
      <c r="E25" s="457">
        <v>121575925.31998874</v>
      </c>
      <c r="F25" s="460"/>
    </row>
    <row r="26" spans="1:6">
      <c r="A26" s="247" t="s">
        <v>339</v>
      </c>
      <c r="B26" s="247" t="s">
        <v>340</v>
      </c>
      <c r="C26" s="247" t="s">
        <v>354</v>
      </c>
      <c r="D26" s="247" t="s">
        <v>353</v>
      </c>
      <c r="E26" s="458">
        <v>279682882.76233578</v>
      </c>
      <c r="F26" s="460"/>
    </row>
    <row r="27" spans="1:6">
      <c r="A27" s="248" t="s">
        <v>339</v>
      </c>
      <c r="B27" s="248" t="s">
        <v>340</v>
      </c>
      <c r="C27" s="248" t="s">
        <v>354</v>
      </c>
      <c r="D27" s="248" t="s">
        <v>698</v>
      </c>
      <c r="E27" s="457">
        <v>58973097.78585875</v>
      </c>
      <c r="F27" s="460"/>
    </row>
    <row r="28" spans="1:6">
      <c r="A28" s="247" t="s">
        <v>339</v>
      </c>
      <c r="B28" s="247" t="s">
        <v>340</v>
      </c>
      <c r="C28" s="247" t="s">
        <v>355</v>
      </c>
      <c r="D28" s="247" t="s">
        <v>342</v>
      </c>
      <c r="E28" s="458">
        <v>333140.84738061338</v>
      </c>
      <c r="F28" s="460"/>
    </row>
    <row r="29" spans="1:6">
      <c r="A29" s="248" t="s">
        <v>339</v>
      </c>
      <c r="B29" s="248" t="s">
        <v>340</v>
      </c>
      <c r="C29" s="248" t="s">
        <v>355</v>
      </c>
      <c r="D29" s="248" t="s">
        <v>343</v>
      </c>
      <c r="E29" s="457">
        <v>318497.62079699541</v>
      </c>
      <c r="F29" s="460"/>
    </row>
    <row r="30" spans="1:6">
      <c r="A30" s="247" t="s">
        <v>339</v>
      </c>
      <c r="B30" s="247" t="s">
        <v>340</v>
      </c>
      <c r="C30" s="247" t="s">
        <v>355</v>
      </c>
      <c r="D30" s="247" t="s">
        <v>344</v>
      </c>
      <c r="E30" s="458">
        <v>245241.79399461485</v>
      </c>
      <c r="F30" s="460"/>
    </row>
    <row r="31" spans="1:6">
      <c r="A31" s="248" t="s">
        <v>339</v>
      </c>
      <c r="B31" s="248" t="s">
        <v>340</v>
      </c>
      <c r="C31" s="248" t="s">
        <v>355</v>
      </c>
      <c r="D31" s="248" t="s">
        <v>345</v>
      </c>
      <c r="E31" s="457">
        <v>1201739.9803396554</v>
      </c>
      <c r="F31" s="460"/>
    </row>
    <row r="32" spans="1:6">
      <c r="A32" s="247" t="s">
        <v>339</v>
      </c>
      <c r="B32" s="247" t="s">
        <v>340</v>
      </c>
      <c r="C32" s="247" t="s">
        <v>355</v>
      </c>
      <c r="D32" s="247" t="s">
        <v>346</v>
      </c>
      <c r="E32" s="458">
        <v>20239218.483531039</v>
      </c>
      <c r="F32" s="460"/>
    </row>
    <row r="33" spans="1:6">
      <c r="A33" s="248" t="s">
        <v>339</v>
      </c>
      <c r="B33" s="248" t="s">
        <v>340</v>
      </c>
      <c r="C33" s="248" t="s">
        <v>355</v>
      </c>
      <c r="D33" s="248" t="s">
        <v>347</v>
      </c>
      <c r="E33" s="457">
        <v>34272212.663694084</v>
      </c>
      <c r="F33" s="460"/>
    </row>
    <row r="34" spans="1:6">
      <c r="A34" s="247" t="s">
        <v>339</v>
      </c>
      <c r="B34" s="247" t="s">
        <v>340</v>
      </c>
      <c r="C34" s="247" t="s">
        <v>355</v>
      </c>
      <c r="D34" s="247" t="s">
        <v>348</v>
      </c>
      <c r="E34" s="458">
        <v>83709331.838672116</v>
      </c>
      <c r="F34" s="460"/>
    </row>
    <row r="35" spans="1:6">
      <c r="A35" s="248" t="s">
        <v>339</v>
      </c>
      <c r="B35" s="248" t="s">
        <v>340</v>
      </c>
      <c r="C35" s="248" t="s">
        <v>355</v>
      </c>
      <c r="D35" s="248" t="s">
        <v>349</v>
      </c>
      <c r="E35" s="457">
        <v>139242160.0742158</v>
      </c>
      <c r="F35" s="460"/>
    </row>
    <row r="36" spans="1:6">
      <c r="A36" s="247" t="s">
        <v>339</v>
      </c>
      <c r="B36" s="247" t="s">
        <v>340</v>
      </c>
      <c r="C36" s="247" t="s">
        <v>355</v>
      </c>
      <c r="D36" s="247" t="s">
        <v>350</v>
      </c>
      <c r="E36" s="458">
        <v>104144943.08472842</v>
      </c>
      <c r="F36" s="460"/>
    </row>
    <row r="37" spans="1:6">
      <c r="A37" s="248" t="s">
        <v>339</v>
      </c>
      <c r="B37" s="248" t="s">
        <v>340</v>
      </c>
      <c r="C37" s="248" t="s">
        <v>355</v>
      </c>
      <c r="D37" s="248" t="s">
        <v>351</v>
      </c>
      <c r="E37" s="457">
        <v>61439579.816054285</v>
      </c>
      <c r="F37" s="460"/>
    </row>
    <row r="38" spans="1:6">
      <c r="A38" s="247" t="s">
        <v>339</v>
      </c>
      <c r="B38" s="247" t="s">
        <v>340</v>
      </c>
      <c r="C38" s="247" t="s">
        <v>355</v>
      </c>
      <c r="D38" s="247" t="s">
        <v>352</v>
      </c>
      <c r="E38" s="458">
        <v>18659649.905679148</v>
      </c>
      <c r="F38" s="460"/>
    </row>
    <row r="39" spans="1:6">
      <c r="A39" s="248" t="s">
        <v>339</v>
      </c>
      <c r="B39" s="248" t="s">
        <v>340</v>
      </c>
      <c r="C39" s="248" t="s">
        <v>355</v>
      </c>
      <c r="D39" s="248" t="s">
        <v>353</v>
      </c>
      <c r="E39" s="457">
        <v>25778338.722096242</v>
      </c>
      <c r="F39" s="460"/>
    </row>
    <row r="40" spans="1:6">
      <c r="A40" s="247" t="s">
        <v>339</v>
      </c>
      <c r="B40" s="247" t="s">
        <v>340</v>
      </c>
      <c r="C40" s="247" t="s">
        <v>355</v>
      </c>
      <c r="D40" s="247" t="s">
        <v>698</v>
      </c>
      <c r="E40" s="458">
        <v>4104930.0670739934</v>
      </c>
      <c r="F40" s="460"/>
    </row>
    <row r="41" spans="1:6">
      <c r="A41" s="248" t="s">
        <v>339</v>
      </c>
      <c r="B41" s="248" t="s">
        <v>356</v>
      </c>
      <c r="C41" s="248" t="s">
        <v>341</v>
      </c>
      <c r="D41" s="248" t="s">
        <v>350</v>
      </c>
      <c r="E41" s="457">
        <v>1743347.7646074248</v>
      </c>
      <c r="F41" s="460"/>
    </row>
    <row r="42" spans="1:6">
      <c r="A42" s="247" t="s">
        <v>339</v>
      </c>
      <c r="B42" s="247" t="s">
        <v>356</v>
      </c>
      <c r="C42" s="247" t="s">
        <v>341</v>
      </c>
      <c r="D42" s="247" t="s">
        <v>351</v>
      </c>
      <c r="E42" s="458">
        <v>1433502.6472418692</v>
      </c>
      <c r="F42" s="460"/>
    </row>
    <row r="43" spans="1:6">
      <c r="A43" s="248" t="s">
        <v>339</v>
      </c>
      <c r="B43" s="248" t="s">
        <v>356</v>
      </c>
      <c r="C43" s="248" t="s">
        <v>341</v>
      </c>
      <c r="D43" s="248" t="s">
        <v>352</v>
      </c>
      <c r="E43" s="457">
        <v>401671.57526454551</v>
      </c>
      <c r="F43" s="460"/>
    </row>
    <row r="44" spans="1:6">
      <c r="A44" s="247" t="s">
        <v>339</v>
      </c>
      <c r="B44" s="247" t="s">
        <v>356</v>
      </c>
      <c r="C44" s="247" t="s">
        <v>341</v>
      </c>
      <c r="D44" s="247" t="s">
        <v>353</v>
      </c>
      <c r="E44" s="458">
        <v>1044016.3311106343</v>
      </c>
      <c r="F44" s="460"/>
    </row>
    <row r="45" spans="1:6">
      <c r="A45" s="248" t="s">
        <v>339</v>
      </c>
      <c r="B45" s="248" t="s">
        <v>356</v>
      </c>
      <c r="C45" s="248" t="s">
        <v>341</v>
      </c>
      <c r="D45" s="248" t="s">
        <v>698</v>
      </c>
      <c r="E45" s="457">
        <v>1367164.2431210687</v>
      </c>
      <c r="F45" s="460"/>
    </row>
    <row r="46" spans="1:6">
      <c r="A46" s="247" t="s">
        <v>339</v>
      </c>
      <c r="B46" s="247" t="s">
        <v>356</v>
      </c>
      <c r="C46" s="247" t="s">
        <v>354</v>
      </c>
      <c r="D46" s="247" t="s">
        <v>350</v>
      </c>
      <c r="E46" s="458">
        <v>2878375.3023012332</v>
      </c>
      <c r="F46" s="460"/>
    </row>
    <row r="47" spans="1:6">
      <c r="A47" s="248" t="s">
        <v>339</v>
      </c>
      <c r="B47" s="248" t="s">
        <v>356</v>
      </c>
      <c r="C47" s="248" t="s">
        <v>354</v>
      </c>
      <c r="D47" s="248" t="s">
        <v>351</v>
      </c>
      <c r="E47" s="457">
        <v>11016675.480074918</v>
      </c>
      <c r="F47" s="460"/>
    </row>
    <row r="48" spans="1:6">
      <c r="A48" s="247" t="s">
        <v>339</v>
      </c>
      <c r="B48" s="247" t="s">
        <v>356</v>
      </c>
      <c r="C48" s="247" t="s">
        <v>354</v>
      </c>
      <c r="D48" s="247" t="s">
        <v>352</v>
      </c>
      <c r="E48" s="458">
        <v>6797011.2835840592</v>
      </c>
      <c r="F48" s="460"/>
    </row>
    <row r="49" spans="1:6">
      <c r="A49" s="248" t="s">
        <v>339</v>
      </c>
      <c r="B49" s="248" t="s">
        <v>356</v>
      </c>
      <c r="C49" s="248" t="s">
        <v>354</v>
      </c>
      <c r="D49" s="248" t="s">
        <v>353</v>
      </c>
      <c r="E49" s="457">
        <v>41634275.550283134</v>
      </c>
      <c r="F49" s="460"/>
    </row>
    <row r="50" spans="1:6">
      <c r="A50" s="247" t="s">
        <v>339</v>
      </c>
      <c r="B50" s="247" t="s">
        <v>356</v>
      </c>
      <c r="C50" s="247" t="s">
        <v>354</v>
      </c>
      <c r="D50" s="247" t="s">
        <v>698</v>
      </c>
      <c r="E50" s="458">
        <v>23097584.25143012</v>
      </c>
      <c r="F50" s="460"/>
    </row>
    <row r="51" spans="1:6">
      <c r="A51" s="248" t="s">
        <v>339</v>
      </c>
      <c r="B51" s="248" t="s">
        <v>356</v>
      </c>
      <c r="C51" s="248" t="s">
        <v>355</v>
      </c>
      <c r="D51" s="248" t="s">
        <v>350</v>
      </c>
      <c r="E51" s="457">
        <v>6416438.5345078669</v>
      </c>
      <c r="F51" s="460"/>
    </row>
    <row r="52" spans="1:6">
      <c r="A52" s="247" t="s">
        <v>339</v>
      </c>
      <c r="B52" s="247" t="s">
        <v>356</v>
      </c>
      <c r="C52" s="247" t="s">
        <v>355</v>
      </c>
      <c r="D52" s="247" t="s">
        <v>351</v>
      </c>
      <c r="E52" s="458">
        <v>8270523.3739922633</v>
      </c>
      <c r="F52" s="460"/>
    </row>
    <row r="53" spans="1:6">
      <c r="A53" s="248" t="s">
        <v>339</v>
      </c>
      <c r="B53" s="248" t="s">
        <v>356</v>
      </c>
      <c r="C53" s="248" t="s">
        <v>355</v>
      </c>
      <c r="D53" s="248" t="s">
        <v>352</v>
      </c>
      <c r="E53" s="457">
        <v>5787174.9092840683</v>
      </c>
      <c r="F53" s="460"/>
    </row>
    <row r="54" spans="1:6">
      <c r="A54" s="247" t="s">
        <v>339</v>
      </c>
      <c r="B54" s="247" t="s">
        <v>356</v>
      </c>
      <c r="C54" s="247" t="s">
        <v>355</v>
      </c>
      <c r="D54" s="247" t="s">
        <v>353</v>
      </c>
      <c r="E54" s="458">
        <v>26411257.192397609</v>
      </c>
      <c r="F54" s="460"/>
    </row>
    <row r="55" spans="1:6">
      <c r="A55" s="248" t="s">
        <v>339</v>
      </c>
      <c r="B55" s="248" t="s">
        <v>356</v>
      </c>
      <c r="C55" s="248" t="s">
        <v>355</v>
      </c>
      <c r="D55" s="248" t="s">
        <v>698</v>
      </c>
      <c r="E55" s="457">
        <v>13125082.071533725</v>
      </c>
      <c r="F55" s="460"/>
    </row>
    <row r="56" spans="1:6">
      <c r="A56" s="247" t="s">
        <v>339</v>
      </c>
      <c r="B56" s="247" t="s">
        <v>357</v>
      </c>
      <c r="C56" s="247" t="s">
        <v>341</v>
      </c>
      <c r="D56" s="247" t="s">
        <v>352</v>
      </c>
      <c r="E56" s="458">
        <v>6476301.1550448928</v>
      </c>
      <c r="F56" s="460"/>
    </row>
    <row r="57" spans="1:6">
      <c r="A57" s="248" t="s">
        <v>339</v>
      </c>
      <c r="B57" s="248" t="s">
        <v>357</v>
      </c>
      <c r="C57" s="248" t="s">
        <v>341</v>
      </c>
      <c r="D57" s="248" t="s">
        <v>353</v>
      </c>
      <c r="E57" s="457">
        <v>4641276.6941494085</v>
      </c>
      <c r="F57" s="460"/>
    </row>
    <row r="58" spans="1:6" ht="15" thickBot="1">
      <c r="A58" s="247" t="s">
        <v>339</v>
      </c>
      <c r="B58" s="247" t="s">
        <v>357</v>
      </c>
      <c r="C58" s="247" t="s">
        <v>341</v>
      </c>
      <c r="D58" s="247" t="s">
        <v>698</v>
      </c>
      <c r="E58" s="458">
        <v>8301539.2666687435</v>
      </c>
      <c r="F58" s="461"/>
    </row>
    <row r="59" spans="1:6">
      <c r="A59" s="248" t="s">
        <v>339</v>
      </c>
      <c r="B59" s="248" t="s">
        <v>357</v>
      </c>
      <c r="C59" s="248" t="s">
        <v>354</v>
      </c>
      <c r="D59" s="248" t="s">
        <v>352</v>
      </c>
      <c r="E59" s="456" t="s">
        <v>223</v>
      </c>
    </row>
    <row r="60" spans="1:6">
      <c r="A60" s="247" t="s">
        <v>339</v>
      </c>
      <c r="B60" s="247" t="s">
        <v>357</v>
      </c>
      <c r="C60" s="247" t="s">
        <v>354</v>
      </c>
      <c r="D60" s="247" t="s">
        <v>353</v>
      </c>
      <c r="E60" s="455" t="s">
        <v>223</v>
      </c>
    </row>
    <row r="61" spans="1:6">
      <c r="A61" s="248" t="s">
        <v>339</v>
      </c>
      <c r="B61" s="248" t="s">
        <v>357</v>
      </c>
      <c r="C61" s="248" t="s">
        <v>354</v>
      </c>
      <c r="D61" s="248" t="s">
        <v>698</v>
      </c>
      <c r="E61" s="456" t="s">
        <v>223</v>
      </c>
    </row>
    <row r="62" spans="1:6">
      <c r="A62" s="247" t="s">
        <v>339</v>
      </c>
      <c r="B62" s="247" t="s">
        <v>357</v>
      </c>
      <c r="C62" s="247" t="s">
        <v>355</v>
      </c>
      <c r="D62" s="247" t="s">
        <v>352</v>
      </c>
      <c r="E62" s="455" t="s">
        <v>223</v>
      </c>
    </row>
    <row r="63" spans="1:6">
      <c r="A63" s="248" t="s">
        <v>339</v>
      </c>
      <c r="B63" s="248" t="s">
        <v>357</v>
      </c>
      <c r="C63" s="248" t="s">
        <v>355</v>
      </c>
      <c r="D63" s="248" t="s">
        <v>353</v>
      </c>
      <c r="E63" s="456" t="s">
        <v>223</v>
      </c>
    </row>
    <row r="64" spans="1:6" ht="15" thickBot="1">
      <c r="A64" s="247" t="s">
        <v>339</v>
      </c>
      <c r="B64" s="247" t="s">
        <v>357</v>
      </c>
      <c r="C64" s="247" t="s">
        <v>355</v>
      </c>
      <c r="D64" s="247" t="s">
        <v>698</v>
      </c>
      <c r="E64" s="455" t="s">
        <v>223</v>
      </c>
    </row>
    <row r="65" spans="1:6" ht="15" thickBot="1">
      <c r="A65" s="248" t="s">
        <v>339</v>
      </c>
      <c r="B65" s="248" t="s">
        <v>358</v>
      </c>
      <c r="C65" s="248" t="s">
        <v>341</v>
      </c>
      <c r="D65" s="248" t="s">
        <v>359</v>
      </c>
      <c r="E65" s="457">
        <v>41305.531070905177</v>
      </c>
      <c r="F65" s="463">
        <f>SUM(E65:E94)</f>
        <v>4665257661.1078568</v>
      </c>
    </row>
    <row r="66" spans="1:6">
      <c r="A66" s="247" t="s">
        <v>339</v>
      </c>
      <c r="B66" s="247" t="s">
        <v>358</v>
      </c>
      <c r="C66" s="247" t="s">
        <v>341</v>
      </c>
      <c r="D66" s="247" t="s">
        <v>347</v>
      </c>
      <c r="E66" s="458">
        <v>48237.629174432201</v>
      </c>
      <c r="F66" s="460"/>
    </row>
    <row r="67" spans="1:6">
      <c r="A67" s="248" t="s">
        <v>339</v>
      </c>
      <c r="B67" s="248" t="s">
        <v>358</v>
      </c>
      <c r="C67" s="248" t="s">
        <v>341</v>
      </c>
      <c r="D67" s="248" t="s">
        <v>348</v>
      </c>
      <c r="E67" s="457">
        <v>223673.36361674967</v>
      </c>
      <c r="F67" s="460"/>
    </row>
    <row r="68" spans="1:6">
      <c r="A68" s="247" t="s">
        <v>339</v>
      </c>
      <c r="B68" s="247" t="s">
        <v>358</v>
      </c>
      <c r="C68" s="247" t="s">
        <v>341</v>
      </c>
      <c r="D68" s="247" t="s">
        <v>349</v>
      </c>
      <c r="E68" s="458">
        <v>9538032.1748982426</v>
      </c>
      <c r="F68" s="460"/>
    </row>
    <row r="69" spans="1:6">
      <c r="A69" s="248" t="s">
        <v>339</v>
      </c>
      <c r="B69" s="248" t="s">
        <v>358</v>
      </c>
      <c r="C69" s="248" t="s">
        <v>341</v>
      </c>
      <c r="D69" s="248" t="s">
        <v>350</v>
      </c>
      <c r="E69" s="457">
        <v>13974279.360225812</v>
      </c>
      <c r="F69" s="460"/>
    </row>
    <row r="70" spans="1:6">
      <c r="A70" s="247" t="s">
        <v>339</v>
      </c>
      <c r="B70" s="247" t="s">
        <v>358</v>
      </c>
      <c r="C70" s="247" t="s">
        <v>341</v>
      </c>
      <c r="D70" s="247" t="s">
        <v>351</v>
      </c>
      <c r="E70" s="458">
        <v>13433536.408605132</v>
      </c>
      <c r="F70" s="460"/>
    </row>
    <row r="71" spans="1:6">
      <c r="A71" s="248" t="s">
        <v>339</v>
      </c>
      <c r="B71" s="248" t="s">
        <v>358</v>
      </c>
      <c r="C71" s="248" t="s">
        <v>341</v>
      </c>
      <c r="D71" s="248" t="s">
        <v>352</v>
      </c>
      <c r="E71" s="457">
        <v>3307195.1625382709</v>
      </c>
      <c r="F71" s="460"/>
    </row>
    <row r="72" spans="1:6">
      <c r="A72" s="247" t="s">
        <v>339</v>
      </c>
      <c r="B72" s="247" t="s">
        <v>358</v>
      </c>
      <c r="C72" s="247" t="s">
        <v>341</v>
      </c>
      <c r="D72" s="247" t="s">
        <v>353</v>
      </c>
      <c r="E72" s="458">
        <v>2073262.9046756225</v>
      </c>
      <c r="F72" s="460"/>
    </row>
    <row r="73" spans="1:6">
      <c r="A73" s="248" t="s">
        <v>339</v>
      </c>
      <c r="B73" s="248" t="s">
        <v>358</v>
      </c>
      <c r="C73" s="248" t="s">
        <v>341</v>
      </c>
      <c r="D73" s="248" t="s">
        <v>698</v>
      </c>
      <c r="E73" s="457" t="s">
        <v>223</v>
      </c>
      <c r="F73" s="460"/>
    </row>
    <row r="74" spans="1:6">
      <c r="A74" s="247" t="s">
        <v>339</v>
      </c>
      <c r="B74" s="247" t="s">
        <v>358</v>
      </c>
      <c r="C74" s="247" t="s">
        <v>354</v>
      </c>
      <c r="D74" s="247" t="s">
        <v>359</v>
      </c>
      <c r="E74" s="458">
        <v>13932891.812711973</v>
      </c>
      <c r="F74" s="460"/>
    </row>
    <row r="75" spans="1:6">
      <c r="A75" s="248" t="s">
        <v>339</v>
      </c>
      <c r="B75" s="248" t="s">
        <v>358</v>
      </c>
      <c r="C75" s="248" t="s">
        <v>354</v>
      </c>
      <c r="D75" s="248" t="s">
        <v>347</v>
      </c>
      <c r="E75" s="457">
        <v>41351236.442404129</v>
      </c>
      <c r="F75" s="460"/>
    </row>
    <row r="76" spans="1:6">
      <c r="A76" s="247" t="s">
        <v>339</v>
      </c>
      <c r="B76" s="247" t="s">
        <v>358</v>
      </c>
      <c r="C76" s="247" t="s">
        <v>354</v>
      </c>
      <c r="D76" s="247" t="s">
        <v>348</v>
      </c>
      <c r="E76" s="458">
        <v>166670637.18632811</v>
      </c>
      <c r="F76" s="460"/>
    </row>
    <row r="77" spans="1:6">
      <c r="A77" s="248" t="s">
        <v>339</v>
      </c>
      <c r="B77" s="248" t="s">
        <v>358</v>
      </c>
      <c r="C77" s="248" t="s">
        <v>354</v>
      </c>
      <c r="D77" s="248" t="s">
        <v>349</v>
      </c>
      <c r="E77" s="457">
        <v>455261395.99274164</v>
      </c>
      <c r="F77" s="460"/>
    </row>
    <row r="78" spans="1:6">
      <c r="A78" s="247" t="s">
        <v>339</v>
      </c>
      <c r="B78" s="247" t="s">
        <v>358</v>
      </c>
      <c r="C78" s="247" t="s">
        <v>354</v>
      </c>
      <c r="D78" s="247" t="s">
        <v>350</v>
      </c>
      <c r="E78" s="458">
        <v>604362514.3457197</v>
      </c>
      <c r="F78" s="460"/>
    </row>
    <row r="79" spans="1:6">
      <c r="A79" s="248" t="s">
        <v>339</v>
      </c>
      <c r="B79" s="248" t="s">
        <v>358</v>
      </c>
      <c r="C79" s="248" t="s">
        <v>354</v>
      </c>
      <c r="D79" s="248" t="s">
        <v>351</v>
      </c>
      <c r="E79" s="457">
        <v>631629646.28478634</v>
      </c>
      <c r="F79" s="460"/>
    </row>
    <row r="80" spans="1:6">
      <c r="A80" s="247" t="s">
        <v>339</v>
      </c>
      <c r="B80" s="247" t="s">
        <v>358</v>
      </c>
      <c r="C80" s="247" t="s">
        <v>354</v>
      </c>
      <c r="D80" s="247" t="s">
        <v>352</v>
      </c>
      <c r="E80" s="458">
        <v>258159633.2685034</v>
      </c>
      <c r="F80" s="460"/>
    </row>
    <row r="81" spans="1:6">
      <c r="A81" s="248" t="s">
        <v>339</v>
      </c>
      <c r="B81" s="248" t="s">
        <v>358</v>
      </c>
      <c r="C81" s="248" t="s">
        <v>354</v>
      </c>
      <c r="D81" s="248" t="s">
        <v>353</v>
      </c>
      <c r="E81" s="457">
        <v>332938548.00772876</v>
      </c>
      <c r="F81" s="460"/>
    </row>
    <row r="82" spans="1:6">
      <c r="A82" s="247" t="s">
        <v>339</v>
      </c>
      <c r="B82" s="247" t="s">
        <v>358</v>
      </c>
      <c r="C82" s="247" t="s">
        <v>354</v>
      </c>
      <c r="D82" s="247" t="s">
        <v>698</v>
      </c>
      <c r="E82" s="458">
        <v>75198236.618777096</v>
      </c>
      <c r="F82" s="460"/>
    </row>
    <row r="83" spans="1:6">
      <c r="A83" s="248" t="s">
        <v>339</v>
      </c>
      <c r="B83" s="248" t="s">
        <v>358</v>
      </c>
      <c r="C83" s="248" t="s">
        <v>355</v>
      </c>
      <c r="D83" s="248" t="s">
        <v>359</v>
      </c>
      <c r="E83" s="457">
        <v>22681352.545855626</v>
      </c>
      <c r="F83" s="460"/>
    </row>
    <row r="84" spans="1:6">
      <c r="A84" s="247" t="s">
        <v>339</v>
      </c>
      <c r="B84" s="247" t="s">
        <v>358</v>
      </c>
      <c r="C84" s="247" t="s">
        <v>355</v>
      </c>
      <c r="D84" s="247" t="s">
        <v>347</v>
      </c>
      <c r="E84" s="458">
        <v>50928636.509909041</v>
      </c>
      <c r="F84" s="460"/>
    </row>
    <row r="85" spans="1:6">
      <c r="A85" s="248" t="s">
        <v>339</v>
      </c>
      <c r="B85" s="248" t="s">
        <v>358</v>
      </c>
      <c r="C85" s="248" t="s">
        <v>355</v>
      </c>
      <c r="D85" s="248" t="s">
        <v>348</v>
      </c>
      <c r="E85" s="457">
        <v>132032521.77953</v>
      </c>
      <c r="F85" s="460"/>
    </row>
    <row r="86" spans="1:6">
      <c r="A86" s="247" t="s">
        <v>339</v>
      </c>
      <c r="B86" s="247" t="s">
        <v>358</v>
      </c>
      <c r="C86" s="247" t="s">
        <v>355</v>
      </c>
      <c r="D86" s="247" t="s">
        <v>349</v>
      </c>
      <c r="E86" s="458">
        <v>515031851.86931187</v>
      </c>
      <c r="F86" s="460"/>
    </row>
    <row r="87" spans="1:6">
      <c r="A87" s="248" t="s">
        <v>339</v>
      </c>
      <c r="B87" s="248" t="s">
        <v>358</v>
      </c>
      <c r="C87" s="248" t="s">
        <v>355</v>
      </c>
      <c r="D87" s="248" t="s">
        <v>350</v>
      </c>
      <c r="E87" s="457">
        <v>646236912.31912923</v>
      </c>
      <c r="F87" s="460"/>
    </row>
    <row r="88" spans="1:6">
      <c r="A88" s="247" t="s">
        <v>339</v>
      </c>
      <c r="B88" s="247" t="s">
        <v>358</v>
      </c>
      <c r="C88" s="247" t="s">
        <v>355</v>
      </c>
      <c r="D88" s="247" t="s">
        <v>351</v>
      </c>
      <c r="E88" s="458">
        <v>453254511.72921121</v>
      </c>
      <c r="F88" s="460"/>
    </row>
    <row r="89" spans="1:6">
      <c r="A89" s="248" t="s">
        <v>339</v>
      </c>
      <c r="B89" s="248" t="s">
        <v>358</v>
      </c>
      <c r="C89" s="248" t="s">
        <v>355</v>
      </c>
      <c r="D89" s="248" t="s">
        <v>352</v>
      </c>
      <c r="E89" s="457">
        <v>108316757.35132335</v>
      </c>
      <c r="F89" s="460"/>
    </row>
    <row r="90" spans="1:6">
      <c r="A90" s="247" t="s">
        <v>339</v>
      </c>
      <c r="B90" s="247" t="s">
        <v>358</v>
      </c>
      <c r="C90" s="247" t="s">
        <v>355</v>
      </c>
      <c r="D90" s="247" t="s">
        <v>353</v>
      </c>
      <c r="E90" s="458">
        <v>91634663.26518558</v>
      </c>
      <c r="F90" s="460"/>
    </row>
    <row r="91" spans="1:6">
      <c r="A91" s="248" t="s">
        <v>339</v>
      </c>
      <c r="B91" s="248" t="s">
        <v>358</v>
      </c>
      <c r="C91" s="248" t="s">
        <v>355</v>
      </c>
      <c r="D91" s="248" t="s">
        <v>698</v>
      </c>
      <c r="E91" s="457">
        <v>10710834.843963312</v>
      </c>
      <c r="F91" s="460"/>
    </row>
    <row r="92" spans="1:6">
      <c r="A92" s="247" t="s">
        <v>339</v>
      </c>
      <c r="B92" s="247" t="s">
        <v>360</v>
      </c>
      <c r="C92" s="247" t="s">
        <v>355</v>
      </c>
      <c r="D92" s="247" t="s">
        <v>352</v>
      </c>
      <c r="E92" s="458">
        <v>2584423.9777057567</v>
      </c>
      <c r="F92" s="460"/>
    </row>
    <row r="93" spans="1:6">
      <c r="A93" s="248" t="s">
        <v>339</v>
      </c>
      <c r="B93" s="248" t="s">
        <v>360</v>
      </c>
      <c r="C93" s="248" t="s">
        <v>355</v>
      </c>
      <c r="D93" s="248" t="s">
        <v>353</v>
      </c>
      <c r="E93" s="457">
        <v>5556734.470196249</v>
      </c>
      <c r="F93" s="460"/>
    </row>
    <row r="94" spans="1:6" ht="15" thickBot="1">
      <c r="A94" s="247" t="s">
        <v>339</v>
      </c>
      <c r="B94" s="247" t="s">
        <v>360</v>
      </c>
      <c r="C94" s="247" t="s">
        <v>355</v>
      </c>
      <c r="D94" s="247" t="s">
        <v>698</v>
      </c>
      <c r="E94" s="458">
        <v>4144197.9520296296</v>
      </c>
      <c r="F94" s="461"/>
    </row>
    <row r="95" spans="1:6">
      <c r="A95" s="248" t="s">
        <v>339</v>
      </c>
      <c r="B95" s="248" t="s">
        <v>361</v>
      </c>
      <c r="C95" s="248" t="s">
        <v>341</v>
      </c>
      <c r="D95" s="248" t="s">
        <v>359</v>
      </c>
      <c r="E95" s="456">
        <v>59149.098541916843</v>
      </c>
    </row>
    <row r="96" spans="1:6">
      <c r="A96" s="247" t="s">
        <v>339</v>
      </c>
      <c r="B96" s="247" t="s">
        <v>361</v>
      </c>
      <c r="C96" s="247" t="s">
        <v>341</v>
      </c>
      <c r="D96" s="247" t="s">
        <v>347</v>
      </c>
      <c r="E96" s="455">
        <v>228005.33972874138</v>
      </c>
    </row>
    <row r="97" spans="1:9">
      <c r="A97" s="248" t="s">
        <v>339</v>
      </c>
      <c r="B97" s="248" t="s">
        <v>361</v>
      </c>
      <c r="C97" s="248" t="s">
        <v>341</v>
      </c>
      <c r="D97" s="248" t="s">
        <v>348</v>
      </c>
      <c r="E97" s="456">
        <v>419794.40467599605</v>
      </c>
    </row>
    <row r="98" spans="1:9">
      <c r="A98" s="247" t="s">
        <v>339</v>
      </c>
      <c r="B98" s="247" t="s">
        <v>361</v>
      </c>
      <c r="C98" s="247" t="s">
        <v>341</v>
      </c>
      <c r="D98" s="247" t="s">
        <v>349</v>
      </c>
      <c r="E98" s="455">
        <v>1991632.4400986151</v>
      </c>
    </row>
    <row r="99" spans="1:9">
      <c r="A99" s="248" t="s">
        <v>339</v>
      </c>
      <c r="B99" s="248" t="s">
        <v>361</v>
      </c>
      <c r="C99" s="248" t="s">
        <v>341</v>
      </c>
      <c r="D99" s="248" t="s">
        <v>350</v>
      </c>
      <c r="E99" s="456">
        <v>3014534.9710967173</v>
      </c>
    </row>
    <row r="100" spans="1:9">
      <c r="A100" s="247" t="s">
        <v>339</v>
      </c>
      <c r="B100" s="247" t="s">
        <v>361</v>
      </c>
      <c r="C100" s="247" t="s">
        <v>341</v>
      </c>
      <c r="D100" s="247" t="s">
        <v>351</v>
      </c>
      <c r="E100" s="455">
        <v>6376412.1134428149</v>
      </c>
    </row>
    <row r="101" spans="1:9">
      <c r="A101" s="248" t="s">
        <v>339</v>
      </c>
      <c r="B101" s="248" t="s">
        <v>361</v>
      </c>
      <c r="C101" s="248" t="s">
        <v>341</v>
      </c>
      <c r="D101" s="248" t="s">
        <v>352</v>
      </c>
      <c r="E101" s="456">
        <v>3119005.925445538</v>
      </c>
    </row>
    <row r="102" spans="1:9">
      <c r="A102" s="247" t="s">
        <v>339</v>
      </c>
      <c r="B102" s="247" t="s">
        <v>361</v>
      </c>
      <c r="C102" s="247" t="s">
        <v>341</v>
      </c>
      <c r="D102" s="247" t="s">
        <v>353</v>
      </c>
      <c r="E102" s="455">
        <v>12706693.286944341</v>
      </c>
    </row>
    <row r="103" spans="1:9">
      <c r="A103" s="248" t="s">
        <v>339</v>
      </c>
      <c r="B103" s="248" t="s">
        <v>361</v>
      </c>
      <c r="C103" s="248" t="s">
        <v>341</v>
      </c>
      <c r="D103" s="248" t="s">
        <v>698</v>
      </c>
      <c r="E103" s="456">
        <v>5271709.1253425675</v>
      </c>
    </row>
    <row r="104" spans="1:9">
      <c r="A104" s="247" t="s">
        <v>339</v>
      </c>
      <c r="B104" s="247" t="s">
        <v>361</v>
      </c>
      <c r="C104" s="247" t="s">
        <v>354</v>
      </c>
      <c r="D104" s="247" t="s">
        <v>359</v>
      </c>
      <c r="E104" s="455">
        <v>575808.16080028366</v>
      </c>
    </row>
    <row r="105" spans="1:9">
      <c r="A105" s="248" t="s">
        <v>339</v>
      </c>
      <c r="B105" s="248" t="s">
        <v>361</v>
      </c>
      <c r="C105" s="248" t="s">
        <v>354</v>
      </c>
      <c r="D105" s="248" t="s">
        <v>347</v>
      </c>
      <c r="E105" s="456">
        <v>1756154.7115571143</v>
      </c>
    </row>
    <row r="106" spans="1:9">
      <c r="A106" s="247" t="s">
        <v>339</v>
      </c>
      <c r="B106" s="247" t="s">
        <v>361</v>
      </c>
      <c r="C106" s="247" t="s">
        <v>354</v>
      </c>
      <c r="D106" s="247" t="s">
        <v>348</v>
      </c>
      <c r="E106" s="455">
        <v>2823344.209522971</v>
      </c>
      <c r="F106" s="271"/>
      <c r="G106" s="271"/>
      <c r="H106" s="271"/>
      <c r="I106" s="437"/>
    </row>
    <row r="107" spans="1:9">
      <c r="A107" s="248" t="s">
        <v>339</v>
      </c>
      <c r="B107" s="248" t="s">
        <v>361</v>
      </c>
      <c r="C107" s="248" t="s">
        <v>354</v>
      </c>
      <c r="D107" s="248" t="s">
        <v>349</v>
      </c>
      <c r="E107" s="456">
        <v>7628787.8162414161</v>
      </c>
      <c r="F107" s="271"/>
      <c r="G107" s="271"/>
      <c r="H107" s="271"/>
      <c r="I107" s="271"/>
    </row>
    <row r="108" spans="1:9">
      <c r="A108" s="247" t="s">
        <v>339</v>
      </c>
      <c r="B108" s="247" t="s">
        <v>361</v>
      </c>
      <c r="C108" s="247" t="s">
        <v>354</v>
      </c>
      <c r="D108" s="247" t="s">
        <v>350</v>
      </c>
      <c r="E108" s="455">
        <v>16252161.638107747</v>
      </c>
      <c r="F108" s="271"/>
      <c r="G108" s="271"/>
      <c r="H108" s="271"/>
      <c r="I108" s="271"/>
    </row>
    <row r="109" spans="1:9">
      <c r="A109" s="248" t="s">
        <v>339</v>
      </c>
      <c r="B109" s="248" t="s">
        <v>361</v>
      </c>
      <c r="C109" s="248" t="s">
        <v>354</v>
      </c>
      <c r="D109" s="248" t="s">
        <v>351</v>
      </c>
      <c r="E109" s="456">
        <v>19294884.341721158</v>
      </c>
      <c r="F109" s="271"/>
      <c r="G109" s="271"/>
      <c r="H109" s="271"/>
      <c r="I109" s="271"/>
    </row>
    <row r="110" spans="1:9">
      <c r="A110" s="247" t="s">
        <v>339</v>
      </c>
      <c r="B110" s="247" t="s">
        <v>361</v>
      </c>
      <c r="C110" s="247" t="s">
        <v>354</v>
      </c>
      <c r="D110" s="247" t="s">
        <v>352</v>
      </c>
      <c r="E110" s="455">
        <v>4709550.5108270822</v>
      </c>
      <c r="F110" s="271"/>
      <c r="G110" s="271"/>
      <c r="H110" s="271"/>
      <c r="I110" s="271"/>
    </row>
    <row r="111" spans="1:9">
      <c r="A111" s="248" t="s">
        <v>339</v>
      </c>
      <c r="B111" s="248" t="s">
        <v>361</v>
      </c>
      <c r="C111" s="248" t="s">
        <v>354</v>
      </c>
      <c r="D111" s="248" t="s">
        <v>353</v>
      </c>
      <c r="E111" s="456">
        <v>17398012.658951849</v>
      </c>
      <c r="F111" s="271"/>
      <c r="G111" s="271"/>
      <c r="H111" s="271"/>
      <c r="I111" s="271"/>
    </row>
    <row r="112" spans="1:9">
      <c r="A112" s="247" t="s">
        <v>339</v>
      </c>
      <c r="B112" s="247" t="s">
        <v>361</v>
      </c>
      <c r="C112" s="247" t="s">
        <v>354</v>
      </c>
      <c r="D112" s="247" t="s">
        <v>698</v>
      </c>
      <c r="E112" s="455">
        <v>144678.33707292698</v>
      </c>
      <c r="F112" s="271"/>
      <c r="G112" s="271"/>
      <c r="H112" s="271"/>
      <c r="I112" s="271"/>
    </row>
    <row r="113" spans="1:9">
      <c r="A113" s="248" t="s">
        <v>339</v>
      </c>
      <c r="B113" s="248" t="s">
        <v>361</v>
      </c>
      <c r="C113" s="248" t="s">
        <v>355</v>
      </c>
      <c r="D113" s="248" t="s">
        <v>359</v>
      </c>
      <c r="E113" s="456">
        <v>654414.23378253367</v>
      </c>
      <c r="F113" s="271"/>
      <c r="G113" s="271"/>
      <c r="H113" s="271"/>
      <c r="I113" s="271"/>
    </row>
    <row r="114" spans="1:9">
      <c r="A114" s="247" t="s">
        <v>339</v>
      </c>
      <c r="B114" s="247" t="s">
        <v>361</v>
      </c>
      <c r="C114" s="247" t="s">
        <v>355</v>
      </c>
      <c r="D114" s="247" t="s">
        <v>347</v>
      </c>
      <c r="E114" s="458">
        <v>1740575.6436343517</v>
      </c>
      <c r="F114" s="271"/>
      <c r="G114" s="271"/>
      <c r="H114" s="271"/>
      <c r="I114" s="271"/>
    </row>
    <row r="115" spans="1:9">
      <c r="A115" s="248" t="s">
        <v>339</v>
      </c>
      <c r="B115" s="248" t="s">
        <v>361</v>
      </c>
      <c r="C115" s="248" t="s">
        <v>355</v>
      </c>
      <c r="D115" s="248" t="s">
        <v>348</v>
      </c>
      <c r="E115" s="457">
        <v>7343644.7476304807</v>
      </c>
      <c r="F115" s="271"/>
      <c r="G115" s="271"/>
      <c r="H115" s="271"/>
      <c r="I115" s="271"/>
    </row>
    <row r="116" spans="1:9">
      <c r="A116" s="247" t="s">
        <v>339</v>
      </c>
      <c r="B116" s="247" t="s">
        <v>361</v>
      </c>
      <c r="C116" s="247" t="s">
        <v>355</v>
      </c>
      <c r="D116" s="247" t="s">
        <v>349</v>
      </c>
      <c r="E116" s="458">
        <v>21766167.127399039</v>
      </c>
      <c r="F116" s="271"/>
      <c r="G116" s="271"/>
      <c r="H116" s="271"/>
      <c r="I116" s="271"/>
    </row>
    <row r="117" spans="1:9">
      <c r="A117" s="248" t="s">
        <v>339</v>
      </c>
      <c r="B117" s="248" t="s">
        <v>361</v>
      </c>
      <c r="C117" s="248" t="s">
        <v>355</v>
      </c>
      <c r="D117" s="248" t="s">
        <v>350</v>
      </c>
      <c r="E117" s="457">
        <v>18236120.459910206</v>
      </c>
      <c r="F117" s="271"/>
      <c r="G117" s="271"/>
      <c r="H117" s="271"/>
      <c r="I117" s="271"/>
    </row>
    <row r="118" spans="1:9">
      <c r="A118" s="247" t="s">
        <v>339</v>
      </c>
      <c r="B118" s="247" t="s">
        <v>361</v>
      </c>
      <c r="C118" s="247" t="s">
        <v>355</v>
      </c>
      <c r="D118" s="247" t="s">
        <v>351</v>
      </c>
      <c r="E118" s="458">
        <v>10701523.488082273</v>
      </c>
    </row>
    <row r="119" spans="1:9">
      <c r="A119" s="248" t="s">
        <v>339</v>
      </c>
      <c r="B119" s="248" t="s">
        <v>361</v>
      </c>
      <c r="C119" s="248" t="s">
        <v>355</v>
      </c>
      <c r="D119" s="248" t="s">
        <v>352</v>
      </c>
      <c r="E119" s="457">
        <v>2426019.0932514807</v>
      </c>
      <c r="F119" s="462"/>
    </row>
    <row r="120" spans="1:9">
      <c r="A120" s="247" t="s">
        <v>339</v>
      </c>
      <c r="B120" s="247" t="s">
        <v>361</v>
      </c>
      <c r="C120" s="247" t="s">
        <v>355</v>
      </c>
      <c r="D120" s="247" t="s">
        <v>353</v>
      </c>
      <c r="E120" s="458">
        <v>1164415.5549376509</v>
      </c>
    </row>
    <row r="121" spans="1:9">
      <c r="A121" s="248" t="s">
        <v>339</v>
      </c>
      <c r="B121" s="248" t="s">
        <v>361</v>
      </c>
      <c r="C121" s="248" t="s">
        <v>355</v>
      </c>
      <c r="D121" s="248" t="s">
        <v>698</v>
      </c>
      <c r="E121" s="457">
        <v>92377.18047508155</v>
      </c>
    </row>
    <row r="122" spans="1:9">
      <c r="A122" s="247" t="s">
        <v>339</v>
      </c>
      <c r="B122" s="247" t="s">
        <v>362</v>
      </c>
      <c r="C122" s="247" t="s">
        <v>341</v>
      </c>
      <c r="D122" s="247" t="s">
        <v>350</v>
      </c>
      <c r="E122" s="458">
        <v>2452932.6406028913</v>
      </c>
    </row>
    <row r="123" spans="1:9">
      <c r="A123" s="248" t="s">
        <v>339</v>
      </c>
      <c r="B123" s="248" t="s">
        <v>362</v>
      </c>
      <c r="C123" s="248" t="s">
        <v>341</v>
      </c>
      <c r="D123" s="248" t="s">
        <v>351</v>
      </c>
      <c r="E123" s="457">
        <v>21335137.243449464</v>
      </c>
    </row>
    <row r="124" spans="1:9">
      <c r="A124" s="247" t="s">
        <v>339</v>
      </c>
      <c r="B124" s="247" t="s">
        <v>362</v>
      </c>
      <c r="C124" s="247" t="s">
        <v>341</v>
      </c>
      <c r="D124" s="247" t="s">
        <v>352</v>
      </c>
      <c r="E124" s="458">
        <v>5613701.4538592836</v>
      </c>
    </row>
    <row r="125" spans="1:9">
      <c r="A125" s="248" t="s">
        <v>339</v>
      </c>
      <c r="B125" s="248" t="s">
        <v>362</v>
      </c>
      <c r="C125" s="248" t="s">
        <v>341</v>
      </c>
      <c r="D125" s="248" t="s">
        <v>353</v>
      </c>
      <c r="E125" s="457">
        <v>16719975.532658022</v>
      </c>
    </row>
    <row r="126" spans="1:9">
      <c r="A126" s="247" t="s">
        <v>339</v>
      </c>
      <c r="B126" s="247" t="s">
        <v>362</v>
      </c>
      <c r="C126" s="247" t="s">
        <v>341</v>
      </c>
      <c r="D126" s="247" t="s">
        <v>698</v>
      </c>
      <c r="E126" s="458">
        <v>6478548.5112139322</v>
      </c>
    </row>
    <row r="127" spans="1:9">
      <c r="A127" s="248" t="s">
        <v>339</v>
      </c>
      <c r="B127" s="248" t="s">
        <v>362</v>
      </c>
      <c r="C127" s="248" t="s">
        <v>354</v>
      </c>
      <c r="D127" s="248" t="s">
        <v>350</v>
      </c>
      <c r="E127" s="457">
        <v>6597743.0295581194</v>
      </c>
    </row>
    <row r="128" spans="1:9">
      <c r="A128" s="247" t="s">
        <v>339</v>
      </c>
      <c r="B128" s="247" t="s">
        <v>362</v>
      </c>
      <c r="C128" s="247" t="s">
        <v>354</v>
      </c>
      <c r="D128" s="247" t="s">
        <v>351</v>
      </c>
      <c r="E128" s="458">
        <v>5222610.3431158271</v>
      </c>
    </row>
    <row r="129" spans="1:6">
      <c r="A129" s="248" t="s">
        <v>339</v>
      </c>
      <c r="B129" s="248" t="s">
        <v>362</v>
      </c>
      <c r="C129" s="248" t="s">
        <v>354</v>
      </c>
      <c r="D129" s="248" t="s">
        <v>352</v>
      </c>
      <c r="E129" s="457">
        <v>4750131.4714417346</v>
      </c>
    </row>
    <row r="130" spans="1:6">
      <c r="A130" s="247" t="s">
        <v>339</v>
      </c>
      <c r="B130" s="247" t="s">
        <v>362</v>
      </c>
      <c r="C130" s="247" t="s">
        <v>354</v>
      </c>
      <c r="D130" s="247" t="s">
        <v>353</v>
      </c>
      <c r="E130" s="458">
        <v>18153672.622084782</v>
      </c>
    </row>
    <row r="131" spans="1:6">
      <c r="A131" s="248" t="s">
        <v>339</v>
      </c>
      <c r="B131" s="248" t="s">
        <v>362</v>
      </c>
      <c r="C131" s="248" t="s">
        <v>354</v>
      </c>
      <c r="D131" s="248" t="s">
        <v>698</v>
      </c>
      <c r="E131" s="457">
        <v>14623759.249630738</v>
      </c>
    </row>
    <row r="132" spans="1:6">
      <c r="A132" s="247" t="s">
        <v>339</v>
      </c>
      <c r="B132" s="247" t="s">
        <v>362</v>
      </c>
      <c r="C132" s="247" t="s">
        <v>355</v>
      </c>
      <c r="D132" s="247" t="s">
        <v>350</v>
      </c>
      <c r="E132" s="458">
        <v>4333493.4464438716</v>
      </c>
    </row>
    <row r="133" spans="1:6">
      <c r="A133" s="248" t="s">
        <v>339</v>
      </c>
      <c r="B133" s="248" t="s">
        <v>362</v>
      </c>
      <c r="C133" s="248" t="s">
        <v>355</v>
      </c>
      <c r="D133" s="248" t="s">
        <v>351</v>
      </c>
      <c r="E133" s="457">
        <v>3059900.6721398169</v>
      </c>
    </row>
    <row r="134" spans="1:6">
      <c r="A134" s="247" t="s">
        <v>339</v>
      </c>
      <c r="B134" s="247" t="s">
        <v>362</v>
      </c>
      <c r="C134" s="247" t="s">
        <v>355</v>
      </c>
      <c r="D134" s="247" t="s">
        <v>352</v>
      </c>
      <c r="E134" s="458">
        <v>390887.58962038893</v>
      </c>
    </row>
    <row r="135" spans="1:6">
      <c r="A135" s="248" t="s">
        <v>339</v>
      </c>
      <c r="B135" s="248" t="s">
        <v>362</v>
      </c>
      <c r="C135" s="248" t="s">
        <v>355</v>
      </c>
      <c r="D135" s="248" t="s">
        <v>353</v>
      </c>
      <c r="E135" s="457">
        <v>729638.10640299681</v>
      </c>
    </row>
    <row r="136" spans="1:6" ht="15" thickBot="1">
      <c r="A136" s="247" t="s">
        <v>339</v>
      </c>
      <c r="B136" s="247" t="s">
        <v>362</v>
      </c>
      <c r="C136" s="247" t="s">
        <v>355</v>
      </c>
      <c r="D136" s="247" t="s">
        <v>698</v>
      </c>
      <c r="E136" s="458">
        <v>0</v>
      </c>
    </row>
    <row r="137" spans="1:6" ht="15" thickBot="1">
      <c r="A137" s="248" t="s">
        <v>269</v>
      </c>
      <c r="B137" s="248" t="s">
        <v>340</v>
      </c>
      <c r="C137" s="248" t="s">
        <v>363</v>
      </c>
      <c r="D137" s="248" t="s">
        <v>359</v>
      </c>
      <c r="E137" s="457" t="s">
        <v>223</v>
      </c>
      <c r="F137" s="466">
        <f>SUM(E137:E163)</f>
        <v>92087624.58257401</v>
      </c>
    </row>
    <row r="138" spans="1:6">
      <c r="A138" s="247" t="s">
        <v>269</v>
      </c>
      <c r="B138" s="247" t="s">
        <v>340</v>
      </c>
      <c r="C138" s="247" t="s">
        <v>363</v>
      </c>
      <c r="D138" s="247" t="s">
        <v>347</v>
      </c>
      <c r="E138" s="458">
        <v>5981.5630250341674</v>
      </c>
      <c r="F138" s="460"/>
    </row>
    <row r="139" spans="1:6">
      <c r="A139" s="248" t="s">
        <v>269</v>
      </c>
      <c r="B139" s="248" t="s">
        <v>340</v>
      </c>
      <c r="C139" s="248" t="s">
        <v>363</v>
      </c>
      <c r="D139" s="248" t="s">
        <v>348</v>
      </c>
      <c r="E139" s="457" t="s">
        <v>223</v>
      </c>
      <c r="F139" s="460"/>
    </row>
    <row r="140" spans="1:6">
      <c r="A140" s="247" t="s">
        <v>269</v>
      </c>
      <c r="B140" s="247" t="s">
        <v>340</v>
      </c>
      <c r="C140" s="247" t="s">
        <v>363</v>
      </c>
      <c r="D140" s="247" t="s">
        <v>349</v>
      </c>
      <c r="E140" s="458" t="s">
        <v>223</v>
      </c>
      <c r="F140" s="460"/>
    </row>
    <row r="141" spans="1:6">
      <c r="A141" s="248" t="s">
        <v>269</v>
      </c>
      <c r="B141" s="248" t="s">
        <v>340</v>
      </c>
      <c r="C141" s="248" t="s">
        <v>363</v>
      </c>
      <c r="D141" s="248" t="s">
        <v>350</v>
      </c>
      <c r="E141" s="457">
        <v>0</v>
      </c>
      <c r="F141" s="460"/>
    </row>
    <row r="142" spans="1:6">
      <c r="A142" s="247" t="s">
        <v>269</v>
      </c>
      <c r="B142" s="247" t="s">
        <v>340</v>
      </c>
      <c r="C142" s="247" t="s">
        <v>363</v>
      </c>
      <c r="D142" s="247" t="s">
        <v>351</v>
      </c>
      <c r="E142" s="458">
        <v>0</v>
      </c>
      <c r="F142" s="465"/>
    </row>
    <row r="143" spans="1:6">
      <c r="A143" s="248" t="s">
        <v>269</v>
      </c>
      <c r="B143" s="248" t="s">
        <v>340</v>
      </c>
      <c r="C143" s="248" t="s">
        <v>363</v>
      </c>
      <c r="D143" s="248" t="s">
        <v>352</v>
      </c>
      <c r="E143" s="457" t="s">
        <v>223</v>
      </c>
      <c r="F143" s="460"/>
    </row>
    <row r="144" spans="1:6">
      <c r="A144" s="247" t="s">
        <v>269</v>
      </c>
      <c r="B144" s="247" t="s">
        <v>340</v>
      </c>
      <c r="C144" s="247" t="s">
        <v>363</v>
      </c>
      <c r="D144" s="247" t="s">
        <v>353</v>
      </c>
      <c r="E144" s="458" t="s">
        <v>223</v>
      </c>
      <c r="F144" s="460"/>
    </row>
    <row r="145" spans="1:6">
      <c r="A145" s="248" t="s">
        <v>269</v>
      </c>
      <c r="B145" s="248" t="s">
        <v>340</v>
      </c>
      <c r="C145" s="248" t="s">
        <v>363</v>
      </c>
      <c r="D145" s="248" t="s">
        <v>698</v>
      </c>
      <c r="E145" s="457" t="s">
        <v>223</v>
      </c>
      <c r="F145" s="460"/>
    </row>
    <row r="146" spans="1:6">
      <c r="A146" s="247" t="s">
        <v>269</v>
      </c>
      <c r="B146" s="247" t="s">
        <v>340</v>
      </c>
      <c r="C146" s="247" t="s">
        <v>364</v>
      </c>
      <c r="D146" s="247" t="s">
        <v>359</v>
      </c>
      <c r="E146" s="458">
        <v>63108.695958610871</v>
      </c>
      <c r="F146" s="460"/>
    </row>
    <row r="147" spans="1:6">
      <c r="A147" s="248" t="s">
        <v>269</v>
      </c>
      <c r="B147" s="248" t="s">
        <v>340</v>
      </c>
      <c r="C147" s="248" t="s">
        <v>364</v>
      </c>
      <c r="D147" s="248" t="s">
        <v>347</v>
      </c>
      <c r="E147" s="457">
        <v>265107.81973817205</v>
      </c>
      <c r="F147" s="460"/>
    </row>
    <row r="148" spans="1:6">
      <c r="A148" s="247" t="s">
        <v>269</v>
      </c>
      <c r="B148" s="247" t="s">
        <v>340</v>
      </c>
      <c r="C148" s="247" t="s">
        <v>364</v>
      </c>
      <c r="D148" s="247" t="s">
        <v>348</v>
      </c>
      <c r="E148" s="458">
        <v>2335191.212820766</v>
      </c>
      <c r="F148" s="460"/>
    </row>
    <row r="149" spans="1:6">
      <c r="A149" s="248" t="s">
        <v>269</v>
      </c>
      <c r="B149" s="248" t="s">
        <v>340</v>
      </c>
      <c r="C149" s="248" t="s">
        <v>364</v>
      </c>
      <c r="D149" s="248" t="s">
        <v>349</v>
      </c>
      <c r="E149" s="457">
        <v>5948485.1632308308</v>
      </c>
      <c r="F149" s="460"/>
    </row>
    <row r="150" spans="1:6">
      <c r="A150" s="247" t="s">
        <v>269</v>
      </c>
      <c r="B150" s="247" t="s">
        <v>340</v>
      </c>
      <c r="C150" s="247" t="s">
        <v>364</v>
      </c>
      <c r="D150" s="247" t="s">
        <v>350</v>
      </c>
      <c r="E150" s="458">
        <v>10490331.590208555</v>
      </c>
      <c r="F150" s="460"/>
    </row>
    <row r="151" spans="1:6">
      <c r="A151" s="248" t="s">
        <v>269</v>
      </c>
      <c r="B151" s="248" t="s">
        <v>340</v>
      </c>
      <c r="C151" s="248" t="s">
        <v>364</v>
      </c>
      <c r="D151" s="248" t="s">
        <v>351</v>
      </c>
      <c r="E151" s="457">
        <v>5945403.1218132423</v>
      </c>
      <c r="F151" s="460"/>
    </row>
    <row r="152" spans="1:6">
      <c r="A152" s="247" t="s">
        <v>269</v>
      </c>
      <c r="B152" s="247" t="s">
        <v>340</v>
      </c>
      <c r="C152" s="247" t="s">
        <v>364</v>
      </c>
      <c r="D152" s="247" t="s">
        <v>352</v>
      </c>
      <c r="E152" s="458">
        <v>1507299.5021171847</v>
      </c>
      <c r="F152" s="460"/>
    </row>
    <row r="153" spans="1:6">
      <c r="A153" s="248" t="s">
        <v>269</v>
      </c>
      <c r="B153" s="248" t="s">
        <v>340</v>
      </c>
      <c r="C153" s="248" t="s">
        <v>364</v>
      </c>
      <c r="D153" s="248" t="s">
        <v>353</v>
      </c>
      <c r="E153" s="457">
        <v>1711529.3338083797</v>
      </c>
      <c r="F153" s="460"/>
    </row>
    <row r="154" spans="1:6">
      <c r="A154" s="247" t="s">
        <v>269</v>
      </c>
      <c r="B154" s="247" t="s">
        <v>340</v>
      </c>
      <c r="C154" s="247" t="s">
        <v>364</v>
      </c>
      <c r="D154" s="247" t="s">
        <v>698</v>
      </c>
      <c r="E154" s="458" t="s">
        <v>223</v>
      </c>
      <c r="F154" s="460"/>
    </row>
    <row r="155" spans="1:6">
      <c r="A155" s="248" t="s">
        <v>269</v>
      </c>
      <c r="B155" s="248" t="s">
        <v>340</v>
      </c>
      <c r="C155" s="248" t="s">
        <v>365</v>
      </c>
      <c r="D155" s="248" t="s">
        <v>359</v>
      </c>
      <c r="E155" s="457">
        <v>965810.21893084864</v>
      </c>
      <c r="F155" s="460"/>
    </row>
    <row r="156" spans="1:6">
      <c r="A156" s="247" t="s">
        <v>269</v>
      </c>
      <c r="B156" s="247" t="s">
        <v>340</v>
      </c>
      <c r="C156" s="247" t="s">
        <v>365</v>
      </c>
      <c r="D156" s="247" t="s">
        <v>347</v>
      </c>
      <c r="E156" s="458">
        <v>1257625.152701291</v>
      </c>
      <c r="F156" s="460"/>
    </row>
    <row r="157" spans="1:6">
      <c r="A157" s="248" t="s">
        <v>269</v>
      </c>
      <c r="B157" s="248" t="s">
        <v>340</v>
      </c>
      <c r="C157" s="248" t="s">
        <v>365</v>
      </c>
      <c r="D157" s="248" t="s">
        <v>348</v>
      </c>
      <c r="E157" s="457">
        <v>1591408.7356698418</v>
      </c>
      <c r="F157" s="460"/>
    </row>
    <row r="158" spans="1:6">
      <c r="A158" s="247" t="s">
        <v>269</v>
      </c>
      <c r="B158" s="247" t="s">
        <v>340</v>
      </c>
      <c r="C158" s="247" t="s">
        <v>365</v>
      </c>
      <c r="D158" s="247" t="s">
        <v>349</v>
      </c>
      <c r="E158" s="458">
        <v>6754641.942435394</v>
      </c>
      <c r="F158" s="460"/>
    </row>
    <row r="159" spans="1:6">
      <c r="A159" s="248" t="s">
        <v>269</v>
      </c>
      <c r="B159" s="248" t="s">
        <v>340</v>
      </c>
      <c r="C159" s="248" t="s">
        <v>365</v>
      </c>
      <c r="D159" s="248" t="s">
        <v>350</v>
      </c>
      <c r="E159" s="457">
        <v>10576229.128173983</v>
      </c>
      <c r="F159" s="460"/>
    </row>
    <row r="160" spans="1:6">
      <c r="A160" s="247" t="s">
        <v>269</v>
      </c>
      <c r="B160" s="247" t="s">
        <v>340</v>
      </c>
      <c r="C160" s="247" t="s">
        <v>365</v>
      </c>
      <c r="D160" s="247" t="s">
        <v>351</v>
      </c>
      <c r="E160" s="458">
        <v>18398947.945609618</v>
      </c>
      <c r="F160" s="460"/>
    </row>
    <row r="161" spans="1:6">
      <c r="A161" s="248" t="s">
        <v>269</v>
      </c>
      <c r="B161" s="248" t="s">
        <v>340</v>
      </c>
      <c r="C161" s="248" t="s">
        <v>365</v>
      </c>
      <c r="D161" s="248" t="s">
        <v>352</v>
      </c>
      <c r="E161" s="457">
        <v>13201378.453665785</v>
      </c>
      <c r="F161" s="460"/>
    </row>
    <row r="162" spans="1:6">
      <c r="A162" s="247" t="s">
        <v>269</v>
      </c>
      <c r="B162" s="247" t="s">
        <v>340</v>
      </c>
      <c r="C162" s="247" t="s">
        <v>365</v>
      </c>
      <c r="D162" s="247" t="s">
        <v>353</v>
      </c>
      <c r="E162" s="458">
        <v>11069145.002666477</v>
      </c>
      <c r="F162" s="460"/>
    </row>
    <row r="163" spans="1:6" ht="15" thickBot="1">
      <c r="A163" s="248" t="s">
        <v>269</v>
      </c>
      <c r="B163" s="248" t="s">
        <v>340</v>
      </c>
      <c r="C163" s="248" t="s">
        <v>365</v>
      </c>
      <c r="D163" s="248" t="s">
        <v>698</v>
      </c>
      <c r="E163" s="457" t="s">
        <v>223</v>
      </c>
      <c r="F163" s="461"/>
    </row>
    <row r="164" spans="1:6" ht="15" thickBot="1">
      <c r="A164" s="247" t="s">
        <v>269</v>
      </c>
      <c r="B164" s="247" t="s">
        <v>358</v>
      </c>
      <c r="C164" s="247" t="s">
        <v>363</v>
      </c>
      <c r="D164" s="247" t="s">
        <v>359</v>
      </c>
      <c r="E164" s="458" t="s">
        <v>223</v>
      </c>
      <c r="F164" s="466">
        <f>SUM(E164:E190)</f>
        <v>1160047494.3185086</v>
      </c>
    </row>
    <row r="165" spans="1:6">
      <c r="A165" s="248" t="s">
        <v>269</v>
      </c>
      <c r="B165" s="248" t="s">
        <v>358</v>
      </c>
      <c r="C165" s="248" t="s">
        <v>363</v>
      </c>
      <c r="D165" s="248" t="s">
        <v>347</v>
      </c>
      <c r="E165" s="457" t="s">
        <v>223</v>
      </c>
      <c r="F165" s="460"/>
    </row>
    <row r="166" spans="1:6">
      <c r="A166" s="247" t="s">
        <v>269</v>
      </c>
      <c r="B166" s="247" t="s">
        <v>358</v>
      </c>
      <c r="C166" s="247" t="s">
        <v>363</v>
      </c>
      <c r="D166" s="247" t="s">
        <v>348</v>
      </c>
      <c r="E166" s="458" t="s">
        <v>223</v>
      </c>
      <c r="F166" s="460"/>
    </row>
    <row r="167" spans="1:6">
      <c r="A167" s="248" t="s">
        <v>269</v>
      </c>
      <c r="B167" s="248" t="s">
        <v>358</v>
      </c>
      <c r="C167" s="248" t="s">
        <v>363</v>
      </c>
      <c r="D167" s="248" t="s">
        <v>349</v>
      </c>
      <c r="E167" s="457" t="s">
        <v>223</v>
      </c>
      <c r="F167" s="465"/>
    </row>
    <row r="168" spans="1:6">
      <c r="A168" s="247" t="s">
        <v>269</v>
      </c>
      <c r="B168" s="247" t="s">
        <v>358</v>
      </c>
      <c r="C168" s="247" t="s">
        <v>363</v>
      </c>
      <c r="D168" s="247" t="s">
        <v>350</v>
      </c>
      <c r="E168" s="458" t="s">
        <v>223</v>
      </c>
      <c r="F168" s="460"/>
    </row>
    <row r="169" spans="1:6">
      <c r="A169" s="248" t="s">
        <v>269</v>
      </c>
      <c r="B169" s="248" t="s">
        <v>358</v>
      </c>
      <c r="C169" s="248" t="s">
        <v>363</v>
      </c>
      <c r="D169" s="248" t="s">
        <v>351</v>
      </c>
      <c r="E169" s="457" t="s">
        <v>223</v>
      </c>
      <c r="F169" s="460"/>
    </row>
    <row r="170" spans="1:6">
      <c r="A170" s="247" t="s">
        <v>269</v>
      </c>
      <c r="B170" s="247" t="s">
        <v>358</v>
      </c>
      <c r="C170" s="247" t="s">
        <v>363</v>
      </c>
      <c r="D170" s="247" t="s">
        <v>352</v>
      </c>
      <c r="E170" s="458" t="s">
        <v>223</v>
      </c>
      <c r="F170" s="460"/>
    </row>
    <row r="171" spans="1:6">
      <c r="A171" s="248" t="s">
        <v>269</v>
      </c>
      <c r="B171" s="248" t="s">
        <v>358</v>
      </c>
      <c r="C171" s="248" t="s">
        <v>363</v>
      </c>
      <c r="D171" s="248" t="s">
        <v>353</v>
      </c>
      <c r="E171" s="457" t="s">
        <v>223</v>
      </c>
      <c r="F171" s="460"/>
    </row>
    <row r="172" spans="1:6">
      <c r="A172" s="247" t="s">
        <v>269</v>
      </c>
      <c r="B172" s="247" t="s">
        <v>358</v>
      </c>
      <c r="C172" s="247" t="s">
        <v>363</v>
      </c>
      <c r="D172" s="247" t="s">
        <v>698</v>
      </c>
      <c r="E172" s="458" t="s">
        <v>223</v>
      </c>
      <c r="F172" s="460"/>
    </row>
    <row r="173" spans="1:6">
      <c r="A173" s="248" t="s">
        <v>269</v>
      </c>
      <c r="B173" s="248" t="s">
        <v>358</v>
      </c>
      <c r="C173" s="248" t="s">
        <v>364</v>
      </c>
      <c r="D173" s="248" t="s">
        <v>359</v>
      </c>
      <c r="E173" s="457">
        <v>272824.2800567316</v>
      </c>
      <c r="F173" s="460"/>
    </row>
    <row r="174" spans="1:6">
      <c r="A174" s="247" t="s">
        <v>269</v>
      </c>
      <c r="B174" s="247" t="s">
        <v>358</v>
      </c>
      <c r="C174" s="247" t="s">
        <v>364</v>
      </c>
      <c r="D174" s="247" t="s">
        <v>347</v>
      </c>
      <c r="E174" s="458">
        <v>300040.06970252364</v>
      </c>
      <c r="F174" s="460"/>
    </row>
    <row r="175" spans="1:6">
      <c r="A175" s="248" t="s">
        <v>269</v>
      </c>
      <c r="B175" s="248" t="s">
        <v>358</v>
      </c>
      <c r="C175" s="248" t="s">
        <v>364</v>
      </c>
      <c r="D175" s="248" t="s">
        <v>348</v>
      </c>
      <c r="E175" s="457">
        <v>1364541.734553677</v>
      </c>
      <c r="F175" s="460"/>
    </row>
    <row r="176" spans="1:6">
      <c r="A176" s="247" t="s">
        <v>269</v>
      </c>
      <c r="B176" s="247" t="s">
        <v>358</v>
      </c>
      <c r="C176" s="247" t="s">
        <v>364</v>
      </c>
      <c r="D176" s="247" t="s">
        <v>349</v>
      </c>
      <c r="E176" s="458">
        <v>3123341.6363022574</v>
      </c>
      <c r="F176" s="460"/>
    </row>
    <row r="177" spans="1:6">
      <c r="A177" s="248" t="s">
        <v>269</v>
      </c>
      <c r="B177" s="248" t="s">
        <v>358</v>
      </c>
      <c r="C177" s="248" t="s">
        <v>364</v>
      </c>
      <c r="D177" s="248" t="s">
        <v>350</v>
      </c>
      <c r="E177" s="457">
        <v>4511152.1191856926</v>
      </c>
      <c r="F177" s="460"/>
    </row>
    <row r="178" spans="1:6">
      <c r="A178" s="247" t="s">
        <v>269</v>
      </c>
      <c r="B178" s="247" t="s">
        <v>358</v>
      </c>
      <c r="C178" s="247" t="s">
        <v>364</v>
      </c>
      <c r="D178" s="247" t="s">
        <v>351</v>
      </c>
      <c r="E178" s="458">
        <v>4726910.8960596435</v>
      </c>
      <c r="F178" s="460"/>
    </row>
    <row r="179" spans="1:6">
      <c r="A179" s="248" t="s">
        <v>269</v>
      </c>
      <c r="B179" s="248" t="s">
        <v>358</v>
      </c>
      <c r="C179" s="248" t="s">
        <v>364</v>
      </c>
      <c r="D179" s="248" t="s">
        <v>352</v>
      </c>
      <c r="E179" s="457">
        <v>930262.96056044765</v>
      </c>
      <c r="F179" s="460"/>
    </row>
    <row r="180" spans="1:6">
      <c r="A180" s="247" t="s">
        <v>269</v>
      </c>
      <c r="B180" s="247" t="s">
        <v>358</v>
      </c>
      <c r="C180" s="247" t="s">
        <v>364</v>
      </c>
      <c r="D180" s="247" t="s">
        <v>353</v>
      </c>
      <c r="E180" s="458">
        <v>148963.21881058361</v>
      </c>
      <c r="F180" s="460"/>
    </row>
    <row r="181" spans="1:6">
      <c r="A181" s="248" t="s">
        <v>269</v>
      </c>
      <c r="B181" s="248" t="s">
        <v>358</v>
      </c>
      <c r="C181" s="248" t="s">
        <v>364</v>
      </c>
      <c r="D181" s="248" t="s">
        <v>698</v>
      </c>
      <c r="E181" s="457" t="s">
        <v>223</v>
      </c>
      <c r="F181" s="460"/>
    </row>
    <row r="182" spans="1:6">
      <c r="A182" s="247" t="s">
        <v>269</v>
      </c>
      <c r="B182" s="247" t="s">
        <v>358</v>
      </c>
      <c r="C182" s="247" t="s">
        <v>365</v>
      </c>
      <c r="D182" s="247" t="s">
        <v>359</v>
      </c>
      <c r="E182" s="458">
        <v>9768201.0699275043</v>
      </c>
      <c r="F182" s="460"/>
    </row>
    <row r="183" spans="1:6">
      <c r="A183" s="248" t="s">
        <v>269</v>
      </c>
      <c r="B183" s="248" t="s">
        <v>358</v>
      </c>
      <c r="C183" s="248" t="s">
        <v>365</v>
      </c>
      <c r="D183" s="248" t="s">
        <v>347</v>
      </c>
      <c r="E183" s="457">
        <v>19852126.999930054</v>
      </c>
      <c r="F183" s="460"/>
    </row>
    <row r="184" spans="1:6">
      <c r="A184" s="247" t="s">
        <v>269</v>
      </c>
      <c r="B184" s="247" t="s">
        <v>358</v>
      </c>
      <c r="C184" s="247" t="s">
        <v>365</v>
      </c>
      <c r="D184" s="247" t="s">
        <v>348</v>
      </c>
      <c r="E184" s="458">
        <v>54421171.74671144</v>
      </c>
      <c r="F184" s="460"/>
    </row>
    <row r="185" spans="1:6">
      <c r="A185" s="248" t="s">
        <v>269</v>
      </c>
      <c r="B185" s="248" t="s">
        <v>358</v>
      </c>
      <c r="C185" s="248" t="s">
        <v>365</v>
      </c>
      <c r="D185" s="248" t="s">
        <v>349</v>
      </c>
      <c r="E185" s="457">
        <v>122477602.76076752</v>
      </c>
      <c r="F185" s="460"/>
    </row>
    <row r="186" spans="1:6">
      <c r="A186" s="247" t="s">
        <v>269</v>
      </c>
      <c r="B186" s="247" t="s">
        <v>358</v>
      </c>
      <c r="C186" s="247" t="s">
        <v>365</v>
      </c>
      <c r="D186" s="247" t="s">
        <v>350</v>
      </c>
      <c r="E186" s="458">
        <v>255700295.29070583</v>
      </c>
      <c r="F186" s="460"/>
    </row>
    <row r="187" spans="1:6">
      <c r="A187" s="248" t="s">
        <v>269</v>
      </c>
      <c r="B187" s="248" t="s">
        <v>358</v>
      </c>
      <c r="C187" s="248" t="s">
        <v>365</v>
      </c>
      <c r="D187" s="248" t="s">
        <v>351</v>
      </c>
      <c r="E187" s="457">
        <v>342581794.46383768</v>
      </c>
      <c r="F187" s="460"/>
    </row>
    <row r="188" spans="1:6">
      <c r="A188" s="247" t="s">
        <v>269</v>
      </c>
      <c r="B188" s="247" t="s">
        <v>358</v>
      </c>
      <c r="C188" s="247" t="s">
        <v>365</v>
      </c>
      <c r="D188" s="247" t="s">
        <v>352</v>
      </c>
      <c r="E188" s="458">
        <v>168305241.98069322</v>
      </c>
      <c r="F188" s="460"/>
    </row>
    <row r="189" spans="1:6">
      <c r="A189" s="248" t="s">
        <v>269</v>
      </c>
      <c r="B189" s="248" t="s">
        <v>358</v>
      </c>
      <c r="C189" s="248" t="s">
        <v>365</v>
      </c>
      <c r="D189" s="248" t="s">
        <v>353</v>
      </c>
      <c r="E189" s="457">
        <v>171563023.09070373</v>
      </c>
      <c r="F189" s="460"/>
    </row>
    <row r="190" spans="1:6" ht="15" thickBot="1">
      <c r="A190" s="247" t="s">
        <v>269</v>
      </c>
      <c r="B190" s="247" t="s">
        <v>358</v>
      </c>
      <c r="C190" s="247" t="s">
        <v>365</v>
      </c>
      <c r="D190" s="247" t="s">
        <v>698</v>
      </c>
      <c r="E190" s="458" t="s">
        <v>223</v>
      </c>
      <c r="F190" s="461"/>
    </row>
    <row r="191" spans="1:6" ht="15" thickBot="1">
      <c r="A191" s="248" t="s">
        <v>366</v>
      </c>
      <c r="B191" s="248" t="s">
        <v>340</v>
      </c>
      <c r="C191" s="248" t="s">
        <v>367</v>
      </c>
      <c r="D191" s="248" t="s">
        <v>359</v>
      </c>
      <c r="E191" s="457">
        <v>1212662.6686149507</v>
      </c>
    </row>
    <row r="192" spans="1:6" ht="15" thickBot="1">
      <c r="A192" s="247" t="s">
        <v>366</v>
      </c>
      <c r="B192" s="247" t="s">
        <v>358</v>
      </c>
      <c r="C192" s="247" t="s">
        <v>368</v>
      </c>
      <c r="D192" s="247" t="s">
        <v>359</v>
      </c>
      <c r="E192" s="458">
        <v>2053655.8487875345</v>
      </c>
      <c r="F192" s="466">
        <f>SUM(E192:E255)</f>
        <v>568589967.15007877</v>
      </c>
    </row>
    <row r="193" spans="1:6">
      <c r="A193" s="248" t="s">
        <v>366</v>
      </c>
      <c r="B193" s="248" t="s">
        <v>358</v>
      </c>
      <c r="C193" s="248" t="s">
        <v>368</v>
      </c>
      <c r="D193" s="248" t="s">
        <v>369</v>
      </c>
      <c r="E193" s="457">
        <v>1391863.462104921</v>
      </c>
      <c r="F193" s="460"/>
    </row>
    <row r="194" spans="1:6">
      <c r="A194" s="247" t="s">
        <v>366</v>
      </c>
      <c r="B194" s="247" t="s">
        <v>358</v>
      </c>
      <c r="C194" s="247" t="s">
        <v>368</v>
      </c>
      <c r="D194" s="247" t="s">
        <v>370</v>
      </c>
      <c r="E194" s="458">
        <v>2939838.3886245927</v>
      </c>
      <c r="F194" s="460"/>
    </row>
    <row r="195" spans="1:6">
      <c r="A195" s="248" t="s">
        <v>366</v>
      </c>
      <c r="B195" s="248" t="s">
        <v>358</v>
      </c>
      <c r="C195" s="248" t="s">
        <v>368</v>
      </c>
      <c r="D195" s="248" t="s">
        <v>371</v>
      </c>
      <c r="E195" s="457">
        <v>7551308.5782456258</v>
      </c>
      <c r="F195" s="460"/>
    </row>
    <row r="196" spans="1:6">
      <c r="A196" s="247" t="s">
        <v>366</v>
      </c>
      <c r="B196" s="247" t="s">
        <v>358</v>
      </c>
      <c r="C196" s="247" t="s">
        <v>368</v>
      </c>
      <c r="D196" s="247" t="s">
        <v>372</v>
      </c>
      <c r="E196" s="458">
        <v>4352950.9441521075</v>
      </c>
      <c r="F196" s="460"/>
    </row>
    <row r="197" spans="1:6">
      <c r="A197" s="248" t="s">
        <v>366</v>
      </c>
      <c r="B197" s="248" t="s">
        <v>358</v>
      </c>
      <c r="C197" s="248" t="s">
        <v>368</v>
      </c>
      <c r="D197" s="248" t="s">
        <v>373</v>
      </c>
      <c r="E197" s="457">
        <v>3901542.694317651</v>
      </c>
      <c r="F197" s="460"/>
    </row>
    <row r="198" spans="1:6">
      <c r="A198" s="247" t="s">
        <v>366</v>
      </c>
      <c r="B198" s="247" t="s">
        <v>358</v>
      </c>
      <c r="C198" s="247" t="s">
        <v>368</v>
      </c>
      <c r="D198" s="247" t="s">
        <v>374</v>
      </c>
      <c r="E198" s="458">
        <v>3128443.7425228958</v>
      </c>
      <c r="F198" s="460"/>
    </row>
    <row r="199" spans="1:6">
      <c r="A199" s="248" t="s">
        <v>366</v>
      </c>
      <c r="B199" s="248" t="s">
        <v>358</v>
      </c>
      <c r="C199" s="248" t="s">
        <v>368</v>
      </c>
      <c r="D199" s="248" t="s">
        <v>375</v>
      </c>
      <c r="E199" s="457">
        <v>1027174.7856003278</v>
      </c>
      <c r="F199" s="460"/>
    </row>
    <row r="200" spans="1:6">
      <c r="A200" s="247" t="s">
        <v>366</v>
      </c>
      <c r="B200" s="247" t="s">
        <v>358</v>
      </c>
      <c r="C200" s="247" t="s">
        <v>376</v>
      </c>
      <c r="D200" s="247" t="s">
        <v>359</v>
      </c>
      <c r="E200" s="458">
        <v>1365899.2775517674</v>
      </c>
      <c r="F200" s="460"/>
    </row>
    <row r="201" spans="1:6">
      <c r="A201" s="248" t="s">
        <v>366</v>
      </c>
      <c r="B201" s="248" t="s">
        <v>358</v>
      </c>
      <c r="C201" s="248" t="s">
        <v>376</v>
      </c>
      <c r="D201" s="248" t="s">
        <v>369</v>
      </c>
      <c r="E201" s="457">
        <v>1181249.5083489693</v>
      </c>
      <c r="F201" s="460"/>
    </row>
    <row r="202" spans="1:6">
      <c r="A202" s="247" t="s">
        <v>366</v>
      </c>
      <c r="B202" s="247" t="s">
        <v>358</v>
      </c>
      <c r="C202" s="247" t="s">
        <v>376</v>
      </c>
      <c r="D202" s="247" t="s">
        <v>370</v>
      </c>
      <c r="E202" s="458">
        <v>1781919.9952755275</v>
      </c>
      <c r="F202" s="460"/>
    </row>
    <row r="203" spans="1:6">
      <c r="A203" s="248" t="s">
        <v>366</v>
      </c>
      <c r="B203" s="248" t="s">
        <v>358</v>
      </c>
      <c r="C203" s="248" t="s">
        <v>376</v>
      </c>
      <c r="D203" s="248" t="s">
        <v>371</v>
      </c>
      <c r="E203" s="457">
        <v>5051100.5365154818</v>
      </c>
      <c r="F203" s="460"/>
    </row>
    <row r="204" spans="1:6">
      <c r="A204" s="247" t="s">
        <v>366</v>
      </c>
      <c r="B204" s="247" t="s">
        <v>358</v>
      </c>
      <c r="C204" s="247" t="s">
        <v>376</v>
      </c>
      <c r="D204" s="247" t="s">
        <v>372</v>
      </c>
      <c r="E204" s="458">
        <v>4019223.4748538015</v>
      </c>
      <c r="F204" s="460"/>
    </row>
    <row r="205" spans="1:6">
      <c r="A205" s="248" t="s">
        <v>366</v>
      </c>
      <c r="B205" s="248" t="s">
        <v>358</v>
      </c>
      <c r="C205" s="248" t="s">
        <v>376</v>
      </c>
      <c r="D205" s="248" t="s">
        <v>373</v>
      </c>
      <c r="E205" s="457">
        <v>3294515.9330639741</v>
      </c>
      <c r="F205" s="460"/>
    </row>
    <row r="206" spans="1:6">
      <c r="A206" s="247" t="s">
        <v>366</v>
      </c>
      <c r="B206" s="247" t="s">
        <v>358</v>
      </c>
      <c r="C206" s="247" t="s">
        <v>376</v>
      </c>
      <c r="D206" s="247" t="s">
        <v>374</v>
      </c>
      <c r="E206" s="458">
        <v>1187434.0607487021</v>
      </c>
      <c r="F206" s="460"/>
    </row>
    <row r="207" spans="1:6">
      <c r="A207" s="248" t="s">
        <v>366</v>
      </c>
      <c r="B207" s="248" t="s">
        <v>358</v>
      </c>
      <c r="C207" s="248" t="s">
        <v>376</v>
      </c>
      <c r="D207" s="248" t="s">
        <v>375</v>
      </c>
      <c r="E207" s="457">
        <v>419083.51926444814</v>
      </c>
      <c r="F207" s="460"/>
    </row>
    <row r="208" spans="1:6">
      <c r="A208" s="247" t="s">
        <v>366</v>
      </c>
      <c r="B208" s="247" t="s">
        <v>358</v>
      </c>
      <c r="C208" s="247" t="s">
        <v>377</v>
      </c>
      <c r="D208" s="247" t="s">
        <v>359</v>
      </c>
      <c r="E208" s="458">
        <v>379149.20059878839</v>
      </c>
      <c r="F208" s="460"/>
    </row>
    <row r="209" spans="1:6">
      <c r="A209" s="248" t="s">
        <v>366</v>
      </c>
      <c r="B209" s="248" t="s">
        <v>358</v>
      </c>
      <c r="C209" s="248" t="s">
        <v>377</v>
      </c>
      <c r="D209" s="248" t="s">
        <v>369</v>
      </c>
      <c r="E209" s="457">
        <v>196798.45481188776</v>
      </c>
      <c r="F209" s="460"/>
    </row>
    <row r="210" spans="1:6">
      <c r="A210" s="247" t="s">
        <v>366</v>
      </c>
      <c r="B210" s="247" t="s">
        <v>358</v>
      </c>
      <c r="C210" s="247" t="s">
        <v>377</v>
      </c>
      <c r="D210" s="247" t="s">
        <v>370</v>
      </c>
      <c r="E210" s="458">
        <v>511864.62032964837</v>
      </c>
      <c r="F210" s="460"/>
    </row>
    <row r="211" spans="1:6">
      <c r="A211" s="248" t="s">
        <v>366</v>
      </c>
      <c r="B211" s="248" t="s">
        <v>358</v>
      </c>
      <c r="C211" s="248" t="s">
        <v>377</v>
      </c>
      <c r="D211" s="248" t="s">
        <v>371</v>
      </c>
      <c r="E211" s="457">
        <v>1120590.6597602926</v>
      </c>
      <c r="F211" s="460"/>
    </row>
    <row r="212" spans="1:6">
      <c r="A212" s="247" t="s">
        <v>366</v>
      </c>
      <c r="B212" s="247" t="s">
        <v>358</v>
      </c>
      <c r="C212" s="247" t="s">
        <v>377</v>
      </c>
      <c r="D212" s="247" t="s">
        <v>372</v>
      </c>
      <c r="E212" s="458">
        <v>865673.30307673418</v>
      </c>
      <c r="F212" s="460"/>
    </row>
    <row r="213" spans="1:6">
      <c r="A213" s="248" t="s">
        <v>366</v>
      </c>
      <c r="B213" s="248" t="s">
        <v>358</v>
      </c>
      <c r="C213" s="248" t="s">
        <v>377</v>
      </c>
      <c r="D213" s="248" t="s">
        <v>373</v>
      </c>
      <c r="E213" s="457">
        <v>571885.27847177163</v>
      </c>
      <c r="F213" s="460"/>
    </row>
    <row r="214" spans="1:6">
      <c r="A214" s="247" t="s">
        <v>366</v>
      </c>
      <c r="B214" s="247" t="s">
        <v>358</v>
      </c>
      <c r="C214" s="247" t="s">
        <v>377</v>
      </c>
      <c r="D214" s="247" t="s">
        <v>374</v>
      </c>
      <c r="E214" s="458">
        <v>433708.07624450437</v>
      </c>
      <c r="F214" s="460"/>
    </row>
    <row r="215" spans="1:6">
      <c r="A215" s="248" t="s">
        <v>366</v>
      </c>
      <c r="B215" s="248" t="s">
        <v>358</v>
      </c>
      <c r="C215" s="248" t="s">
        <v>377</v>
      </c>
      <c r="D215" s="248" t="s">
        <v>375</v>
      </c>
      <c r="E215" s="457">
        <v>90149.740187844669</v>
      </c>
      <c r="F215" s="460"/>
    </row>
    <row r="216" spans="1:6">
      <c r="A216" s="247" t="s">
        <v>366</v>
      </c>
      <c r="B216" s="247" t="s">
        <v>358</v>
      </c>
      <c r="C216" s="247" t="s">
        <v>378</v>
      </c>
      <c r="D216" s="247" t="s">
        <v>359</v>
      </c>
      <c r="E216" s="458">
        <v>2561482.867978747</v>
      </c>
      <c r="F216" s="460"/>
    </row>
    <row r="217" spans="1:6">
      <c r="A217" s="248" t="s">
        <v>366</v>
      </c>
      <c r="B217" s="248" t="s">
        <v>358</v>
      </c>
      <c r="C217" s="248" t="s">
        <v>378</v>
      </c>
      <c r="D217" s="248" t="s">
        <v>369</v>
      </c>
      <c r="E217" s="457">
        <v>1806263.5007428552</v>
      </c>
      <c r="F217" s="460"/>
    </row>
    <row r="218" spans="1:6">
      <c r="A218" s="247" t="s">
        <v>366</v>
      </c>
      <c r="B218" s="247" t="s">
        <v>358</v>
      </c>
      <c r="C218" s="247" t="s">
        <v>378</v>
      </c>
      <c r="D218" s="247" t="s">
        <v>370</v>
      </c>
      <c r="E218" s="458">
        <v>9096670.0849848334</v>
      </c>
      <c r="F218" s="460"/>
    </row>
    <row r="219" spans="1:6">
      <c r="A219" s="248" t="s">
        <v>366</v>
      </c>
      <c r="B219" s="248" t="s">
        <v>358</v>
      </c>
      <c r="C219" s="248" t="s">
        <v>378</v>
      </c>
      <c r="D219" s="248" t="s">
        <v>371</v>
      </c>
      <c r="E219" s="457">
        <v>30039007.487272982</v>
      </c>
      <c r="F219" s="460"/>
    </row>
    <row r="220" spans="1:6">
      <c r="A220" s="247" t="s">
        <v>366</v>
      </c>
      <c r="B220" s="247" t="s">
        <v>358</v>
      </c>
      <c r="C220" s="247" t="s">
        <v>378</v>
      </c>
      <c r="D220" s="247" t="s">
        <v>372</v>
      </c>
      <c r="E220" s="458">
        <v>41018236.014698878</v>
      </c>
      <c r="F220" s="460"/>
    </row>
    <row r="221" spans="1:6">
      <c r="A221" s="248" t="s">
        <v>366</v>
      </c>
      <c r="B221" s="248" t="s">
        <v>358</v>
      </c>
      <c r="C221" s="248" t="s">
        <v>378</v>
      </c>
      <c r="D221" s="248" t="s">
        <v>373</v>
      </c>
      <c r="E221" s="457">
        <v>37462062.852885939</v>
      </c>
      <c r="F221" s="460"/>
    </row>
    <row r="222" spans="1:6">
      <c r="A222" s="247" t="s">
        <v>366</v>
      </c>
      <c r="B222" s="247" t="s">
        <v>358</v>
      </c>
      <c r="C222" s="247" t="s">
        <v>378</v>
      </c>
      <c r="D222" s="247" t="s">
        <v>374</v>
      </c>
      <c r="E222" s="458">
        <v>55420159.360420026</v>
      </c>
      <c r="F222" s="460"/>
    </row>
    <row r="223" spans="1:6">
      <c r="A223" s="248" t="s">
        <v>366</v>
      </c>
      <c r="B223" s="248" t="s">
        <v>358</v>
      </c>
      <c r="C223" s="248" t="s">
        <v>378</v>
      </c>
      <c r="D223" s="248" t="s">
        <v>375</v>
      </c>
      <c r="E223" s="457">
        <v>11676780.083226236</v>
      </c>
      <c r="F223" s="460"/>
    </row>
    <row r="224" spans="1:6">
      <c r="A224" s="247" t="s">
        <v>366</v>
      </c>
      <c r="B224" s="247" t="s">
        <v>358</v>
      </c>
      <c r="C224" s="247" t="s">
        <v>379</v>
      </c>
      <c r="D224" s="247" t="s">
        <v>359</v>
      </c>
      <c r="E224" s="458">
        <v>1902234.6997028755</v>
      </c>
      <c r="F224" s="460"/>
    </row>
    <row r="225" spans="1:9">
      <c r="A225" s="248" t="s">
        <v>366</v>
      </c>
      <c r="B225" s="248" t="s">
        <v>358</v>
      </c>
      <c r="C225" s="248" t="s">
        <v>379</v>
      </c>
      <c r="D225" s="248" t="s">
        <v>369</v>
      </c>
      <c r="E225" s="457">
        <v>773133.12531264243</v>
      </c>
      <c r="F225" s="460"/>
    </row>
    <row r="226" spans="1:9">
      <c r="A226" s="247" t="s">
        <v>366</v>
      </c>
      <c r="B226" s="247" t="s">
        <v>358</v>
      </c>
      <c r="C226" s="247" t="s">
        <v>379</v>
      </c>
      <c r="D226" s="247" t="s">
        <v>370</v>
      </c>
      <c r="E226" s="458">
        <v>3033639.569198742</v>
      </c>
      <c r="F226" s="460"/>
    </row>
    <row r="227" spans="1:9">
      <c r="A227" s="248" t="s">
        <v>366</v>
      </c>
      <c r="B227" s="248" t="s">
        <v>358</v>
      </c>
      <c r="C227" s="248" t="s">
        <v>379</v>
      </c>
      <c r="D227" s="248" t="s">
        <v>371</v>
      </c>
      <c r="E227" s="457">
        <v>15096655.586295737</v>
      </c>
      <c r="F227" s="460"/>
    </row>
    <row r="228" spans="1:9">
      <c r="A228" s="247" t="s">
        <v>366</v>
      </c>
      <c r="B228" s="247" t="s">
        <v>358</v>
      </c>
      <c r="C228" s="247" t="s">
        <v>379</v>
      </c>
      <c r="D228" s="247" t="s">
        <v>372</v>
      </c>
      <c r="E228" s="458">
        <v>20562984.869257931</v>
      </c>
      <c r="F228" s="460"/>
    </row>
    <row r="229" spans="1:9">
      <c r="A229" s="248" t="s">
        <v>366</v>
      </c>
      <c r="B229" s="248" t="s">
        <v>358</v>
      </c>
      <c r="C229" s="248" t="s">
        <v>379</v>
      </c>
      <c r="D229" s="248" t="s">
        <v>373</v>
      </c>
      <c r="E229" s="457">
        <v>22183192.360536907</v>
      </c>
      <c r="F229" s="460"/>
    </row>
    <row r="230" spans="1:9">
      <c r="A230" s="247" t="s">
        <v>366</v>
      </c>
      <c r="B230" s="247" t="s">
        <v>358</v>
      </c>
      <c r="C230" s="247" t="s">
        <v>379</v>
      </c>
      <c r="D230" s="247" t="s">
        <v>374</v>
      </c>
      <c r="E230" s="458">
        <v>47013532.055017643</v>
      </c>
      <c r="F230" s="460"/>
      <c r="H230" s="6"/>
    </row>
    <row r="231" spans="1:9">
      <c r="A231" s="248" t="s">
        <v>366</v>
      </c>
      <c r="B231" s="248" t="s">
        <v>358</v>
      </c>
      <c r="C231" s="248" t="s">
        <v>379</v>
      </c>
      <c r="D231" s="248" t="s">
        <v>375</v>
      </c>
      <c r="E231" s="457">
        <v>11196431.135430604</v>
      </c>
      <c r="F231" s="465"/>
    </row>
    <row r="232" spans="1:9">
      <c r="A232" s="247" t="s">
        <v>366</v>
      </c>
      <c r="B232" s="247" t="s">
        <v>358</v>
      </c>
      <c r="C232" s="247" t="s">
        <v>380</v>
      </c>
      <c r="D232" s="247" t="s">
        <v>359</v>
      </c>
      <c r="E232" s="458">
        <v>1124318.9905618445</v>
      </c>
      <c r="F232" s="460"/>
    </row>
    <row r="233" spans="1:9">
      <c r="A233" s="248" t="s">
        <v>366</v>
      </c>
      <c r="B233" s="248" t="s">
        <v>358</v>
      </c>
      <c r="C233" s="248" t="s">
        <v>380</v>
      </c>
      <c r="D233" s="248" t="s">
        <v>369</v>
      </c>
      <c r="E233" s="457">
        <v>1626312.5902496206</v>
      </c>
      <c r="F233" s="460"/>
    </row>
    <row r="234" spans="1:9">
      <c r="A234" s="247" t="s">
        <v>366</v>
      </c>
      <c r="B234" s="247" t="s">
        <v>358</v>
      </c>
      <c r="C234" s="247" t="s">
        <v>380</v>
      </c>
      <c r="D234" s="247" t="s">
        <v>370</v>
      </c>
      <c r="E234" s="458">
        <v>7382071.0656101964</v>
      </c>
      <c r="F234" s="460"/>
    </row>
    <row r="235" spans="1:9">
      <c r="A235" s="248" t="s">
        <v>366</v>
      </c>
      <c r="B235" s="248" t="s">
        <v>358</v>
      </c>
      <c r="C235" s="248" t="s">
        <v>380</v>
      </c>
      <c r="D235" s="248" t="s">
        <v>371</v>
      </c>
      <c r="E235" s="457">
        <v>21014697.26340159</v>
      </c>
      <c r="F235" s="460"/>
    </row>
    <row r="236" spans="1:9">
      <c r="A236" s="247" t="s">
        <v>366</v>
      </c>
      <c r="B236" s="247" t="s">
        <v>358</v>
      </c>
      <c r="C236" s="247" t="s">
        <v>380</v>
      </c>
      <c r="D236" s="247" t="s">
        <v>372</v>
      </c>
      <c r="E236" s="458">
        <v>28001182.520646941</v>
      </c>
      <c r="F236" s="460"/>
    </row>
    <row r="237" spans="1:9">
      <c r="A237" s="248" t="s">
        <v>366</v>
      </c>
      <c r="B237" s="248" t="s">
        <v>358</v>
      </c>
      <c r="C237" s="248" t="s">
        <v>380</v>
      </c>
      <c r="D237" s="248" t="s">
        <v>373</v>
      </c>
      <c r="E237" s="457">
        <v>30395997.724535417</v>
      </c>
      <c r="F237" s="460"/>
      <c r="H237" s="6"/>
    </row>
    <row r="238" spans="1:9">
      <c r="A238" s="247" t="s">
        <v>366</v>
      </c>
      <c r="B238" s="247" t="s">
        <v>358</v>
      </c>
      <c r="C238" s="247" t="s">
        <v>380</v>
      </c>
      <c r="D238" s="247" t="s">
        <v>374</v>
      </c>
      <c r="E238" s="458">
        <v>32131920.164734054</v>
      </c>
      <c r="F238" s="460"/>
    </row>
    <row r="239" spans="1:9">
      <c r="A239" s="248" t="s">
        <v>366</v>
      </c>
      <c r="B239" s="248" t="s">
        <v>358</v>
      </c>
      <c r="C239" s="248" t="s">
        <v>380</v>
      </c>
      <c r="D239" s="248" t="s">
        <v>375</v>
      </c>
      <c r="E239" s="457">
        <v>8765247.6194680557</v>
      </c>
      <c r="F239" s="460"/>
      <c r="I239" s="387"/>
    </row>
    <row r="240" spans="1:9">
      <c r="A240" s="247" t="s">
        <v>366</v>
      </c>
      <c r="B240" s="247" t="s">
        <v>358</v>
      </c>
      <c r="C240" s="247" t="s">
        <v>381</v>
      </c>
      <c r="D240" s="247" t="s">
        <v>359</v>
      </c>
      <c r="E240" s="458">
        <v>429602.12807029299</v>
      </c>
      <c r="F240" s="460"/>
    </row>
    <row r="241" spans="1:8">
      <c r="A241" s="248" t="s">
        <v>366</v>
      </c>
      <c r="B241" s="248" t="s">
        <v>358</v>
      </c>
      <c r="C241" s="248" t="s">
        <v>381</v>
      </c>
      <c r="D241" s="248" t="s">
        <v>369</v>
      </c>
      <c r="E241" s="457">
        <v>467618.45804450364</v>
      </c>
      <c r="F241" s="467"/>
    </row>
    <row r="242" spans="1:8">
      <c r="A242" s="247" t="s">
        <v>366</v>
      </c>
      <c r="B242" s="247" t="s">
        <v>358</v>
      </c>
      <c r="C242" s="247" t="s">
        <v>381</v>
      </c>
      <c r="D242" s="247" t="s">
        <v>370</v>
      </c>
      <c r="E242" s="458">
        <v>3144372.0192103693</v>
      </c>
      <c r="F242" s="468"/>
      <c r="G242" s="385"/>
      <c r="H242" s="386"/>
    </row>
    <row r="243" spans="1:8">
      <c r="A243" s="248" t="s">
        <v>366</v>
      </c>
      <c r="B243" s="248" t="s">
        <v>358</v>
      </c>
      <c r="C243" s="248" t="s">
        <v>381</v>
      </c>
      <c r="D243" s="248" t="s">
        <v>371</v>
      </c>
      <c r="E243" s="457">
        <v>9783910.6361004952</v>
      </c>
      <c r="F243" s="460"/>
    </row>
    <row r="244" spans="1:8">
      <c r="A244" s="247" t="s">
        <v>366</v>
      </c>
      <c r="B244" s="247" t="s">
        <v>358</v>
      </c>
      <c r="C244" s="247" t="s">
        <v>381</v>
      </c>
      <c r="D244" s="247" t="s">
        <v>372</v>
      </c>
      <c r="E244" s="458">
        <v>9854662.633197315</v>
      </c>
      <c r="F244" s="460"/>
    </row>
    <row r="245" spans="1:8">
      <c r="A245" s="248" t="s">
        <v>366</v>
      </c>
      <c r="B245" s="248" t="s">
        <v>358</v>
      </c>
      <c r="C245" s="248" t="s">
        <v>381</v>
      </c>
      <c r="D245" s="248" t="s">
        <v>373</v>
      </c>
      <c r="E245" s="457">
        <v>9765544.0789117329</v>
      </c>
      <c r="F245" s="460"/>
    </row>
    <row r="246" spans="1:8">
      <c r="A246" s="247" t="s">
        <v>366</v>
      </c>
      <c r="B246" s="247" t="s">
        <v>358</v>
      </c>
      <c r="C246" s="247" t="s">
        <v>381</v>
      </c>
      <c r="D246" s="247" t="s">
        <v>374</v>
      </c>
      <c r="E246" s="458">
        <v>11976920.110468583</v>
      </c>
      <c r="F246" s="460"/>
    </row>
    <row r="247" spans="1:8">
      <c r="A247" s="248" t="s">
        <v>366</v>
      </c>
      <c r="B247" s="248" t="s">
        <v>358</v>
      </c>
      <c r="C247" s="248" t="s">
        <v>381</v>
      </c>
      <c r="D247" s="248" t="s">
        <v>375</v>
      </c>
      <c r="E247" s="457">
        <v>6353839.4639691897</v>
      </c>
      <c r="F247" s="460"/>
    </row>
    <row r="248" spans="1:8">
      <c r="A248" s="247" t="s">
        <v>366</v>
      </c>
      <c r="B248" s="247" t="s">
        <v>358</v>
      </c>
      <c r="C248" s="247" t="s">
        <v>382</v>
      </c>
      <c r="D248" s="247" t="s">
        <v>359</v>
      </c>
      <c r="E248" s="458">
        <v>209946.71581919375</v>
      </c>
      <c r="F248" s="460"/>
    </row>
    <row r="249" spans="1:8">
      <c r="A249" s="248" t="s">
        <v>366</v>
      </c>
      <c r="B249" s="248" t="s">
        <v>358</v>
      </c>
      <c r="C249" s="248" t="s">
        <v>382</v>
      </c>
      <c r="D249" s="248" t="s">
        <v>369</v>
      </c>
      <c r="E249" s="457">
        <v>306177.63351516088</v>
      </c>
      <c r="F249" s="460"/>
    </row>
    <row r="250" spans="1:8">
      <c r="A250" s="247" t="s">
        <v>366</v>
      </c>
      <c r="B250" s="247" t="s">
        <v>358</v>
      </c>
      <c r="C250" s="247" t="s">
        <v>382</v>
      </c>
      <c r="D250" s="247" t="s">
        <v>370</v>
      </c>
      <c r="E250" s="458">
        <v>1385533.6722541654</v>
      </c>
      <c r="F250" s="460"/>
    </row>
    <row r="251" spans="1:8">
      <c r="A251" s="248" t="s">
        <v>366</v>
      </c>
      <c r="B251" s="248" t="s">
        <v>358</v>
      </c>
      <c r="C251" s="248" t="s">
        <v>382</v>
      </c>
      <c r="D251" s="248" t="s">
        <v>371</v>
      </c>
      <c r="E251" s="457">
        <v>4718209.4640674787</v>
      </c>
      <c r="F251" s="460"/>
    </row>
    <row r="252" spans="1:8">
      <c r="A252" s="247" t="s">
        <v>366</v>
      </c>
      <c r="B252" s="247" t="s">
        <v>358</v>
      </c>
      <c r="C252" s="247" t="s">
        <v>382</v>
      </c>
      <c r="D252" s="247" t="s">
        <v>372</v>
      </c>
      <c r="E252" s="458">
        <v>5905636.6901126029</v>
      </c>
      <c r="F252" s="460"/>
    </row>
    <row r="253" spans="1:8">
      <c r="A253" s="248" t="s">
        <v>366</v>
      </c>
      <c r="B253" s="248" t="s">
        <v>358</v>
      </c>
      <c r="C253" s="248" t="s">
        <v>382</v>
      </c>
      <c r="D253" s="248" t="s">
        <v>373</v>
      </c>
      <c r="E253" s="457">
        <v>3563775.0608670679</v>
      </c>
      <c r="F253" s="460"/>
    </row>
    <row r="254" spans="1:8">
      <c r="A254" s="247" t="s">
        <v>366</v>
      </c>
      <c r="B254" s="247" t="s">
        <v>358</v>
      </c>
      <c r="C254" s="247" t="s">
        <v>382</v>
      </c>
      <c r="D254" s="247" t="s">
        <v>374</v>
      </c>
      <c r="E254" s="458">
        <v>7426041.2767383987</v>
      </c>
      <c r="F254" s="460"/>
    </row>
    <row r="255" spans="1:8" ht="15" thickBot="1">
      <c r="A255" s="248" t="s">
        <v>366</v>
      </c>
      <c r="B255" s="248" t="s">
        <v>358</v>
      </c>
      <c r="C255" s="248" t="s">
        <v>382</v>
      </c>
      <c r="D255" s="248" t="s">
        <v>375</v>
      </c>
      <c r="E255" s="457">
        <v>3196939.4331011777</v>
      </c>
      <c r="F255" s="461"/>
    </row>
    <row r="256" spans="1:8" ht="15" thickBot="1">
      <c r="A256" s="247" t="s">
        <v>383</v>
      </c>
      <c r="B256" s="247" t="s">
        <v>358</v>
      </c>
      <c r="C256" s="247" t="s">
        <v>384</v>
      </c>
      <c r="D256" s="247" t="s">
        <v>359</v>
      </c>
      <c r="E256" s="458">
        <v>459703.87130170432</v>
      </c>
      <c r="F256" s="466">
        <f>SUM(E256:E263)</f>
        <v>132361499.98417984</v>
      </c>
    </row>
    <row r="257" spans="1:6">
      <c r="A257" s="248" t="s">
        <v>383</v>
      </c>
      <c r="B257" s="248" t="s">
        <v>358</v>
      </c>
      <c r="C257" s="248" t="s">
        <v>384</v>
      </c>
      <c r="D257" s="248" t="s">
        <v>369</v>
      </c>
      <c r="E257" s="457">
        <v>1024411.0023411573</v>
      </c>
      <c r="F257" s="460"/>
    </row>
    <row r="258" spans="1:6">
      <c r="A258" s="247" t="s">
        <v>383</v>
      </c>
      <c r="B258" s="247" t="s">
        <v>358</v>
      </c>
      <c r="C258" s="247" t="s">
        <v>384</v>
      </c>
      <c r="D258" s="247" t="s">
        <v>370</v>
      </c>
      <c r="E258" s="458">
        <v>4234433.7667656541</v>
      </c>
      <c r="F258" s="460"/>
    </row>
    <row r="259" spans="1:6">
      <c r="A259" s="248" t="s">
        <v>383</v>
      </c>
      <c r="B259" s="248" t="s">
        <v>358</v>
      </c>
      <c r="C259" s="248" t="s">
        <v>384</v>
      </c>
      <c r="D259" s="248" t="s">
        <v>371</v>
      </c>
      <c r="E259" s="457">
        <v>21427064.83206315</v>
      </c>
      <c r="F259" s="460"/>
    </row>
    <row r="260" spans="1:6">
      <c r="A260" s="247" t="s">
        <v>383</v>
      </c>
      <c r="B260" s="247" t="s">
        <v>358</v>
      </c>
      <c r="C260" s="247" t="s">
        <v>384</v>
      </c>
      <c r="D260" s="247" t="s">
        <v>372</v>
      </c>
      <c r="E260" s="458">
        <v>23425239.974559948</v>
      </c>
      <c r="F260" s="460"/>
    </row>
    <row r="261" spans="1:6">
      <c r="A261" s="248" t="s">
        <v>383</v>
      </c>
      <c r="B261" s="248" t="s">
        <v>358</v>
      </c>
      <c r="C261" s="248" t="s">
        <v>384</v>
      </c>
      <c r="D261" s="248" t="s">
        <v>373</v>
      </c>
      <c r="E261" s="457">
        <v>31516454.253238</v>
      </c>
      <c r="F261" s="460"/>
    </row>
    <row r="262" spans="1:6">
      <c r="A262" s="247" t="s">
        <v>383</v>
      </c>
      <c r="B262" s="247" t="s">
        <v>358</v>
      </c>
      <c r="C262" s="247" t="s">
        <v>384</v>
      </c>
      <c r="D262" s="247" t="s">
        <v>374</v>
      </c>
      <c r="E262" s="458">
        <v>38252998.672342196</v>
      </c>
      <c r="F262" s="460"/>
    </row>
    <row r="263" spans="1:6" ht="15" thickBot="1">
      <c r="A263" s="248" t="s">
        <v>383</v>
      </c>
      <c r="B263" s="248" t="s">
        <v>358</v>
      </c>
      <c r="C263" s="248" t="s">
        <v>384</v>
      </c>
      <c r="D263" s="248" t="s">
        <v>375</v>
      </c>
      <c r="E263" s="457">
        <v>12021193.611568037</v>
      </c>
      <c r="F263" s="461"/>
    </row>
    <row r="264" spans="1:6">
      <c r="A264" s="247" t="s">
        <v>383</v>
      </c>
      <c r="B264" s="247" t="s">
        <v>385</v>
      </c>
      <c r="C264" s="247" t="s">
        <v>386</v>
      </c>
      <c r="D264" s="247" t="s">
        <v>369</v>
      </c>
      <c r="E264" s="458" t="s">
        <v>223</v>
      </c>
    </row>
    <row r="265" spans="1:6">
      <c r="A265" s="248" t="s">
        <v>383</v>
      </c>
      <c r="B265" s="248" t="s">
        <v>385</v>
      </c>
      <c r="C265" s="248" t="s">
        <v>386</v>
      </c>
      <c r="D265" s="248" t="s">
        <v>370</v>
      </c>
      <c r="E265" s="457" t="s">
        <v>223</v>
      </c>
    </row>
    <row r="266" spans="1:6">
      <c r="A266" s="247" t="s">
        <v>383</v>
      </c>
      <c r="B266" s="247" t="s">
        <v>385</v>
      </c>
      <c r="C266" s="247" t="s">
        <v>386</v>
      </c>
      <c r="D266" s="247" t="s">
        <v>371</v>
      </c>
      <c r="E266" s="458" t="s">
        <v>223</v>
      </c>
    </row>
    <row r="267" spans="1:6">
      <c r="A267" s="248" t="s">
        <v>383</v>
      </c>
      <c r="B267" s="248" t="s">
        <v>385</v>
      </c>
      <c r="C267" s="248" t="s">
        <v>386</v>
      </c>
      <c r="D267" s="248" t="s">
        <v>387</v>
      </c>
      <c r="E267" s="457">
        <v>17041512.24569317</v>
      </c>
    </row>
    <row r="268" spans="1:6">
      <c r="A268" s="247" t="s">
        <v>388</v>
      </c>
      <c r="B268" s="247" t="s">
        <v>340</v>
      </c>
      <c r="C268" s="247" t="s">
        <v>389</v>
      </c>
      <c r="D268" s="247" t="s">
        <v>359</v>
      </c>
      <c r="E268" s="458">
        <v>497303.30264794017</v>
      </c>
    </row>
    <row r="269" spans="1:6">
      <c r="A269" s="248" t="s">
        <v>388</v>
      </c>
      <c r="B269" s="248" t="s">
        <v>340</v>
      </c>
      <c r="C269" s="248" t="s">
        <v>389</v>
      </c>
      <c r="D269" s="248" t="s">
        <v>347</v>
      </c>
      <c r="E269" s="457">
        <v>282736.48442680645</v>
      </c>
    </row>
    <row r="270" spans="1:6">
      <c r="A270" s="247" t="s">
        <v>388</v>
      </c>
      <c r="B270" s="247" t="s">
        <v>340</v>
      </c>
      <c r="C270" s="247" t="s">
        <v>389</v>
      </c>
      <c r="D270" s="247" t="s">
        <v>348</v>
      </c>
      <c r="E270" s="458">
        <v>648170.59670967481</v>
      </c>
    </row>
    <row r="271" spans="1:6">
      <c r="A271" s="248" t="s">
        <v>388</v>
      </c>
      <c r="B271" s="248" t="s">
        <v>340</v>
      </c>
      <c r="C271" s="248" t="s">
        <v>389</v>
      </c>
      <c r="D271" s="248" t="s">
        <v>349</v>
      </c>
      <c r="E271" s="457">
        <v>5006000.3240706697</v>
      </c>
    </row>
    <row r="272" spans="1:6">
      <c r="A272" s="247" t="s">
        <v>388</v>
      </c>
      <c r="B272" s="247" t="s">
        <v>340</v>
      </c>
      <c r="C272" s="247" t="s">
        <v>389</v>
      </c>
      <c r="D272" s="247" t="s">
        <v>350</v>
      </c>
      <c r="E272" s="458">
        <v>1379038.8212754116</v>
      </c>
    </row>
    <row r="273" spans="1:5">
      <c r="A273" s="248" t="s">
        <v>388</v>
      </c>
      <c r="B273" s="248" t="s">
        <v>340</v>
      </c>
      <c r="C273" s="248" t="s">
        <v>389</v>
      </c>
      <c r="D273" s="248" t="s">
        <v>351</v>
      </c>
      <c r="E273" s="457">
        <v>280501.41340366961</v>
      </c>
    </row>
    <row r="274" spans="1:5">
      <c r="A274" s="247" t="s">
        <v>388</v>
      </c>
      <c r="B274" s="247" t="s">
        <v>340</v>
      </c>
      <c r="C274" s="247" t="s">
        <v>390</v>
      </c>
      <c r="D274" s="247" t="s">
        <v>359</v>
      </c>
      <c r="E274" s="458">
        <v>407231.77244095551</v>
      </c>
    </row>
    <row r="275" spans="1:5">
      <c r="A275" s="248" t="s">
        <v>388</v>
      </c>
      <c r="B275" s="248" t="s">
        <v>340</v>
      </c>
      <c r="C275" s="248" t="s">
        <v>390</v>
      </c>
      <c r="D275" s="248" t="s">
        <v>347</v>
      </c>
      <c r="E275" s="457">
        <v>62188.103180638529</v>
      </c>
    </row>
    <row r="276" spans="1:5">
      <c r="A276" s="247" t="s">
        <v>388</v>
      </c>
      <c r="B276" s="247" t="s">
        <v>340</v>
      </c>
      <c r="C276" s="247" t="s">
        <v>390</v>
      </c>
      <c r="D276" s="247" t="s">
        <v>348</v>
      </c>
      <c r="E276" s="458">
        <v>96291.256537762878</v>
      </c>
    </row>
    <row r="277" spans="1:5">
      <c r="A277" s="248" t="s">
        <v>388</v>
      </c>
      <c r="B277" s="248" t="s">
        <v>340</v>
      </c>
      <c r="C277" s="248" t="s">
        <v>390</v>
      </c>
      <c r="D277" s="248" t="s">
        <v>349</v>
      </c>
      <c r="E277" s="457">
        <v>649965.98162989947</v>
      </c>
    </row>
    <row r="278" spans="1:5">
      <c r="A278" s="247" t="s">
        <v>388</v>
      </c>
      <c r="B278" s="247" t="s">
        <v>340</v>
      </c>
      <c r="C278" s="247" t="s">
        <v>390</v>
      </c>
      <c r="D278" s="247" t="s">
        <v>350</v>
      </c>
      <c r="E278" s="458">
        <v>226685.66643265012</v>
      </c>
    </row>
    <row r="279" spans="1:5">
      <c r="A279" s="248" t="s">
        <v>388</v>
      </c>
      <c r="B279" s="248" t="s">
        <v>340</v>
      </c>
      <c r="C279" s="248" t="s">
        <v>390</v>
      </c>
      <c r="D279" s="248" t="s">
        <v>351</v>
      </c>
      <c r="E279" s="457">
        <v>86260.917315079249</v>
      </c>
    </row>
    <row r="280" spans="1:5">
      <c r="A280" s="247" t="s">
        <v>388</v>
      </c>
      <c r="B280" s="247" t="s">
        <v>340</v>
      </c>
      <c r="C280" s="247" t="s">
        <v>391</v>
      </c>
      <c r="D280" s="247" t="s">
        <v>359</v>
      </c>
      <c r="E280" s="458">
        <v>7699173.1223987294</v>
      </c>
    </row>
    <row r="281" spans="1:5">
      <c r="A281" s="248" t="s">
        <v>388</v>
      </c>
      <c r="B281" s="248" t="s">
        <v>340</v>
      </c>
      <c r="C281" s="248" t="s">
        <v>391</v>
      </c>
      <c r="D281" s="248" t="s">
        <v>347</v>
      </c>
      <c r="E281" s="457">
        <v>1858421.0985100381</v>
      </c>
    </row>
    <row r="282" spans="1:5">
      <c r="A282" s="247" t="s">
        <v>388</v>
      </c>
      <c r="B282" s="247" t="s">
        <v>340</v>
      </c>
      <c r="C282" s="247" t="s">
        <v>391</v>
      </c>
      <c r="D282" s="247" t="s">
        <v>348</v>
      </c>
      <c r="E282" s="458">
        <v>2037885.5461714223</v>
      </c>
    </row>
    <row r="283" spans="1:5">
      <c r="A283" s="248" t="s">
        <v>388</v>
      </c>
      <c r="B283" s="248" t="s">
        <v>340</v>
      </c>
      <c r="C283" s="248" t="s">
        <v>391</v>
      </c>
      <c r="D283" s="248" t="s">
        <v>349</v>
      </c>
      <c r="E283" s="457">
        <v>6987248.0407667914</v>
      </c>
    </row>
    <row r="284" spans="1:5">
      <c r="A284" s="247" t="s">
        <v>388</v>
      </c>
      <c r="B284" s="247" t="s">
        <v>340</v>
      </c>
      <c r="C284" s="247" t="s">
        <v>391</v>
      </c>
      <c r="D284" s="247" t="s">
        <v>350</v>
      </c>
      <c r="E284" s="458">
        <v>2543648.9895807784</v>
      </c>
    </row>
    <row r="285" spans="1:5">
      <c r="A285" s="248" t="s">
        <v>388</v>
      </c>
      <c r="B285" s="248" t="s">
        <v>340</v>
      </c>
      <c r="C285" s="248" t="s">
        <v>391</v>
      </c>
      <c r="D285" s="248" t="s">
        <v>351</v>
      </c>
      <c r="E285" s="457">
        <v>643698.92797554389</v>
      </c>
    </row>
    <row r="286" spans="1:5">
      <c r="A286" s="247" t="s">
        <v>388</v>
      </c>
      <c r="B286" s="247" t="s">
        <v>340</v>
      </c>
      <c r="C286" s="247" t="s">
        <v>392</v>
      </c>
      <c r="D286" s="247" t="s">
        <v>359</v>
      </c>
      <c r="E286" s="458">
        <v>3902294.3144579236</v>
      </c>
    </row>
    <row r="287" spans="1:5">
      <c r="A287" s="248" t="s">
        <v>388</v>
      </c>
      <c r="B287" s="248" t="s">
        <v>340</v>
      </c>
      <c r="C287" s="248" t="s">
        <v>392</v>
      </c>
      <c r="D287" s="248" t="s">
        <v>347</v>
      </c>
      <c r="E287" s="457">
        <v>3119069.0931688501</v>
      </c>
    </row>
    <row r="288" spans="1:5">
      <c r="A288" s="247" t="s">
        <v>388</v>
      </c>
      <c r="B288" s="247" t="s">
        <v>340</v>
      </c>
      <c r="C288" s="247" t="s">
        <v>392</v>
      </c>
      <c r="D288" s="247" t="s">
        <v>348</v>
      </c>
      <c r="E288" s="458">
        <v>3267760.8570338837</v>
      </c>
    </row>
    <row r="289" spans="1:5">
      <c r="A289" s="248" t="s">
        <v>388</v>
      </c>
      <c r="B289" s="248" t="s">
        <v>340</v>
      </c>
      <c r="C289" s="248" t="s">
        <v>392</v>
      </c>
      <c r="D289" s="248" t="s">
        <v>349</v>
      </c>
      <c r="E289" s="457">
        <v>7650709.9430555217</v>
      </c>
    </row>
    <row r="290" spans="1:5">
      <c r="A290" s="247" t="s">
        <v>388</v>
      </c>
      <c r="B290" s="247" t="s">
        <v>340</v>
      </c>
      <c r="C290" s="247" t="s">
        <v>392</v>
      </c>
      <c r="D290" s="247" t="s">
        <v>350</v>
      </c>
      <c r="E290" s="458">
        <v>2766358.397489002</v>
      </c>
    </row>
    <row r="291" spans="1:5">
      <c r="A291" s="248" t="s">
        <v>388</v>
      </c>
      <c r="B291" s="248" t="s">
        <v>340</v>
      </c>
      <c r="C291" s="248" t="s">
        <v>392</v>
      </c>
      <c r="D291" s="248" t="s">
        <v>351</v>
      </c>
      <c r="E291" s="457">
        <v>610327.82144601108</v>
      </c>
    </row>
  </sheetData>
  <sheetProtection algorithmName="SHA-512" hashValue="WoEfIo7bN1lYDFSTwMzljR0/oOriBwgT4t5UYf+VnKOcnlzFH07KU5IkJiLA3hNW1DuqGWXt7f5zlKCN5P3N+g==" saltValue="bau0K25Xvev5ur5R8WX3z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Q D A A B Q S w M E F A A C A A g A I q 1 F U g q M D U q i A A A A 9 Q A A A B I A H A B D b 2 5 m a W c v U G F j a 2 F n Z S 5 4 b W w g o h g A K K A U A A A A A A A A A A A A A A A A A A A A A A A A A A A A h Y 8 x D o I w G I W v Q r r T l r o Q 8 l M G w y a J i Y l x b U q F R m g N L Z a 7 O X g k r y B G U T f H 9 7 5 v e O 9 + v U E x 9 V 1 0 U Y P T 1 u Q o w R R F y k h b a 9 P k a P T H O E U F h 6 2 Q J 9 G o a J a N y y Z X 5 6 j 1 / p w R E k L A Y Y X t 0 B B G a U I O 1 W Y n W 9 U L 9 J H 1 f z n W x n l h p E I c 9 q 8 x n O E 0 x Y z O k 4 A s H V T a f D m b 2 Z P + l L A e O z 8 O i i s f l y W Q J Q J 5 X + A P U E s D B B Q A A g A I A C K t R V 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i r U V S s t g E L N A A A A C 9 A Q A A E w A c A E Z v c m 1 1 b G F z L 1 N l Y 3 R p b 2 4 x L m 0 g o h g A K K A U A A A A A A A A A A A A A A A A A A A A A A A A A A A A x Y + / i s J A E I f 7 Q N 5 h W B u F I I h Y i c U R r r x r L m g h F q v 5 3 W X J Z l d 2 Z w 8 l 5 G 1 8 D L u 8 m O u f 4 p p r b J x m Y O b H N / N 5 7 F h Z Q 1 / 3 P p m n S Z r 4 S j q U N B D O V v i F V 0 b V g X R / q h h S G Q h a k A a n C c V 6 0 1 r V 0 s f R + 2 E H P c 6 D c z C 8 s q 7 e W l s P R + 3 6 U z Z Y i E J u o a d i 0 6 1 z a z h G N t m d M B A f I Z T g U B L 3 5 / 6 8 v / J j W m N c O G n 8 t 3 V N b n V o T H H c w w 8 f F 7 O 2 F U v A / U x E R h w 3 x D h w 1 4 3 S R J n / y H / 9 b g / N n n e Z v d r l A l B L A Q I t A B Q A A g A I A C K t R V I K j A 1 K o g A A A P U A A A A S A A A A A A A A A A A A A A A A A A A A A A B D b 2 5 m a W c v U G F j a 2 F n Z S 5 4 b W x Q S w E C L Q A U A A I A C A A i r U V S D 8 r p q 6 Q A A A D p A A A A E w A A A A A A A A A A A A A A A A D u A A A A W 0 N v b n R l b n R f V H l w Z X N d L n h t b F B L A Q I t A B Q A A g A I A C K t R V K y 2 A Q s 0 A A A A L 0 B A A A T A A A A A A A A A A A A A A A A A N 8 B A A B G b 3 J t d W x h c y 9 T Z W N 0 a W 9 u M S 5 t U E s F B g A A A A A D A A M A w g A A A P 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Y P A A A A A A A A J A 8 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y b 2 h l d m V z a W 5 p a 3 U l M j B s J U M z J U E 0 a H R l Y W l u Z 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l Z X J p b W l u Z S 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M y I g L z 4 8 R W 5 0 c n k g V H l w Z T 0 i R m l s b E V y c m 9 y Q 2 9 k Z S I g V m F s d W U 9 I n N V b m t u b 3 d u I i A v P j x F b n R y e S B U e X B l P S J G a W x s R X J y b 3 J D b 3 V u d C I g V m F s d W U 9 I m w w I i A v P j x F b n R y e S B U e X B l P S J G a W x s T G F z d F V w Z G F 0 Z W Q i I F Z h b H V l P S J k M j A y M S 0 w M i 0 w N V Q x O T o y N j o y O S 4 2 M z c w N j Y y W i I g L z 4 8 R W 5 0 c n k g V H l w Z T 0 i R m l s b E N v b H V t b l R 5 c G V z I i B W Y W x 1 Z T 0 i c 0 J n P T 0 i I C 8 + P E V u d H J 5 I F R 5 c G U 9 I k Z p b G x D b 2 x 1 b W 5 O Y W 1 l c y I g V m F s d W U 9 I n N b J n F 1 b 3 Q 7 V m V l c m c 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c m 9 o Z X Z l c 2 l u a W t 1 I G z D p G h 0 Z W F p b m U v Q X V 0 b 1 J l b W 9 2 Z W R D b 2 x 1 b W 5 z M S 5 7 V m V l c m c x L D B 9 J n F 1 b 3 Q 7 X S w m c X V v d D t D b 2 x 1 b W 5 D b 3 V u d C Z x d W 9 0 O z o x L C Z x d W 9 0 O 0 t l e U N v b H V t b k 5 h b W V z J n F 1 b 3 Q 7 O l t d L C Z x d W 9 0 O 0 N v b H V t b k l k Z W 5 0 a X R p Z X M m c X V v d D s 6 W y Z x d W 9 0 O 1 N l Y 3 R p b 2 4 x L 3 J v a G V 2 Z X N p b m l r d S B s w 6 R o d G V h a W 5 l L 0 F 1 d G 9 S Z W 1 v d m V k Q 2 9 s d W 1 u c z E u e 1 Z l Z X J n M S w w f S Z x d W 9 0 O 1 0 s J n F 1 b 3 Q 7 U m V s Y X R p b 2 5 z a G l w S W 5 m b y Z x d W 9 0 O z p b X X 0 i I C 8 + P C 9 T d G F i b G V F b n R y a W V z P j w v S X R l b T 4 8 S X R l b T 4 8 S X R l b U x v Y 2 F 0 a W 9 u P j x J d G V t V H l w Z T 5 G b 3 J t d W x h P C 9 J d G V t V H l w Z T 4 8 S X R l b V B h d G g + U 2 V j d G l v b j E v c m 9 o Z X Z l c 2 l u a W t 1 J T I w b C V D M y V B N G h 0 Z W F p b m U v Q W x s a W t h c z w v S X R l b V B h d G g + P C 9 J d G V t T G 9 j Y X R p b 2 4 + P F N 0 Y W J s Z U V u d H J p Z X M g L z 4 8 L 0 l 0 Z W 0 + P E l 0 Z W 0 + P E l 0 Z W 1 M b 2 N h d G l v b j 4 8 S X R l b V R 5 c G U + R m 9 y b X V s Y T w v S X R l b V R 5 c G U + P E l 0 Z W 1 Q Y X R o P l N l Y 3 R p b 2 4 x L 3 J v a G V 2 Z X N p b m l r d S U y M G w l Q z M l Q T R o d G V h a W 5 l L 0 1 1 d W R l d H V k J T I w d C V D M y V C Q y V D M y V C Q 3 A 8 L 0 l 0 Z W 1 Q Y X R o P j w v S X R l b U x v Y 2 F 0 a W 9 u P j x T d G F i b G V F b n R y a W V z I C 8 + P C 9 J d G V t P j x J d G V t P j x J d G V t T G 9 j Y X R p b 2 4 + P E l 0 Z W 1 U e X B l P k Z v c m 1 1 b G E 8 L 0 l 0 Z W 1 U e X B l P j x J d G V t U G F 0 a D 5 T Z W N 0 a W 9 u M S 9 U Y W J l b D U 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Z W V y a W 1 p b m U i I C 8 + P E V u d H J 5 I F R 5 c G U 9 I l J l Y 2 9 2 Z X J 5 V G F y Z 2 V 0 U 2 h l Z X Q i I F Z h b H V l P S J z V H V s Z W 1 1 c 2 V k I i A v P j x F b n R y e S B U e X B l P S J S Z W N v d m V y e V R h c m d l d E N v b H V t b i I g V m F s d W U 9 I m w x M C I g L z 4 8 R W 5 0 c n k g V H l w Z T 0 i U m V j b 3 Z l c n l U Y X J n Z X R S b 3 c i I F Z h b H V l P S J s M T g i I C 8 + P E V u d H J 5 I F R 5 c G U 9 I k Z p b G x l Z E N v b X B s Z X R l U m V z d W x 0 V G 9 X b 3 J r c 2 h l Z X Q i I F Z h b H V l P S J s M S I g L z 4 8 R W 5 0 c n k g V H l w Z T 0 i Q W R k Z W R U b 0 R h d G F N b 2 R l b C I g V m F s d W U 9 I m w w I i A v P j x F b n R y e S B U e X B l P S J G a W x s Q 2 9 1 b n Q i I F Z h b H V l P S J s M y I g L z 4 8 R W 5 0 c n k g V H l w Z T 0 i R m l s b E V y c m 9 y Q 2 9 k Z S I g V m F s d W U 9 I n N V b m t u b 3 d u I i A v P j x F b n R y e S B U e X B l P S J G a W x s R X J y b 3 J D b 3 V u d C I g V m F s d W U 9 I m w w I i A v P j x F b n R y e S B U e X B l P S J G a W x s T G F z d F V w Z G F 0 Z W Q i I F Z h b H V l P S J k M j A y M S 0 w M i 0 w N V Q x O T o 0 M D o x O C 4 3 N j M y M j Y 2 W i I g L z 4 8 R W 5 0 c n k g V H l w Z T 0 i R m l s b E N v b H V t b l R 5 c G V z I i B W Y W x 1 Z T 0 i c 0 J n P T 0 i I C 8 + P E V u d H J 5 I F R 5 c G U 9 I k Z p b G x D b 2 x 1 b W 5 O Y W 1 l c y I g V m F s d W U 9 I n N b J n F 1 b 3 Q 7 V m V l c m c 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Z W w 1 L 0 F 1 d G 9 S Z W 1 v d m V k Q 2 9 s d W 1 u c z E u e 1 Z l Z X J n M S w w f S Z x d W 9 0 O 1 0 s J n F 1 b 3 Q 7 Q 2 9 s d W 1 u Q 2 9 1 b n Q m c X V v d D s 6 M S w m c X V v d D t L Z X l D b 2 x 1 b W 5 O Y W 1 l c y Z x d W 9 0 O z p b X S w m c X V v d D t D b 2 x 1 b W 5 J Z G V u d G l 0 a W V z J n F 1 b 3 Q 7 O l s m c X V v d D t T Z W N 0 a W 9 u M S 9 U Y W J l b D U v Q X V 0 b 1 J l b W 9 2 Z W R D b 2 x 1 b W 5 z M S 5 7 V m V l c m c x L D B 9 J n F 1 b 3 Q 7 X S w m c X V v d D t S Z W x h d G l v b n N o a X B J b m Z v J n F 1 b 3 Q 7 O l t d f S I g L z 4 8 L 1 N 0 Y W J s Z U V u d H J p Z X M + P C 9 J d G V t P j x J d G V t P j x J d G V t T G 9 j Y X R p b 2 4 + P E l 0 Z W 1 U e X B l P k Z v c m 1 1 b G E 8 L 0 l 0 Z W 1 U e X B l P j x J d G V t U G F 0 a D 5 T Z W N 0 a W 9 u M S 9 U Y W J l b D U v Q W x s a W t h c z w v S X R l b V B h d G g + P C 9 J d G V t T G 9 j Y X R p b 2 4 + P F N 0 Y W J s Z U V u d H J p Z X M g L z 4 8 L 0 l 0 Z W 0 + P E l 0 Z W 0 + P E l 0 Z W 1 M b 2 N h d G l v b j 4 8 S X R l b V R 5 c G U + R m 9 y b X V s Y T w v S X R l b V R 5 c G U + P E l 0 Z W 1 Q Y X R o P l N l Y 3 R p b 2 4 x L 1 R h Y m V s N S 9 N d X V k Z X R 1 Z C U y M H Q l Q z M l Q k M l Q z M l Q k N w P C 9 J d G V t U G F 0 a D 4 8 L 0 l 0 Z W 1 M b 2 N h d G l v b j 4 8 U 3 R h Y m x l R W 5 0 c m l l c y A v P j w v S X R l b T 4 8 L 0 l 0 Z W 1 z P j w v T G 9 j Y W x Q Y W N r Y W d l T W V 0 Y W R h d G F G a W x l P h Y A A A B Q S w U G A A A A A A A A A A A A A A A A A A A A A A A A 2 g A A A A E A A A D Q j J 3 f A R X R E Y x 6 A M B P w p f r A Q A A A P 8 M b f Z Y c U 5 O h C I O e 9 5 L W s 8 A A A A A A g A A A A A A A 2 Y A A M A A A A A Q A A A A e s y s 8 K S 5 r n x q s G Q v 4 b B 3 3 A A A A A A E g A A A o A A A A B A A A A C 7 J j 6 i 3 Y k y w l z n 1 n 1 X g t 1 X U A A A A M u h Q q v N M B u l D i O W r q y c V w V V C G G A 5 2 j p K M U z r P M A z s R 9 d e 4 q T u A U C T o A n q S 0 H j a O C T k Z / s j V P e Y n h d F n k 1 b s T Y O f Y v 0 q h d a T r H + q H G 0 Z u Y W 5 F A A A A O A I V o E w p F c e C B o L n V j O v P 0 N K 7 y V < / D a t a M a s h u p > 
</file>

<file path=customXml/itemProps1.xml><?xml version="1.0" encoding="utf-8"?>
<ds:datastoreItem xmlns:ds="http://schemas.openxmlformats.org/officeDocument/2006/customXml" ds:itemID="{4CDB741E-4290-4DFF-8D94-AC2889C4091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11</vt:i4>
      </vt:variant>
      <vt:variant>
        <vt:lpstr>Nimega vahemikud</vt:lpstr>
      </vt:variant>
      <vt:variant>
        <vt:i4>9</vt:i4>
      </vt:variant>
    </vt:vector>
  </HeadingPairs>
  <TitlesOfParts>
    <vt:vector size="20" baseType="lpstr">
      <vt:lpstr>TED art 25(2)</vt:lpstr>
      <vt:lpstr>Tulemused Tööstus</vt:lpstr>
      <vt:lpstr>Tulemused Transport</vt:lpstr>
      <vt:lpstr>Kütuste ümberarvutused</vt:lpstr>
      <vt:lpstr>Sõidukid</vt:lpstr>
      <vt:lpstr>Lähteained ja kütused</vt:lpstr>
      <vt:lpstr>Elekter 2020</vt:lpstr>
      <vt:lpstr>Sõidukite heited 2020</vt:lpstr>
      <vt:lpstr>Sõidukite läbisõidud 2020</vt:lpstr>
      <vt:lpstr>Process diagram</vt:lpstr>
      <vt:lpstr>Seletused</vt:lpstr>
      <vt:lpstr>'TED art 25(2)'!Biogaas</vt:lpstr>
      <vt:lpstr>'Tulemused Tööstus'!Biogaas</vt:lpstr>
      <vt:lpstr>Biogaas</vt:lpstr>
      <vt:lpstr>'TED art 25(2)'!Päike</vt:lpstr>
      <vt:lpstr>'Tulemused Tööstus'!Päike</vt:lpstr>
      <vt:lpstr>Päike</vt:lpstr>
      <vt:lpstr>'TED art 25(2)'!Tuul</vt:lpstr>
      <vt:lpstr>'Tulemused Tööstus'!Tuul</vt:lpstr>
      <vt:lpstr>Tuul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Jaanika Vilde</cp:lastModifiedBy>
  <cp:lastPrinted>2021-03-05T13:42:46Z</cp:lastPrinted>
  <dcterms:created xsi:type="dcterms:W3CDTF">2020-12-18T12:37:00Z</dcterms:created>
  <dcterms:modified xsi:type="dcterms:W3CDTF">2024-06-20T06:52:04Z</dcterms:modified>
  <dc:title>RRF_H2_KHG_arvutamine_20240619</dc:title>
</cp:coreProperties>
</file>