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egovg01.sharepoint.com/sites/Piirilesed_RTK/DOKUMENDID/CHF/Ettevalmistusfond_ja_Tehniline_abi/Detailed budget_annual plan 2026/"/>
    </mc:Choice>
  </mc:AlternateContent>
  <xr:revisionPtr revIDLastSave="434" documentId="13_ncr:1_{FFE86F9F-2D88-482B-99EB-F79D1D99D156}" xr6:coauthVersionLast="47" xr6:coauthVersionMax="47" xr10:uidLastSave="{34D8CFDE-E0CB-46EE-98E3-AFB862AF0A6E}"/>
  <bookViews>
    <workbookView xWindow="-110" yWindow="-110" windowWidth="19420" windowHeight="10300" tabRatio="453" xr2:uid="{00000000-000D-0000-FFFF-FFFF00000000}"/>
  </bookViews>
  <sheets>
    <sheet name="Budget 2026" sheetId="15" r:id="rId1"/>
    <sheet name="TA original budget" sheetId="4" r:id="rId2"/>
    <sheet name="Modifications_2023" sheetId="11" r:id="rId3"/>
    <sheet name="Modifications_2024" sheetId="6" r:id="rId4"/>
    <sheet name="Modifications_2025"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5" l="1"/>
  <c r="S24" i="15"/>
  <c r="Q24" i="15" s="1"/>
  <c r="P24" i="15"/>
  <c r="N24" i="15"/>
  <c r="M24" i="15"/>
  <c r="L24" i="15" s="1"/>
  <c r="J24" i="15"/>
  <c r="I24" i="15" s="1"/>
  <c r="G24" i="15"/>
  <c r="E24" i="15" s="1"/>
  <c r="D24" i="15"/>
  <c r="C24" i="15" s="1"/>
  <c r="S23" i="15"/>
  <c r="S21" i="15" s="1"/>
  <c r="N23" i="15"/>
  <c r="L23" i="15"/>
  <c r="K23" i="15"/>
  <c r="J23" i="15"/>
  <c r="H23" i="15" s="1"/>
  <c r="G23" i="15"/>
  <c r="F23" i="15" s="1"/>
  <c r="D23" i="15"/>
  <c r="D21" i="15" s="1"/>
  <c r="B23" i="15"/>
  <c r="U22" i="15"/>
  <c r="U21" i="15" s="1"/>
  <c r="T22" i="15"/>
  <c r="T21" i="15" s="1"/>
  <c r="R22" i="15"/>
  <c r="Q22" i="15"/>
  <c r="O22" i="15"/>
  <c r="O21" i="15" s="1"/>
  <c r="N22" i="15"/>
  <c r="M22" i="15"/>
  <c r="M21" i="15" s="1"/>
  <c r="J22" i="15"/>
  <c r="I22" i="15" s="1"/>
  <c r="G22" i="15"/>
  <c r="C22" i="15"/>
  <c r="B22" i="15"/>
  <c r="V21" i="15"/>
  <c r="P21" i="15"/>
  <c r="S20" i="15"/>
  <c r="S19" i="15" s="1"/>
  <c r="O20" i="15"/>
  <c r="O19" i="15" s="1"/>
  <c r="N20" i="15"/>
  <c r="N19" i="15" s="1"/>
  <c r="L20" i="15"/>
  <c r="L19" i="15" s="1"/>
  <c r="K20" i="15"/>
  <c r="K19" i="15" s="1"/>
  <c r="I20" i="15"/>
  <c r="I19" i="15" s="1"/>
  <c r="H20" i="15"/>
  <c r="H19" i="15" s="1"/>
  <c r="G20" i="15"/>
  <c r="E20" i="15" s="1"/>
  <c r="E19" i="15" s="1"/>
  <c r="D20" i="15"/>
  <c r="D19" i="15" s="1"/>
  <c r="V19" i="15"/>
  <c r="U19" i="15"/>
  <c r="T19" i="15"/>
  <c r="P19" i="15"/>
  <c r="M19" i="15"/>
  <c r="J19" i="15"/>
  <c r="S18" i="15"/>
  <c r="Q18" i="15" s="1"/>
  <c r="O18" i="15"/>
  <c r="N18" i="15"/>
  <c r="M18" i="15"/>
  <c r="L18" i="15" s="1"/>
  <c r="I18" i="15"/>
  <c r="H18" i="15"/>
  <c r="G18" i="15"/>
  <c r="F18" i="15" s="1"/>
  <c r="D18" i="15"/>
  <c r="C18" i="15" s="1"/>
  <c r="R17" i="15"/>
  <c r="Q17" i="15"/>
  <c r="O17" i="15"/>
  <c r="N17" i="15"/>
  <c r="L17" i="15"/>
  <c r="K17" i="15"/>
  <c r="R16" i="15"/>
  <c r="Q16" i="15"/>
  <c r="O16" i="15"/>
  <c r="N16" i="15"/>
  <c r="M16" i="15"/>
  <c r="K16" i="15" s="1"/>
  <c r="L16" i="15"/>
  <c r="J16" i="15"/>
  <c r="H16" i="15" s="1"/>
  <c r="F16" i="15"/>
  <c r="E16" i="15"/>
  <c r="S15" i="15"/>
  <c r="R15" i="15" s="1"/>
  <c r="O15" i="15"/>
  <c r="N15" i="15"/>
  <c r="M15" i="15"/>
  <c r="K15" i="15" s="1"/>
  <c r="J15" i="15"/>
  <c r="H15" i="15" s="1"/>
  <c r="G15" i="15"/>
  <c r="F15" i="15" s="1"/>
  <c r="D15" i="15"/>
  <c r="C15" i="15" s="1"/>
  <c r="R14" i="15"/>
  <c r="Q14" i="15"/>
  <c r="O14" i="15"/>
  <c r="N14" i="15"/>
  <c r="L14" i="15"/>
  <c r="K14" i="15"/>
  <c r="R13" i="15"/>
  <c r="Q13" i="15"/>
  <c r="O13" i="15"/>
  <c r="N13" i="15"/>
  <c r="L13" i="15"/>
  <c r="K13" i="15"/>
  <c r="R12" i="15"/>
  <c r="Q12" i="15"/>
  <c r="O12" i="15"/>
  <c r="N12" i="15"/>
  <c r="L12" i="15"/>
  <c r="K12" i="15"/>
  <c r="R11" i="15"/>
  <c r="Q11" i="15"/>
  <c r="O11" i="15"/>
  <c r="N11" i="15"/>
  <c r="L11" i="15"/>
  <c r="K11" i="15"/>
  <c r="R10" i="15"/>
  <c r="Q10" i="15"/>
  <c r="O10" i="15"/>
  <c r="N10" i="15"/>
  <c r="L10" i="15"/>
  <c r="K10" i="15"/>
  <c r="R9" i="15"/>
  <c r="Q9" i="15"/>
  <c r="O9" i="15"/>
  <c r="N9" i="15"/>
  <c r="L9" i="15"/>
  <c r="K9" i="15"/>
  <c r="J9" i="15"/>
  <c r="I9" i="15" s="1"/>
  <c r="F9" i="15"/>
  <c r="E9" i="15"/>
  <c r="D9" i="15"/>
  <c r="R8" i="15"/>
  <c r="Q8" i="15"/>
  <c r="O8" i="15"/>
  <c r="N8" i="15"/>
  <c r="L8" i="15"/>
  <c r="K8" i="15"/>
  <c r="R7" i="15"/>
  <c r="Q7" i="15"/>
  <c r="O7" i="15"/>
  <c r="N7" i="15"/>
  <c r="L7" i="15"/>
  <c r="K7" i="15"/>
  <c r="R6" i="15"/>
  <c r="Q6" i="15"/>
  <c r="O6" i="15"/>
  <c r="N6" i="15"/>
  <c r="M6" i="15"/>
  <c r="L6" i="15" s="1"/>
  <c r="J6" i="15"/>
  <c r="G6" i="15"/>
  <c r="F6" i="15" s="1"/>
  <c r="D6" i="15"/>
  <c r="C6" i="15" s="1"/>
  <c r="V5" i="15"/>
  <c r="U5" i="15"/>
  <c r="T5" i="15"/>
  <c r="P5" i="15"/>
  <c r="E15" i="15" l="1"/>
  <c r="R24" i="15"/>
  <c r="E6" i="15"/>
  <c r="I15" i="15"/>
  <c r="Q23" i="15"/>
  <c r="Q21" i="15" s="1"/>
  <c r="B15" i="15"/>
  <c r="I16" i="15"/>
  <c r="X16" i="15" s="1"/>
  <c r="Q20" i="15"/>
  <c r="Q19" i="15" s="1"/>
  <c r="R20" i="15"/>
  <c r="R19" i="15" s="1"/>
  <c r="R23" i="15"/>
  <c r="R21" i="15" s="1"/>
  <c r="X10" i="15"/>
  <c r="B24" i="15"/>
  <c r="K18" i="15"/>
  <c r="F20" i="15"/>
  <c r="F19" i="15" s="1"/>
  <c r="G19" i="15"/>
  <c r="J5" i="15"/>
  <c r="X11" i="15"/>
  <c r="B20" i="15"/>
  <c r="B19" i="15" s="1"/>
  <c r="C20" i="15"/>
  <c r="C19" i="15" s="1"/>
  <c r="B21" i="15"/>
  <c r="B6" i="15"/>
  <c r="G21" i="15"/>
  <c r="C23" i="15"/>
  <c r="C21" i="15" s="1"/>
  <c r="H22" i="15"/>
  <c r="H21" i="15" s="1"/>
  <c r="F24" i="15"/>
  <c r="X14" i="15"/>
  <c r="Q15" i="15"/>
  <c r="Q5" i="15" s="1"/>
  <c r="W11" i="15"/>
  <c r="V25" i="15"/>
  <c r="W17" i="15"/>
  <c r="F5" i="15"/>
  <c r="O5" i="15"/>
  <c r="O25" i="15" s="1"/>
  <c r="E22" i="15"/>
  <c r="X8" i="15"/>
  <c r="N5" i="15"/>
  <c r="W10" i="15"/>
  <c r="Y10" i="15" s="1"/>
  <c r="U25" i="15"/>
  <c r="F22" i="15"/>
  <c r="F21" i="15" s="1"/>
  <c r="E18" i="15"/>
  <c r="E5" i="15" s="1"/>
  <c r="J21" i="15"/>
  <c r="K22" i="15"/>
  <c r="K21" i="15" s="1"/>
  <c r="I23" i="15"/>
  <c r="I21" i="15" s="1"/>
  <c r="T25" i="15"/>
  <c r="X9" i="15"/>
  <c r="W13" i="15"/>
  <c r="D5" i="15"/>
  <c r="D25" i="15" s="1"/>
  <c r="X13" i="15"/>
  <c r="W16" i="15"/>
  <c r="W14" i="15"/>
  <c r="X17" i="15"/>
  <c r="L22" i="15"/>
  <c r="L21" i="15" s="1"/>
  <c r="G5" i="15"/>
  <c r="X12" i="15"/>
  <c r="M5" i="15"/>
  <c r="M25" i="15" s="1"/>
  <c r="H6" i="15"/>
  <c r="W7" i="15"/>
  <c r="H9" i="15"/>
  <c r="W12" i="15"/>
  <c r="N21" i="15"/>
  <c r="I6" i="15"/>
  <c r="X7" i="15"/>
  <c r="H24" i="15"/>
  <c r="P25" i="15"/>
  <c r="W8" i="15"/>
  <c r="L15" i="15"/>
  <c r="L5" i="15" s="1"/>
  <c r="R18" i="15"/>
  <c r="X18" i="15" s="1"/>
  <c r="S5" i="15"/>
  <c r="S25" i="15" s="1"/>
  <c r="S30" i="15" s="1"/>
  <c r="S31" i="15" s="1"/>
  <c r="C5" i="15"/>
  <c r="K6" i="15"/>
  <c r="B18" i="15"/>
  <c r="E23" i="15"/>
  <c r="K24" i="15"/>
  <c r="W19" i="15" l="1"/>
  <c r="X24" i="15"/>
  <c r="W23" i="15"/>
  <c r="I5" i="15"/>
  <c r="W15" i="15"/>
  <c r="Q25" i="15"/>
  <c r="Y14" i="15"/>
  <c r="X19" i="15"/>
  <c r="Y19" i="15" s="1"/>
  <c r="J25" i="15"/>
  <c r="Y11" i="15"/>
  <c r="X20" i="15"/>
  <c r="W22" i="15"/>
  <c r="K5" i="15"/>
  <c r="K25" i="15" s="1"/>
  <c r="G25" i="15"/>
  <c r="W20" i="15"/>
  <c r="I25" i="15"/>
  <c r="Y17" i="15"/>
  <c r="X23" i="15"/>
  <c r="H5" i="15"/>
  <c r="H25" i="15" s="1"/>
  <c r="F25" i="15"/>
  <c r="Y12" i="15"/>
  <c r="L25" i="15"/>
  <c r="Y8" i="15"/>
  <c r="Y7" i="15"/>
  <c r="W24" i="15"/>
  <c r="N25" i="15"/>
  <c r="R5" i="15"/>
  <c r="R25" i="15" s="1"/>
  <c r="X15" i="15"/>
  <c r="X21" i="15"/>
  <c r="Y16" i="15"/>
  <c r="X22" i="15"/>
  <c r="Y13" i="15"/>
  <c r="X6" i="15"/>
  <c r="W9" i="15"/>
  <c r="Y9" i="15" s="1"/>
  <c r="W18" i="15"/>
  <c r="Y18" i="15" s="1"/>
  <c r="B5" i="15"/>
  <c r="E21" i="15"/>
  <c r="C25" i="15"/>
  <c r="W6" i="15"/>
  <c r="Y24" i="15" l="1"/>
  <c r="Y23" i="15"/>
  <c r="Y15" i="15"/>
  <c r="Y22" i="15"/>
  <c r="X25" i="15"/>
  <c r="X5" i="15"/>
  <c r="Y20" i="15"/>
  <c r="Y6" i="15"/>
  <c r="W5" i="15"/>
  <c r="B25" i="15"/>
  <c r="E25" i="15"/>
  <c r="W21" i="15"/>
  <c r="Y21" i="15" s="1"/>
  <c r="Y5" i="15" l="1"/>
  <c r="W25" i="15"/>
  <c r="Y25" i="15" s="1"/>
  <c r="S27" i="14" l="1"/>
  <c r="M27" i="14"/>
  <c r="S18" i="14"/>
  <c r="M16" i="14"/>
  <c r="J27" i="14"/>
  <c r="J23" i="14"/>
  <c r="M22" i="14"/>
  <c r="R22" i="14" l="1"/>
  <c r="O20" i="14"/>
  <c r="O17" i="14"/>
  <c r="O18" i="14"/>
  <c r="O14" i="14"/>
  <c r="O15" i="14"/>
  <c r="O16" i="14"/>
  <c r="O7" i="14"/>
  <c r="O8" i="14"/>
  <c r="O9" i="14"/>
  <c r="O10" i="14"/>
  <c r="O11" i="14"/>
  <c r="O12" i="14"/>
  <c r="O13" i="14"/>
  <c r="O6" i="14"/>
  <c r="N23" i="14"/>
  <c r="N22" i="14"/>
  <c r="N20" i="14"/>
  <c r="N17" i="14"/>
  <c r="N18" i="14"/>
  <c r="N14" i="14"/>
  <c r="N15" i="14"/>
  <c r="N16" i="14"/>
  <c r="N10" i="14"/>
  <c r="N11" i="14"/>
  <c r="N12" i="14"/>
  <c r="N13" i="14"/>
  <c r="N7" i="14"/>
  <c r="N8" i="14"/>
  <c r="N9" i="14"/>
  <c r="N6" i="14"/>
  <c r="R17" i="14"/>
  <c r="R14" i="14"/>
  <c r="R16" i="14"/>
  <c r="R7" i="14"/>
  <c r="R8" i="14"/>
  <c r="R9" i="14"/>
  <c r="R10" i="14"/>
  <c r="R11" i="14"/>
  <c r="R12" i="14"/>
  <c r="R13" i="14"/>
  <c r="R6" i="14"/>
  <c r="Q22" i="14"/>
  <c r="Q7" i="14"/>
  <c r="Q8" i="14"/>
  <c r="Q9" i="14"/>
  <c r="Q10" i="14"/>
  <c r="Q11" i="14"/>
  <c r="Q12" i="14"/>
  <c r="Q13" i="14"/>
  <c r="Q14" i="14"/>
  <c r="Q16" i="14"/>
  <c r="Q17" i="14"/>
  <c r="L23" i="14"/>
  <c r="L22" i="14"/>
  <c r="L20" i="14"/>
  <c r="L19" i="14" s="1"/>
  <c r="L17" i="14"/>
  <c r="L14" i="14"/>
  <c r="L16" i="14"/>
  <c r="L10" i="14"/>
  <c r="L11" i="14"/>
  <c r="L12" i="14"/>
  <c r="L13" i="14"/>
  <c r="L7" i="14"/>
  <c r="L8" i="14"/>
  <c r="L9" i="14"/>
  <c r="K23" i="14"/>
  <c r="K22" i="14"/>
  <c r="K20" i="14"/>
  <c r="K17" i="14"/>
  <c r="K16" i="14"/>
  <c r="K10" i="14"/>
  <c r="K11" i="14"/>
  <c r="K12" i="14"/>
  <c r="K13" i="14"/>
  <c r="K14" i="14"/>
  <c r="K7" i="14"/>
  <c r="K8" i="14"/>
  <c r="K9" i="14"/>
  <c r="Q18" i="14"/>
  <c r="D20" i="14"/>
  <c r="D15" i="14"/>
  <c r="D9" i="14"/>
  <c r="J6" i="14"/>
  <c r="G24" i="14"/>
  <c r="G20" i="14"/>
  <c r="G15" i="14"/>
  <c r="G6" i="14"/>
  <c r="D24" i="14"/>
  <c r="D23" i="14"/>
  <c r="D18" i="14"/>
  <c r="M18" i="14"/>
  <c r="L18" i="14" s="1"/>
  <c r="S24" i="14"/>
  <c r="Q24" i="14" s="1"/>
  <c r="J24" i="14"/>
  <c r="J16" i="14"/>
  <c r="M6" i="14"/>
  <c r="L6" i="14" s="1"/>
  <c r="S23" i="14"/>
  <c r="Q23" i="14" s="1"/>
  <c r="G23" i="14"/>
  <c r="G27" i="14"/>
  <c r="G22" i="14"/>
  <c r="S20" i="14"/>
  <c r="R20" i="14" s="1"/>
  <c r="M15" i="14"/>
  <c r="K15" i="14" s="1"/>
  <c r="D27" i="14"/>
  <c r="G18" i="14"/>
  <c r="J9" i="14"/>
  <c r="R18" i="14" l="1"/>
  <c r="K18" i="14"/>
  <c r="K6" i="14"/>
  <c r="L15" i="14"/>
  <c r="L5" i="14" s="1"/>
  <c r="R24" i="14"/>
  <c r="R23" i="14"/>
  <c r="R21" i="14" s="1"/>
  <c r="L21" i="14"/>
  <c r="D6" i="14"/>
  <c r="C6" i="14" s="1"/>
  <c r="P24" i="14"/>
  <c r="N24" i="14" s="1"/>
  <c r="M24" i="14"/>
  <c r="I24" i="14"/>
  <c r="H24" i="14"/>
  <c r="F24" i="14"/>
  <c r="E24" i="14"/>
  <c r="B24" i="14"/>
  <c r="C24" i="14"/>
  <c r="I23" i="14"/>
  <c r="H23" i="14"/>
  <c r="G21" i="14"/>
  <c r="F23" i="14"/>
  <c r="E23" i="14"/>
  <c r="B23" i="14"/>
  <c r="C23" i="14"/>
  <c r="U22" i="14"/>
  <c r="U21" i="14" s="1"/>
  <c r="T22" i="14"/>
  <c r="T21" i="14" s="1"/>
  <c r="Q21" i="14"/>
  <c r="O22" i="14"/>
  <c r="O21" i="14" s="1"/>
  <c r="N21" i="14"/>
  <c r="K21" i="14"/>
  <c r="J22" i="14"/>
  <c r="I22" i="14" s="1"/>
  <c r="F22" i="14"/>
  <c r="E22" i="14"/>
  <c r="C22" i="14"/>
  <c r="B22" i="14"/>
  <c r="V21" i="14"/>
  <c r="S21" i="14"/>
  <c r="P21" i="14"/>
  <c r="M21" i="14"/>
  <c r="Q20" i="14"/>
  <c r="Q19" i="14" s="1"/>
  <c r="R19" i="14"/>
  <c r="I20" i="14"/>
  <c r="I19" i="14" s="1"/>
  <c r="H20" i="14"/>
  <c r="H19" i="14" s="1"/>
  <c r="F20" i="14"/>
  <c r="C20" i="14"/>
  <c r="C19" i="14" s="1"/>
  <c r="B20" i="14"/>
  <c r="B19" i="14" s="1"/>
  <c r="V19" i="14"/>
  <c r="U19" i="14"/>
  <c r="T19" i="14"/>
  <c r="P19" i="14"/>
  <c r="O19" i="14"/>
  <c r="N19" i="14"/>
  <c r="M19" i="14"/>
  <c r="K19" i="14"/>
  <c r="J19" i="14"/>
  <c r="G19" i="14"/>
  <c r="D19" i="14"/>
  <c r="I18" i="14"/>
  <c r="H18" i="14"/>
  <c r="F18" i="14"/>
  <c r="E18" i="14"/>
  <c r="C18" i="14"/>
  <c r="B18" i="14"/>
  <c r="X17" i="14"/>
  <c r="W17" i="14"/>
  <c r="I16" i="14"/>
  <c r="H16" i="14"/>
  <c r="F16" i="14"/>
  <c r="E16" i="14"/>
  <c r="S15" i="14"/>
  <c r="J15" i="14"/>
  <c r="J5" i="14" s="1"/>
  <c r="F15" i="14"/>
  <c r="E15" i="14"/>
  <c r="B15" i="14"/>
  <c r="C15" i="14"/>
  <c r="X14" i="14"/>
  <c r="W14" i="14"/>
  <c r="X13" i="14"/>
  <c r="W13" i="14"/>
  <c r="X12" i="14"/>
  <c r="W12" i="14"/>
  <c r="X11" i="14"/>
  <c r="W11" i="14"/>
  <c r="X10" i="14"/>
  <c r="W10" i="14"/>
  <c r="I9" i="14"/>
  <c r="H9" i="14"/>
  <c r="F9" i="14"/>
  <c r="X8" i="14"/>
  <c r="W8" i="14"/>
  <c r="X7" i="14"/>
  <c r="W7" i="14"/>
  <c r="Q6" i="14"/>
  <c r="I6" i="14"/>
  <c r="H6" i="14"/>
  <c r="F6" i="14"/>
  <c r="E6" i="14"/>
  <c r="V5" i="14"/>
  <c r="U5" i="14"/>
  <c r="T5" i="14"/>
  <c r="P5" i="14"/>
  <c r="O5" i="14"/>
  <c r="N5" i="14"/>
  <c r="M5" i="14"/>
  <c r="R24" i="6"/>
  <c r="Q24" i="6"/>
  <c r="J24" i="6"/>
  <c r="D24" i="6"/>
  <c r="J23" i="6"/>
  <c r="D23" i="6"/>
  <c r="I21" i="14" l="1"/>
  <c r="Y12" i="14"/>
  <c r="K5" i="14"/>
  <c r="O25" i="14"/>
  <c r="H22" i="14"/>
  <c r="H21" i="14" s="1"/>
  <c r="W16" i="14"/>
  <c r="M25" i="14"/>
  <c r="M30" i="14" s="1"/>
  <c r="M31" i="14" s="1"/>
  <c r="X16" i="14"/>
  <c r="J21" i="14"/>
  <c r="J25" i="14" s="1"/>
  <c r="J30" i="14" s="1"/>
  <c r="J31" i="14" s="1"/>
  <c r="Y17" i="14"/>
  <c r="H15" i="14"/>
  <c r="H5" i="14" s="1"/>
  <c r="I15" i="14"/>
  <c r="I5" i="14" s="1"/>
  <c r="L24" i="14"/>
  <c r="L25" i="14" s="1"/>
  <c r="K24" i="14"/>
  <c r="R15" i="14"/>
  <c r="Q15" i="14"/>
  <c r="S5" i="14"/>
  <c r="P25" i="14"/>
  <c r="V25" i="14"/>
  <c r="Y13" i="14"/>
  <c r="Y11" i="14"/>
  <c r="Y10" i="14"/>
  <c r="N25" i="14"/>
  <c r="Y14" i="14"/>
  <c r="Y7" i="14"/>
  <c r="Y8" i="14"/>
  <c r="T25" i="14"/>
  <c r="U25" i="14"/>
  <c r="B6" i="14"/>
  <c r="B5" i="14" s="1"/>
  <c r="F21" i="14"/>
  <c r="X23" i="14"/>
  <c r="E21" i="14"/>
  <c r="X22" i="14"/>
  <c r="X18" i="14"/>
  <c r="W18" i="14"/>
  <c r="C5" i="14"/>
  <c r="X6" i="14"/>
  <c r="W23" i="14"/>
  <c r="B21" i="14"/>
  <c r="F5" i="14"/>
  <c r="X9" i="14"/>
  <c r="F19" i="14"/>
  <c r="X19" i="14" s="1"/>
  <c r="X20" i="14"/>
  <c r="E20" i="14"/>
  <c r="C21" i="14"/>
  <c r="G5" i="14"/>
  <c r="G25" i="14" s="1"/>
  <c r="G30" i="14" s="1"/>
  <c r="G31" i="14" s="1"/>
  <c r="D21" i="14"/>
  <c r="D5" i="14"/>
  <c r="S19" i="14"/>
  <c r="E9" i="14"/>
  <c r="I25" i="14" l="1"/>
  <c r="X15" i="14"/>
  <c r="K25" i="14"/>
  <c r="Y16" i="14"/>
  <c r="W15" i="14"/>
  <c r="H25" i="14"/>
  <c r="W22" i="14"/>
  <c r="Y22" i="14" s="1"/>
  <c r="S25" i="14"/>
  <c r="X24" i="14"/>
  <c r="W24" i="14"/>
  <c r="R5" i="14"/>
  <c r="R25" i="14" s="1"/>
  <c r="W6" i="14"/>
  <c r="Y6" i="14" s="1"/>
  <c r="Q5" i="14"/>
  <c r="Q25" i="14" s="1"/>
  <c r="W21" i="14"/>
  <c r="X21" i="14"/>
  <c r="Y23" i="14"/>
  <c r="Y18" i="14"/>
  <c r="F25" i="14"/>
  <c r="E19" i="14"/>
  <c r="W19" i="14" s="1"/>
  <c r="Y19" i="14" s="1"/>
  <c r="W20" i="14"/>
  <c r="Y20" i="14" s="1"/>
  <c r="B25" i="14"/>
  <c r="C25" i="14"/>
  <c r="E5" i="14"/>
  <c r="W9" i="14"/>
  <c r="Y9" i="14" s="1"/>
  <c r="D25" i="14"/>
  <c r="D30" i="14" s="1"/>
  <c r="D31" i="14" s="1"/>
  <c r="H24" i="6"/>
  <c r="S30" i="14" l="1"/>
  <c r="S31" i="14" s="1"/>
  <c r="Y15" i="14"/>
  <c r="Y24" i="14"/>
  <c r="X5" i="14"/>
  <c r="Y21" i="14"/>
  <c r="E25" i="14"/>
  <c r="W25" i="14" s="1"/>
  <c r="X25" i="14"/>
  <c r="W5" i="14"/>
  <c r="Y5" i="14" l="1"/>
  <c r="Y25" i="14"/>
  <c r="H5" i="11"/>
  <c r="I5" i="11"/>
  <c r="J5" i="11"/>
  <c r="K5" i="11"/>
  <c r="L5" i="11"/>
  <c r="M5" i="11"/>
  <c r="P5" i="11"/>
  <c r="Q5" i="11"/>
  <c r="R5" i="11"/>
  <c r="S5" i="11"/>
  <c r="T5" i="11"/>
  <c r="U5" i="11"/>
  <c r="V5" i="11"/>
  <c r="D6" i="11"/>
  <c r="B6" i="11" s="1"/>
  <c r="G6" i="11"/>
  <c r="E6" i="11" s="1"/>
  <c r="W7" i="11"/>
  <c r="X7" i="11"/>
  <c r="W8" i="11"/>
  <c r="X8" i="11"/>
  <c r="D9" i="11"/>
  <c r="W9" i="11"/>
  <c r="X9" i="11"/>
  <c r="W10" i="11"/>
  <c r="X10" i="11"/>
  <c r="W11" i="11"/>
  <c r="X11" i="11"/>
  <c r="W12" i="11"/>
  <c r="X12" i="11"/>
  <c r="N13" i="11"/>
  <c r="N5" i="11" s="1"/>
  <c r="O13" i="11"/>
  <c r="O5" i="11" s="1"/>
  <c r="W14" i="11"/>
  <c r="X14" i="11"/>
  <c r="D15" i="11"/>
  <c r="B15" i="11" s="1"/>
  <c r="G15" i="11"/>
  <c r="F15" i="11" s="1"/>
  <c r="W16" i="11"/>
  <c r="X16" i="11"/>
  <c r="W17" i="11"/>
  <c r="X17" i="11"/>
  <c r="G18" i="11"/>
  <c r="E18" i="11" s="1"/>
  <c r="W18" i="11" s="1"/>
  <c r="H19" i="11"/>
  <c r="I19" i="11"/>
  <c r="J19" i="11"/>
  <c r="K19" i="11"/>
  <c r="L19" i="11"/>
  <c r="M19" i="11"/>
  <c r="N19" i="11"/>
  <c r="O19" i="11"/>
  <c r="P19" i="11"/>
  <c r="Q19" i="11"/>
  <c r="R19" i="11"/>
  <c r="S19" i="11"/>
  <c r="T19" i="11"/>
  <c r="U19" i="11"/>
  <c r="V19" i="11"/>
  <c r="D20" i="11"/>
  <c r="D19" i="11" s="1"/>
  <c r="G20" i="11"/>
  <c r="G19" i="11" s="1"/>
  <c r="J21" i="11"/>
  <c r="M21" i="11"/>
  <c r="P21" i="11"/>
  <c r="S21" i="11"/>
  <c r="V21" i="11"/>
  <c r="B22" i="11"/>
  <c r="C22" i="11"/>
  <c r="E22" i="11"/>
  <c r="F22" i="11"/>
  <c r="H22" i="11"/>
  <c r="H21" i="11" s="1"/>
  <c r="I22" i="11"/>
  <c r="I21" i="11" s="1"/>
  <c r="K22" i="11"/>
  <c r="K21" i="11" s="1"/>
  <c r="L22" i="11"/>
  <c r="L21" i="11" s="1"/>
  <c r="N22" i="11"/>
  <c r="N21" i="11" s="1"/>
  <c r="O22" i="11"/>
  <c r="O21" i="11" s="1"/>
  <c r="Q22" i="11"/>
  <c r="Q21" i="11" s="1"/>
  <c r="R22" i="11"/>
  <c r="R21" i="11" s="1"/>
  <c r="T22" i="11"/>
  <c r="T21" i="11" s="1"/>
  <c r="U22" i="11"/>
  <c r="U21" i="11" s="1"/>
  <c r="D23" i="11"/>
  <c r="D21" i="11" s="1"/>
  <c r="G23" i="11"/>
  <c r="G21" i="11" s="1"/>
  <c r="D24" i="11"/>
  <c r="B24" i="11" s="1"/>
  <c r="G24" i="11"/>
  <c r="E24" i="11" s="1"/>
  <c r="J24" i="11"/>
  <c r="M24" i="11"/>
  <c r="P24" i="11"/>
  <c r="Y14" i="11" l="1"/>
  <c r="Y12" i="11"/>
  <c r="Y17" i="11"/>
  <c r="Y9" i="11"/>
  <c r="S25" i="11"/>
  <c r="Y8" i="11"/>
  <c r="V25" i="11"/>
  <c r="U25" i="11"/>
  <c r="Y7" i="11"/>
  <c r="F6" i="11"/>
  <c r="M25" i="11"/>
  <c r="Y11" i="11"/>
  <c r="C15" i="11"/>
  <c r="X15" i="11" s="1"/>
  <c r="L25" i="11"/>
  <c r="F20" i="11"/>
  <c r="F19" i="11" s="1"/>
  <c r="K25" i="11"/>
  <c r="Y16" i="11"/>
  <c r="E20" i="11"/>
  <c r="E19" i="11" s="1"/>
  <c r="C24" i="11"/>
  <c r="J25" i="11"/>
  <c r="I25" i="11"/>
  <c r="T25" i="11"/>
  <c r="H25" i="11"/>
  <c r="G5" i="11"/>
  <c r="G25" i="11" s="1"/>
  <c r="R25" i="11"/>
  <c r="B23" i="11"/>
  <c r="B21" i="11" s="1"/>
  <c r="Q25" i="11"/>
  <c r="F18" i="11"/>
  <c r="X18" i="11" s="1"/>
  <c r="Y18" i="11" s="1"/>
  <c r="C23" i="11"/>
  <c r="C21" i="11" s="1"/>
  <c r="P25" i="11"/>
  <c r="Y10" i="11"/>
  <c r="D5" i="11"/>
  <c r="D25" i="11" s="1"/>
  <c r="W24" i="11"/>
  <c r="B5" i="11"/>
  <c r="W6" i="11"/>
  <c r="O25" i="11"/>
  <c r="N25" i="11"/>
  <c r="E15" i="11"/>
  <c r="W15" i="11" s="1"/>
  <c r="X13" i="11"/>
  <c r="C20" i="11"/>
  <c r="B20" i="11"/>
  <c r="F24" i="11"/>
  <c r="E23" i="11"/>
  <c r="E21" i="11" s="1"/>
  <c r="W13" i="11"/>
  <c r="X22" i="11"/>
  <c r="C6" i="11"/>
  <c r="W22" i="11"/>
  <c r="F23" i="11"/>
  <c r="Y22" i="11" l="1"/>
  <c r="X24" i="11"/>
  <c r="Y24" i="11" s="1"/>
  <c r="Y15" i="11"/>
  <c r="W21" i="11"/>
  <c r="W23" i="11"/>
  <c r="X23" i="11"/>
  <c r="F5" i="11"/>
  <c r="F21" i="11"/>
  <c r="C5" i="11"/>
  <c r="X6" i="11"/>
  <c r="Y6" i="11" s="1"/>
  <c r="X20" i="11"/>
  <c r="C19" i="11"/>
  <c r="X19" i="11" s="1"/>
  <c r="E5" i="11"/>
  <c r="E25" i="11" s="1"/>
  <c r="Y13" i="11"/>
  <c r="B19" i="11"/>
  <c r="W19" i="11" s="1"/>
  <c r="W20" i="11"/>
  <c r="Y23" i="11" l="1"/>
  <c r="Y19" i="11"/>
  <c r="W5" i="11"/>
  <c r="Y20" i="11"/>
  <c r="B25" i="11"/>
  <c r="W25" i="11" s="1"/>
  <c r="C25" i="11"/>
  <c r="X5" i="11"/>
  <c r="X21" i="11"/>
  <c r="Y21" i="11" s="1"/>
  <c r="F25" i="11"/>
  <c r="Y5" i="11" l="1"/>
  <c r="X25" i="11"/>
  <c r="Y25" i="11" s="1"/>
  <c r="I24" i="6" l="1"/>
  <c r="I23" i="6"/>
  <c r="I20" i="6"/>
  <c r="I18" i="6"/>
  <c r="I16" i="6"/>
  <c r="I9" i="6"/>
  <c r="H23" i="6"/>
  <c r="G23" i="6"/>
  <c r="F23" i="6" s="1"/>
  <c r="H20" i="6"/>
  <c r="H18" i="6"/>
  <c r="H16" i="6"/>
  <c r="H9" i="6"/>
  <c r="F22" i="6"/>
  <c r="E22" i="6"/>
  <c r="C24" i="6"/>
  <c r="B24" i="6"/>
  <c r="C23" i="6"/>
  <c r="B23" i="6"/>
  <c r="D6" i="6"/>
  <c r="C6" i="6" s="1"/>
  <c r="E23" i="6" l="1"/>
  <c r="B6" i="6"/>
  <c r="Q6" i="6" l="1"/>
  <c r="G18" i="6"/>
  <c r="S15" i="6"/>
  <c r="G15" i="6"/>
  <c r="G20" i="6"/>
  <c r="F15" i="6" l="1"/>
  <c r="E15" i="6"/>
  <c r="R15" i="6"/>
  <c r="Q15" i="6"/>
  <c r="F20" i="6"/>
  <c r="E20" i="6"/>
  <c r="E18" i="6"/>
  <c r="F18" i="6"/>
  <c r="G24" i="6"/>
  <c r="J22" i="6"/>
  <c r="S20" i="6"/>
  <c r="Q20" i="6" s="1"/>
  <c r="J15" i="6"/>
  <c r="S18" i="6"/>
  <c r="R18" i="6" s="1"/>
  <c r="D18" i="6"/>
  <c r="G16" i="6"/>
  <c r="F16" i="6" s="1"/>
  <c r="J6" i="6"/>
  <c r="G9" i="6"/>
  <c r="E9" i="6" s="1"/>
  <c r="R20" i="6" l="1"/>
  <c r="F9" i="6"/>
  <c r="I22" i="6"/>
  <c r="H22" i="6"/>
  <c r="F24" i="6"/>
  <c r="E24" i="6"/>
  <c r="H6" i="6"/>
  <c r="I6" i="6"/>
  <c r="E16" i="6"/>
  <c r="C18" i="6"/>
  <c r="B18" i="6"/>
  <c r="H15" i="6"/>
  <c r="I15" i="6"/>
  <c r="Q18" i="6"/>
  <c r="G6" i="6"/>
  <c r="F6" i="6" l="1"/>
  <c r="E6" i="6"/>
  <c r="W6" i="6" s="1"/>
  <c r="D20" i="6"/>
  <c r="B20" i="6" s="1"/>
  <c r="D15" i="6"/>
  <c r="C15" i="6" s="1"/>
  <c r="D9" i="6"/>
  <c r="C20" i="6" l="1"/>
  <c r="B15" i="6"/>
  <c r="P21" i="6"/>
  <c r="S21" i="6"/>
  <c r="V21" i="6"/>
  <c r="M21" i="6"/>
  <c r="D21" i="6"/>
  <c r="E21" i="6"/>
  <c r="F21" i="6"/>
  <c r="G21" i="6"/>
  <c r="H21" i="6"/>
  <c r="I21" i="6"/>
  <c r="J21" i="6"/>
  <c r="U22" i="6"/>
  <c r="U21" i="6" s="1"/>
  <c r="T22" i="6"/>
  <c r="T21" i="6" s="1"/>
  <c r="R22" i="6"/>
  <c r="R21" i="6" s="1"/>
  <c r="Q22" i="6"/>
  <c r="Q21" i="6" s="1"/>
  <c r="O22" i="6"/>
  <c r="O21" i="6" s="1"/>
  <c r="N22" i="6"/>
  <c r="N21" i="6" s="1"/>
  <c r="L22" i="6"/>
  <c r="L21" i="6" s="1"/>
  <c r="K22" i="6"/>
  <c r="K21" i="6" s="1"/>
  <c r="C22" i="6"/>
  <c r="C21" i="6" s="1"/>
  <c r="B22" i="6"/>
  <c r="B21" i="6" s="1"/>
  <c r="X22" i="6" l="1"/>
  <c r="W22" i="6"/>
  <c r="Y22" i="6" l="1"/>
  <c r="X24" i="6"/>
  <c r="W24" i="6"/>
  <c r="P24" i="6"/>
  <c r="M24" i="6"/>
  <c r="X23" i="6"/>
  <c r="W23" i="6"/>
  <c r="X20" i="6"/>
  <c r="W20" i="6"/>
  <c r="V19" i="6"/>
  <c r="U19" i="6"/>
  <c r="T19" i="6"/>
  <c r="S19" i="6"/>
  <c r="R19" i="6"/>
  <c r="Q19" i="6"/>
  <c r="P19" i="6"/>
  <c r="O19" i="6"/>
  <c r="N19" i="6"/>
  <c r="M19" i="6"/>
  <c r="L19" i="6"/>
  <c r="K19" i="6"/>
  <c r="J19" i="6"/>
  <c r="I19" i="6"/>
  <c r="H19" i="6"/>
  <c r="G19" i="6"/>
  <c r="F19" i="6"/>
  <c r="E19" i="6"/>
  <c r="D19" i="6"/>
  <c r="C19" i="6"/>
  <c r="B19" i="6"/>
  <c r="X18" i="6"/>
  <c r="W18" i="6"/>
  <c r="X17" i="6"/>
  <c r="W17" i="6"/>
  <c r="X16" i="6"/>
  <c r="W16" i="6"/>
  <c r="X15" i="6"/>
  <c r="W15" i="6"/>
  <c r="D5" i="6"/>
  <c r="X14" i="6"/>
  <c r="W14" i="6"/>
  <c r="O13" i="6"/>
  <c r="X13" i="6" s="1"/>
  <c r="N13" i="6"/>
  <c r="N5" i="6" s="1"/>
  <c r="X12" i="6"/>
  <c r="W12" i="6"/>
  <c r="X11" i="6"/>
  <c r="W11" i="6"/>
  <c r="X10" i="6"/>
  <c r="W10" i="6"/>
  <c r="X9" i="6"/>
  <c r="W9" i="6"/>
  <c r="X8" i="6"/>
  <c r="W8" i="6"/>
  <c r="X7" i="6"/>
  <c r="W7" i="6"/>
  <c r="X6" i="6"/>
  <c r="V5" i="6"/>
  <c r="U5" i="6"/>
  <c r="T5" i="6"/>
  <c r="S5" i="6"/>
  <c r="R5" i="6"/>
  <c r="Q5" i="6"/>
  <c r="P5" i="6"/>
  <c r="M5" i="6"/>
  <c r="L5" i="6"/>
  <c r="K5" i="6"/>
  <c r="J5" i="6"/>
  <c r="I5" i="6"/>
  <c r="H5" i="6"/>
  <c r="F5" i="6"/>
  <c r="C5" i="6"/>
  <c r="B5" i="6"/>
  <c r="Y17" i="6" l="1"/>
  <c r="C25" i="6"/>
  <c r="F25" i="6"/>
  <c r="Y7" i="6"/>
  <c r="N25" i="6"/>
  <c r="R25" i="6"/>
  <c r="B25" i="6"/>
  <c r="Y10" i="6"/>
  <c r="V25" i="6"/>
  <c r="T25" i="6"/>
  <c r="U25" i="6"/>
  <c r="H25" i="6"/>
  <c r="J25" i="6"/>
  <c r="K25" i="6"/>
  <c r="L25" i="6"/>
  <c r="D25" i="6"/>
  <c r="I25" i="6"/>
  <c r="Y12" i="6"/>
  <c r="M25" i="6"/>
  <c r="Y18" i="6"/>
  <c r="S25" i="6"/>
  <c r="Y20" i="6"/>
  <c r="X19" i="6"/>
  <c r="W19" i="6"/>
  <c r="Y24" i="6"/>
  <c r="Y23" i="6"/>
  <c r="W21" i="6"/>
  <c r="X21" i="6"/>
  <c r="O5" i="6"/>
  <c r="O25" i="6" s="1"/>
  <c r="W13" i="6"/>
  <c r="Y13" i="6" s="1"/>
  <c r="Y15" i="6"/>
  <c r="P25" i="6"/>
  <c r="Y8" i="6"/>
  <c r="Q25" i="6"/>
  <c r="Y11" i="6"/>
  <c r="Y14" i="6"/>
  <c r="Y9" i="6"/>
  <c r="Y16" i="6"/>
  <c r="X23" i="4"/>
  <c r="W23" i="4"/>
  <c r="P23" i="4"/>
  <c r="M23" i="4"/>
  <c r="J23" i="4"/>
  <c r="G23" i="4"/>
  <c r="D23" i="4"/>
  <c r="X22" i="4"/>
  <c r="W22" i="4"/>
  <c r="V21" i="4"/>
  <c r="U21" i="4"/>
  <c r="T21" i="4"/>
  <c r="S21" i="4"/>
  <c r="R21" i="4"/>
  <c r="Q21" i="4"/>
  <c r="P21" i="4"/>
  <c r="O21" i="4"/>
  <c r="N21" i="4"/>
  <c r="M21" i="4"/>
  <c r="L21" i="4"/>
  <c r="K21" i="4"/>
  <c r="J21" i="4"/>
  <c r="I21" i="4"/>
  <c r="H21" i="4"/>
  <c r="G21" i="4"/>
  <c r="F21" i="4"/>
  <c r="E21" i="4"/>
  <c r="D21" i="4"/>
  <c r="C21" i="4"/>
  <c r="B21" i="4"/>
  <c r="X20" i="4"/>
  <c r="W20" i="4"/>
  <c r="V19" i="4"/>
  <c r="U19" i="4"/>
  <c r="T19" i="4"/>
  <c r="S19" i="4"/>
  <c r="R19" i="4"/>
  <c r="Q19" i="4"/>
  <c r="P19" i="4"/>
  <c r="O19" i="4"/>
  <c r="N19" i="4"/>
  <c r="M19" i="4"/>
  <c r="L19" i="4"/>
  <c r="K19" i="4"/>
  <c r="J19" i="4"/>
  <c r="I19" i="4"/>
  <c r="H19" i="4"/>
  <c r="G19" i="4"/>
  <c r="F19" i="4"/>
  <c r="E19" i="4"/>
  <c r="D19" i="4"/>
  <c r="C19" i="4"/>
  <c r="B19" i="4"/>
  <c r="X18" i="4"/>
  <c r="W18" i="4"/>
  <c r="X17" i="4"/>
  <c r="W17" i="4"/>
  <c r="X16" i="4"/>
  <c r="W16" i="4"/>
  <c r="X15" i="4"/>
  <c r="W15" i="4"/>
  <c r="D15" i="4"/>
  <c r="D5" i="4" s="1"/>
  <c r="X14" i="4"/>
  <c r="W14" i="4"/>
  <c r="O13" i="4"/>
  <c r="X13" i="4" s="1"/>
  <c r="N13" i="4"/>
  <c r="N5" i="4" s="1"/>
  <c r="X12" i="4"/>
  <c r="W12" i="4"/>
  <c r="X11" i="4"/>
  <c r="W11" i="4"/>
  <c r="X10" i="4"/>
  <c r="W10" i="4"/>
  <c r="X9" i="4"/>
  <c r="W9" i="4"/>
  <c r="X8" i="4"/>
  <c r="W8" i="4"/>
  <c r="X7" i="4"/>
  <c r="W7" i="4"/>
  <c r="X6" i="4"/>
  <c r="W6" i="4"/>
  <c r="V5" i="4"/>
  <c r="U5" i="4"/>
  <c r="T5" i="4"/>
  <c r="S5" i="4"/>
  <c r="R5" i="4"/>
  <c r="Q5" i="4"/>
  <c r="P5" i="4"/>
  <c r="M5" i="4"/>
  <c r="L5" i="4"/>
  <c r="K5" i="4"/>
  <c r="J5" i="4"/>
  <c r="I5" i="4"/>
  <c r="H5" i="4"/>
  <c r="G5" i="4"/>
  <c r="F5" i="4"/>
  <c r="E5" i="4"/>
  <c r="C5" i="4"/>
  <c r="B5" i="4"/>
  <c r="Y15" i="4" l="1"/>
  <c r="Y22" i="4"/>
  <c r="Y18" i="4"/>
  <c r="Y23" i="4"/>
  <c r="Y16" i="4"/>
  <c r="R24" i="4"/>
  <c r="Q24" i="4"/>
  <c r="T24" i="4"/>
  <c r="U24" i="4"/>
  <c r="V24" i="4"/>
  <c r="S24" i="4"/>
  <c r="Y7" i="4"/>
  <c r="N24" i="4"/>
  <c r="D24" i="4"/>
  <c r="E24" i="4"/>
  <c r="F24" i="4"/>
  <c r="H24" i="4"/>
  <c r="W19" i="4"/>
  <c r="J24" i="4"/>
  <c r="K24" i="4"/>
  <c r="Y9" i="4"/>
  <c r="X19" i="4"/>
  <c r="G24" i="4"/>
  <c r="X5" i="6"/>
  <c r="I24" i="4"/>
  <c r="L24" i="4"/>
  <c r="M24" i="4"/>
  <c r="W13" i="4"/>
  <c r="Y13" i="4" s="1"/>
  <c r="P24" i="4"/>
  <c r="Y8" i="4"/>
  <c r="O5" i="4"/>
  <c r="O24" i="4" s="1"/>
  <c r="Y17" i="4"/>
  <c r="X21" i="4"/>
  <c r="Y20" i="4"/>
  <c r="Y14" i="4"/>
  <c r="W21" i="4"/>
  <c r="Y10" i="4"/>
  <c r="Y6" i="4"/>
  <c r="Y11" i="4"/>
  <c r="W5" i="4"/>
  <c r="Y12" i="4"/>
  <c r="Y19" i="6"/>
  <c r="X25" i="6"/>
  <c r="Y21" i="6"/>
  <c r="C24" i="4"/>
  <c r="B24" i="4"/>
  <c r="Y21" i="4" l="1"/>
  <c r="Y19" i="4"/>
  <c r="W24" i="4"/>
  <c r="X24" i="4"/>
  <c r="X5" i="4"/>
  <c r="Y5" i="4" s="1"/>
  <c r="E5" i="6"/>
  <c r="G5" i="6"/>
  <c r="G25" i="6" s="1"/>
  <c r="Y6" i="6"/>
  <c r="Y24" i="4" l="1"/>
  <c r="W5" i="6"/>
  <c r="Y5" i="6" s="1"/>
  <c r="E25" i="6"/>
  <c r="W25" i="6" s="1"/>
  <c r="Y25" i="6" s="1"/>
</calcChain>
</file>

<file path=xl/sharedStrings.xml><?xml version="1.0" encoding="utf-8"?>
<sst xmlns="http://schemas.openxmlformats.org/spreadsheetml/2006/main" count="375" uniqueCount="116">
  <si>
    <t>TOTAL</t>
  </si>
  <si>
    <t>Technical Assistance Fund</t>
  </si>
  <si>
    <t>National Coordination Unit (NCU)</t>
  </si>
  <si>
    <t>Audit Authority</t>
  </si>
  <si>
    <t>Total 2023</t>
  </si>
  <si>
    <t>Total 2024</t>
  </si>
  <si>
    <t>Total 2025</t>
  </si>
  <si>
    <t>Fund contribution</t>
  </si>
  <si>
    <t>Estonian co-financing</t>
  </si>
  <si>
    <t>Total 2026</t>
  </si>
  <si>
    <t>Total 2027</t>
  </si>
  <si>
    <t>Paying Authority</t>
  </si>
  <si>
    <t>Total 2028</t>
  </si>
  <si>
    <t>Total 2029</t>
  </si>
  <si>
    <t>Meetings with the Swiss authorities, reg art 6.5 (a)</t>
  </si>
  <si>
    <t>Information events, exchange of experience and capacity building between NCU, Paying Authority, Audit Authority, Executing Agencies, Intermediate Bodies, programme operators and programme component operators, reg art 6.5 (d)</t>
  </si>
  <si>
    <t>Translation and interpretation costs, reg art 6.5 (k)</t>
  </si>
  <si>
    <t>NCU salaries, social security contributions and other statutory costs in respect of public officials of the national entities, reg art 6.5 (m)</t>
  </si>
  <si>
    <t>Expenditures on technical consulting and legal services for the review of SM proposals, reg art 6.5 (e)</t>
  </si>
  <si>
    <t>Expenditures on technical consulting and legal services for the review of tender documents, reg art 6.5 (f)</t>
  </si>
  <si>
    <t>Expenditures associated with evaluations at the level of the CP or in a thematic area, reg art 6.5 (h)</t>
  </si>
  <si>
    <t>Expenditures for publishing calls for proposals for SMs, reg art 6.5(c)</t>
  </si>
  <si>
    <t>Expenditures on technical consulting services for the monitoring of SMs, including expenditures relating to on-the-spot verifications of SMs, reg art 6.5 (g)</t>
  </si>
  <si>
    <t>Expenditures on audits of the SMs and audits of the management and control systems at the level of the CP carried out by independent and certified auditors appointed by the Audit Authority, reg art 6.5 (i)</t>
  </si>
  <si>
    <t>Visibility, public awareness of the CP, reg art 6.5 (j)</t>
  </si>
  <si>
    <t>Expenditures on additional equipment for the authorities listed in Article 3.2, including software specifically procured for the implementation of the CP, reg art 6.5 (l)</t>
  </si>
  <si>
    <t xml:space="preserve">Justification and description of the types of expenditures </t>
  </si>
  <si>
    <t>Paying Authority salaries, social security contributions and other statutory costs in respect of public officials of the national entities, reg art 6.5 (m)</t>
  </si>
  <si>
    <t>Audit Authority salaries, social security contributions and other statutory costs in respect of public officials of the national entities, reg art 6.5 (m)</t>
  </si>
  <si>
    <t>2023-2029 TOTAL</t>
  </si>
  <si>
    <t>Total 2023-2029</t>
  </si>
  <si>
    <t>In Estonia, the audit functions of all foreign funds are performed by the Ministry of Finance of Estonia. They have certified employees and long-term experience in this field. At national level, we have gained experience in purchasing audit services. It was practiced years ago. Since the review of the purchased audit results did not significantly reduce the workload of the auditors of the Ministry and there were no major differences in the cost-effectiveness, it was established that audits of foreign funds would not be purchased. Consequently, no funds have been planned for this expenditure line.</t>
  </si>
  <si>
    <t>In Estonia, an IT information system has already been developed for the implementation of various external instruments (including the processing of the costs of funded projects and the processing of content reports). We can use this system for the implementation of the Swiss programme free of charge, as this system belongs to the Republic of Estonia. The administrative expenses of the system shall be borne either from the structural funds of the European Union or from the budget of the Estonian state.</t>
  </si>
  <si>
    <t xml:space="preserve">Ministry of Finance carries out supervision on the compliance with the Public Procurement Act and legislation established on the basis thereof solely for the protection of public interest. There are also public procurement lawyers in every ministry, also on Stare Shared Service Center. Cooperation between ministries and Stare Shared Service Center is ongoing and consultations do not involve financial costs. From this point of view, we do not need to buy in legal services (including the procurement process) from outside. </t>
  </si>
  <si>
    <t>Social Inclusion Programme and Bio-Diversity Programme evaluation according to regulation 10.3.2. It will be purchased in 2027 as a procurement.</t>
  </si>
  <si>
    <t>NCU use the help of experts from the Legal Service Depsartment of the State Shared Service Center to consult legal issues. If necessary, legal matters shall be consulted with experts of the legal departments of other ministries (including the Ministry of Justice). This service is free of charge between public authorities. Both the State Shared Service Centre and the various Ministries have long-term experience in advising on foreign instruments legal issues. This service does not need to be bought in from the private sector.</t>
  </si>
  <si>
    <r>
      <rPr>
        <b/>
        <sz val="9"/>
        <color theme="1"/>
        <rFont val="Arial"/>
        <family val="2"/>
      </rPr>
      <t>Meetings of committees established and stakeholder consultations</t>
    </r>
    <r>
      <rPr>
        <sz val="9"/>
        <color theme="1"/>
        <rFont val="Arial"/>
        <family val="2"/>
        <charset val="186"/>
      </rPr>
      <t xml:space="preserve"> conducted within the framework of the CP, in case such expenditures are not already budgeted under the SM, reg art 6.5(b)</t>
    </r>
  </si>
  <si>
    <t xml:space="preserve">If we need a consultation about monitoring of SMs, we use Ministry of Finance experts, who have the best knowledge in this field. On-the-spot cverifications of SMs shall be carried out in cooperation with the programme operators/programme component operators and experts of the Risk Management and Monitoring Service of the State Support Services Centre. </t>
  </si>
  <si>
    <t>The functions of the NCU are performed by two employees at the State Shared Service Centre: 1) NCU main contact 1 FTE (full-time employee). Remuneration shall be paid 100% from the technical assistance of the programme up to the date of conclusion of the technical assistance agreement. The amount of the salary corresponds to the actual salary level of the position.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 Estonia has planned to implement the programme until 31.12.2027. 2) Head of NCU main contact, 0,15 FTE. The Head remuneration monthly salary shall be paid 15% (from emplyee basic remuneration) the programme technical assistance and 85% from other resources.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 Both salaries also include a once-a-year performance pay, which is calculated in accordance with the salary guide of the State Shared Service Centre.</t>
  </si>
  <si>
    <t>General: Budgeting has taken into account year by year inflation, rising prices and rising wage levels.  Estonia has planned to implement the programme until 31.12.2027.</t>
  </si>
  <si>
    <r>
      <rPr>
        <b/>
        <sz val="10"/>
        <color theme="1"/>
        <rFont val="Arial"/>
        <family val="2"/>
      </rPr>
      <t>All necessary meetings shall be conducted, but the NCU shall not incur any costs for such meetings.</t>
    </r>
    <r>
      <rPr>
        <sz val="10"/>
        <color theme="1"/>
        <rFont val="Arial"/>
        <family val="2"/>
        <charset val="186"/>
      </rPr>
      <t xml:space="preserve"> Meetings are generally held in the rooms of the NCU or programme operators (ministry rooms). If programme operators plan costs related to this buddget line, then it will be budgeted under the Support Measure.</t>
    </r>
    <r>
      <rPr>
        <sz val="10"/>
        <color theme="1"/>
        <rFont val="Arial"/>
        <family val="2"/>
      </rPr>
      <t xml:space="preserve"> Stakeholder consultations for the 2nd stage SM Proposal (reg. art.4.4) are planned in SMPF budget.</t>
    </r>
  </si>
  <si>
    <r>
      <rPr>
        <b/>
        <sz val="10"/>
        <color theme="1"/>
        <rFont val="Arial"/>
        <family val="2"/>
      </rPr>
      <t>We have planned 2 official meetings each year</t>
    </r>
    <r>
      <rPr>
        <sz val="10"/>
        <color theme="1"/>
        <rFont val="Arial"/>
        <family val="2"/>
        <charset val="186"/>
      </rPr>
      <t>. The budget includes room rent, catering, and if necessary transport costs and accomodation costs.</t>
    </r>
  </si>
  <si>
    <t>The budget includes NCU responsibilities in relation to communication as described in reg art 13.2. The costs of the programme's opening event (for the broader public, including potential applicants and final beneficiaries) are planned for 2023 as described in reg art 13.2 h). The opening event and programme signing ceremony are different events. At the opening event, we will present in more detail the measures that we are implementing within the framework of the programme, propose possible possibilities for cooperation and share the necessary contacts. The costs of the programme final event (for all programme participants, including all project implementers and final beneficiaries) are planned for 2027 as described in reg art 13.2 h). At the final event, we will present to the public the results achieved from the funds of the programme their extent of use and sustainability. Under budget will also finance fund-symbolized items, information materials, information stands, articles, etc in accordance with reg art 13.2 f). The budget includes the preparation of professional photo material and video material for successful projects funded by the programme and other information materials (professional pictures and videos) for communicarion activities in Switzerland in accordance with reg art 13.2 d). All Cooperation program information (specified in the Communication and Information Manual) will be published on the website of the NCU in Estonia (www.rtk.ee → Toetusfondid ja programmid → Teised programmid → Šveitsi-Eesti koostööprogramm (sub-page) and in English (https://www.rtk.ee/en?destination=/&amp;_exception_statuscode=404 → Funds and programs → Other programs → Swiss-Estonian Cooperation Programme (sub-page). The NCU website is managed by State Shared Service Centre Communication department. The website also contains information about call for proposals, main contacts, descriptions, budgets and timeline of projects financed, results achieved ect, important events information. All important events related to the implementation of the programme shall be posted on the State Shared Service Centre social media channel - facebook (https://www.facebook.com/RiigiTugiteenusteKeskus). We will also place the banner of the program logo on the State Shared Service Centre Estonian- and English-language website first page, clicking on it will immediately go to the program information sub-page).</t>
  </si>
  <si>
    <t>Miscellaneous expenses</t>
  </si>
  <si>
    <t xml:space="preserve">7% of the total maximum fund contribution has been counted for for unforeseen costs that are related with the implementation of the programme. </t>
  </si>
  <si>
    <t>Audit Authority - Information events, exchange of experience and capacity building between NCU, Paying Authority, Audit Authority, Executing Agencies, Intermediate Bodies, programme operators and programme component operators, reg art 6.5 (d)</t>
  </si>
  <si>
    <r>
      <t xml:space="preserve">The costs of </t>
    </r>
    <r>
      <rPr>
        <b/>
        <sz val="10"/>
        <color theme="1"/>
        <rFont val="Arial"/>
        <family val="2"/>
      </rPr>
      <t>2 NCU person study visits to Switzerland 19.03.2023 - 24.03.2023</t>
    </r>
    <r>
      <rPr>
        <sz val="10"/>
        <color theme="1"/>
        <rFont val="Arial"/>
        <family val="2"/>
        <charset val="186"/>
      </rPr>
      <t xml:space="preserve"> are planned for 2023. The </t>
    </r>
    <r>
      <rPr>
        <b/>
        <sz val="10"/>
        <color theme="1"/>
        <rFont val="Arial"/>
        <family val="2"/>
      </rPr>
      <t xml:space="preserve">annual meeting costs </t>
    </r>
    <r>
      <rPr>
        <sz val="10"/>
        <color theme="1"/>
        <rFont val="Arial"/>
        <family val="2"/>
        <charset val="186"/>
      </rPr>
      <t xml:space="preserve">are planned for each year. </t>
    </r>
    <r>
      <rPr>
        <b/>
        <sz val="10"/>
        <color theme="1"/>
        <rFont val="Arial"/>
        <family val="2"/>
      </rPr>
      <t>At least two meetings are planned for each year in Riga with the Swiss Contribution Office.</t>
    </r>
    <r>
      <rPr>
        <sz val="10"/>
        <color theme="1"/>
        <rFont val="Arial"/>
        <family val="2"/>
        <charset val="186"/>
      </rPr>
      <t xml:space="preserve"> The budget also takes into account </t>
    </r>
    <r>
      <rPr>
        <b/>
        <sz val="10"/>
        <color theme="1"/>
        <rFont val="Arial"/>
        <family val="2"/>
      </rPr>
      <t xml:space="preserve">bilateral meetings costs, meetings between the three Baltic States (Baltic retreat for all Baltic NCUs and possibly POs). </t>
    </r>
    <r>
      <rPr>
        <sz val="10"/>
        <color theme="1"/>
        <rFont val="Arial"/>
        <family val="2"/>
        <charset val="186"/>
      </rPr>
      <t>The budget also includes:</t>
    </r>
    <r>
      <rPr>
        <b/>
        <sz val="10"/>
        <color theme="1"/>
        <rFont val="Arial"/>
        <family val="2"/>
      </rPr>
      <t xml:space="preserve"> 3 events/meetings/workshops (on average for 3 days) in Switzerland. </t>
    </r>
    <r>
      <rPr>
        <sz val="10"/>
        <color theme="1"/>
        <rFont val="Arial"/>
        <family val="2"/>
        <charset val="186"/>
      </rPr>
      <t xml:space="preserve">The budget includes travel tickets, travel insurance, accommodation, daily allowance (according to Estonian legislation), on-the-spot transport in the country of destination and costs for airport transfers. The use of a paid Fifi service is also included here, if necessary. </t>
    </r>
  </si>
  <si>
    <t>Expenditures are planned under Support Measure management costs. It is customary to publish a notice of calls for proposals at least once in a daily national newspaper (this is the only item of expenditure). Information on calls for proposals is always published on the NCU website, under the Swiss programme sub-page. Information about calls for proposals is also distributed in various information lists via e-mail. There's always an official press release.</t>
  </si>
  <si>
    <t>This expenditure line includes translation costs (including sworn translation costs) for the various documents required for the implementation of the programme. The cost of translation services for various events (opening seminar and final seminar) is also planned for this cost line.</t>
  </si>
  <si>
    <t>In 2023, 0,2 FTE (20% from monthly salary) monthly is planned for the paying authority. From 2024, 0,4 FTE (full-time employee) is planned for the paying authority. Remuneration may be divided between several employees in part-time. The remuneration shall be calculated in accordance with the contribution of the work carried out under the programme. Social security charges and other statutory costs are included in the remuneration.The corresponding annexes to the employment contract or agreements on remuneration of work shall be entered into in writing. Salary also include a once-a-year performance pay, which is calculated in accordance with the salary guide of the State Shared Service Centre.</t>
  </si>
  <si>
    <t>In 2023, since March, the auditor's salary has been calculated at 0,4 FTE. The remuneration for 2023 shall include the following tasks: auditing plan and strategy which according to reg art.9.3 point 2 and one system audit. As of 2024, 0,75 FTE (full time employee) monthly is planned for the audit authority. The basis for the calculation of the auditor's salary is: 3 project audits per year, 1 system audit per year, audit of the annual accounts/bookkeeping and preparation. On the basis of previous experience, it is 9 months of full time work per year. On an annual basis 9/12= 0,75 FTE. Remuneration may be divided between several employees in part-time. The remuneration shall be calculated in accordance with the contribution of the work to the audits carried out under the programme. Social security charges and other statutory costs are included in the remuneration.The corresponding annexes to the employment contract or agreements on remuneration of work shall be entered into in writing. The audit authority is the audit department of the Ministry of Finance of Estonia. Salary also include a once-a-year performance pay, which is calculated in accordance with the salary guide of the Ministry of Finance.</t>
  </si>
  <si>
    <t>Explanation for modification</t>
  </si>
  <si>
    <t>Expenditures are planned under Support Measure management costs if relevant.</t>
  </si>
  <si>
    <t>NCU uses the help of experts from the Legal Service Department of the State Shared Service Center to consult legal issues. If necessary, legal matters shall be consulted with experts of the legal departments of other ministries (including the Ministry of Justice). This service is free of charge between public authorities. Both the State Shared Service Centre and the various Ministries have long-term experience in advising on foreign instruments legal issues. This service does not need to be bought in from the private sector.</t>
  </si>
  <si>
    <t>4000 CHF is moved from 2023 budget to 2024 budget. 
2000 CHF is moved from the budget line "Audit Authority salaries, social security contributions and other statutory costs in respect of public officials of the national entities, reg art 6.5 (m)" planned for 2023 to the budget line "Audit Authority - Information events, exchange of experience and capacity building between NCU, Paying Authority, Audit Authority, Executing Agencies, Intermediate Bodies, programme operators and programme component operators, reg art 6.5 (d)" for the year 2024.</t>
  </si>
  <si>
    <t>10000 CHF is moved from 2023 budget to 2024 budget.</t>
  </si>
  <si>
    <t xml:space="preserve">17849 CHF is moved from 2023 budget to 2024 budget. 
Remuneration costs of the communication specialist from the State Shared Service Centre Communication department were added to the budget line. </t>
  </si>
  <si>
    <t xml:space="preserve">8330 CHF is moved from 2023 budget to 2024 budget. </t>
  </si>
  <si>
    <t>Travel costs of 2 persons from the NCU to Switzerland, meetings and events in Riga. The budget includes transportation costs, travel insurance, accommodation, daily allowance according to Estonian legislation, costs for airport transfers, the use of paid wifi service, city tax, etc. 
The costs of the annual meeting Estonia - room rent, catering, transportation, etc necessary to conduct the meeting. Travel and accommodation costs, fringe benefit from the catering costs of the NCU and the PA related to the annual meeting are included in this budget line.</t>
  </si>
  <si>
    <t>Costs of Steering Committee meetings are planned in the budgets of the Support Measures.</t>
  </si>
  <si>
    <t>4500 CHF is moved from the budget line "Translation and interpretation costs, reg art 6.5 (k)" planned for 2023 to the budget line "NCU salaries, social security contributions and other statutory costs in respect of public officials of the national entities, reg art 6.5 (m)" for the year 2024.</t>
  </si>
  <si>
    <t>2000 CHF is moved from the budget line "Audit Authority salaries, social security contributions and other statutory costs in respect of public officials of the national entities reg art 6.5 (d)" planned for 2023 to the budget line "Audit Authority - Information events, exchange of experience and capacity building between NCU, Paying Authority, Audit Authority, Executing Agencies, Intermediate Bodies, programme operators and programme component operators, reg art 6.5 (d)" for the year 2024.
Supplementary subline was added to the TA budget, which include Audit Authority travel costs for the on-the-spot visists, costs for participating in the meetings and the costs of trainings, which are mandatory for certified auditors to maintain qualification. Costs include fees for participating in the trainings, transportation costs, accommodation, daily allowance, city tax, paid wifi etc. Training costs are covered on a pro rata basis.</t>
  </si>
  <si>
    <t>In 2024, 0,75 FTE (full time employee) monthly is planned for the audit authority. Remuneration may be divided between several employees in part-time. The remuneration shall be calculated in accordance with the contribution of the work to the audits carried out under the programme. Social security charges and other statutory costs are included in the remuneration.The corresponding annexes to the employment contract or agreements on remuneration of work shall be entered into in writing. The audit authority is the audit department of the Ministry of Finance of Estonia. Salary also includes a once-a-year performance pay, which is calculated in accordance with the salary guide of the Ministry of Finance.</t>
  </si>
  <si>
    <t>2000 CHF is moved from 2023 budget to 2024 budget.
3000 CHF is moved from the budget line "Information events, exchange of experience and capacity building between NCU, Paying Authority, Audit Authority, Executing Agencies, Intermediate Bodies, programme operators and programme component operators, reg art 6.5 (d)" planned for 2023 to the budget line "Meetings with the Swiss authorities, reg art 6.5 (a)" for the year 2024.</t>
  </si>
  <si>
    <t>This expenditure line includes translation costs (including sworn translation costs) for the various documents required for the implementation of the programme. The cost of translation services for various events (opening event and final event) is also planned for this cost line.</t>
  </si>
  <si>
    <t>In 2024, 0,3 FTE (full-time employee) is planned for the paying authority. Remuneration may be divided between several employees in part-time. The remuneration shall be calculated in accordance with the contribution of the work carried out under the programme. Social security charges and other statutory costs are included in the remuneration.The corresponding annexes to the employment contract or agreements on remuneration of work shall be entered into in writing. Salary also include a once-a-year performance pay, which is calculated in accordance with the salary guide of the State Shared Service Centre.</t>
  </si>
  <si>
    <t xml:space="preserve">If case consultation about monitoring of SMs is needed,  the help of the experts from the Ministry of Finance is used, who have the best knowledge in this field. On-the-spot verifications of SMs shall be carried out in cooperation with the programme operators/programme component operators and experts of the Risk Management and Monitoring Service of the State Support Services Centre. </t>
  </si>
  <si>
    <r>
      <rPr>
        <sz val="10"/>
        <color rgb="FFFF0000"/>
        <rFont val="Arial"/>
        <family val="2"/>
        <charset val="186"/>
      </rPr>
      <t>Travel costs of the NCU (transport and accommodation) necessary for participating in the meetings and events within the programme (organised by the POs, component operators, their partners).</t>
    </r>
    <r>
      <rPr>
        <sz val="10"/>
        <color theme="1"/>
        <rFont val="Arial"/>
        <family val="2"/>
        <charset val="186"/>
      </rPr>
      <t xml:space="preserve">
</t>
    </r>
    <r>
      <rPr>
        <sz val="10"/>
        <color rgb="FFFF0000"/>
        <rFont val="Arial"/>
        <family val="2"/>
        <charset val="186"/>
      </rPr>
      <t>Training costs of the NCU and the PA for capacity building (fees for participating in the trainings, transportation costs, accommodation, daily allowance, city tax, paid wifi, fringe benefit from the catering costs etc). The training costs are covered on a pro rata basis.</t>
    </r>
    <r>
      <rPr>
        <sz val="10"/>
        <color theme="1"/>
        <rFont val="Arial"/>
        <family val="2"/>
        <charset val="186"/>
      </rPr>
      <t xml:space="preserve">
The costs of national level events - meetings/trainings/seminars in Estonia - room rent, catering, transportation, accommodation, fringe benefit from the catering costs, etc costs necessary to conduct the events are included in this budget line. Event(s) might be combined with the Steering Committee meeting(s) and/or the annual meeting(s). </t>
    </r>
    <r>
      <rPr>
        <sz val="10"/>
        <color rgb="FFFF0000"/>
        <rFont val="Arial"/>
        <family val="2"/>
        <charset val="186"/>
      </rPr>
      <t>Travel and accommodation costs, fringe benefit from the catering costs of the NCU and the PA related to the national level events are included in this line.</t>
    </r>
  </si>
  <si>
    <t>3000 CHF is moved from the budget line "Information events, exchange of experience and capacity building between NCU, Paying Authority, Audit Authority, Executing Agencies, Intermediate Bodies, programme operators and programme component operators, reg art 6.5 (d)" planned for 2023 to the budget line "Meetings with the Swiss authorities, reg art 6.5 (a)" for the year 2024.
The possibility to cover the travel costs of the NCU necessary for participating in the events and meetings within the programme was added to the description. NCU's participation in the events, meetings, seminars is necessary to have a better overview of the activities taking place within the programme. 
The possibility to cover the training costs of the NCU and the PA was added to the description. Trainings are necessary for capacity building of the NCU and the PA. The training costs are covered on a pro rata basis.</t>
  </si>
  <si>
    <t>Audit Authority travel costs for the on-the-spot visists, costs for participating in the meetings, also the costs of trainings, which are mandatory for certified auditors to maintain qualification are planned on this budget line. Costs include fees for participating in the trainings, transportation costs, accommodation, daily allowance, city tax, paid wifi etc. Training costs are covered on a pro rata basis.</t>
  </si>
  <si>
    <t>The budget includes costs for fulfilling the NCU responsibilities in relation to communication as described in reg art 13.2. 
Remuneration of the communication specialist (0,03 FTE) from the State Shared Service Centre Communication department is paid 3% from the technical assistance of the programme, 95% is covered from other resources. Social security charges and other statutory costs are included in the remuneration. Salary also includes a once-a-year performance pay, which is calculated in accordance with the salary guide of the State Shared Service Centre.
Upon need the costs of the opening events within the support measures (for the broader public, including stakeholders and final beneficiaries) are partially covered. Upon need the costs for organising SM agreements signing ceremonies are covered. 
From the budget are financed fund-symbolized items, information materials, information stands, articles, etc in accordance with reg art 13.2 f). The budget includes preparation of professional photo material, videos and other information materials for communication activities in Switzerland in accordance with reg art 13.2 d), expenses for social media, content marketing articles, participation in TV shows, etc.</t>
  </si>
  <si>
    <r>
      <rPr>
        <b/>
        <sz val="9"/>
        <rFont val="Arial"/>
        <family val="2"/>
      </rPr>
      <t>Meetings of committees established and stakeholder consultations</t>
    </r>
    <r>
      <rPr>
        <sz val="9"/>
        <rFont val="Arial"/>
        <family val="2"/>
        <charset val="186"/>
      </rPr>
      <t xml:space="preserve"> conducted within the framework of the CP, in case such expenditures are not already budgeted under the SM, reg art 6.5(b)</t>
    </r>
  </si>
  <si>
    <t>6500 CHF is moved from the budget line "Information events, exchange of experience and capacity building between NCU, Paying Authority, Audit Authority, Executing Agencies, Intermediate Bodies, programme operators and programme component operators, reg art 6.5 (d)" planned for 2024 to the budget line "Meetings with the Swiss authorities, reg art 6.5 (a)" for the year 2025.
The possibility to cover the costs of NCU visits to programme operators, component operators, implementers and partners was added to the description. This provides an opportunity to meet with them face-to-face if necessary and to discuss various topics related to the implementation of the programme.</t>
  </si>
  <si>
    <t>4655 CHF is moved from the budget line "Translation and interpretation costs, reg art 6.5 (k)" planned for 2024 to the budget line "NCU salaries, social security contributions and other statutory costs in respect of public officials of the national entities, reg art 6.5 (m)" for the year 2028.</t>
  </si>
  <si>
    <t>9450 CHF is moved from 2023 budget to 2028 budget.
4655 CHF is moved from the budget line "Translation and interpretation costs, reg art 6.5 (k)" planned for 2024 to the budget line "NCU salaries, social security contributions and other statutory costs in respect of public officials of the national entities, reg art 6.5 (m)" for the year 2028.</t>
  </si>
  <si>
    <t xml:space="preserve">12815 CHF is moved from 2024 budget to 2028 budget. </t>
  </si>
  <si>
    <t xml:space="preserve">32810 CHF is moved from 2023 budget to 2028 budget. 
</t>
  </si>
  <si>
    <t xml:space="preserve">2000 CHF is moved from the budget line "Audit Authority salaries, social security contributions and other statutory costs in respect of public officials of the national entities reg art 6.5 (d)" planned for 2023 to the budget line "Audit Authority - Information events, exchange of experience and capacity building between NCU, Paying Authority, Audit Authority, Executing Agencies, Intermediate Bodies, programme operators and programme component operators, reg art 6.5 (d)" for the year 2025.
</t>
  </si>
  <si>
    <t>Social Inclusion Programme and Bio-Diversity Programme evaluation according to regulation 10.3.2. It will be purchased in 2027/2028 as a procurement.</t>
  </si>
  <si>
    <r>
      <t>Social Inclusion Programme and Bio-Diversity Programme evaluation according to regulation 10.3.2. It will be purchased in</t>
    </r>
    <r>
      <rPr>
        <sz val="10"/>
        <color rgb="FFFF0000"/>
        <rFont val="Arial"/>
        <family val="2"/>
        <charset val="186"/>
      </rPr>
      <t xml:space="preserve"> 2027/2028</t>
    </r>
    <r>
      <rPr>
        <sz val="10"/>
        <rFont val="Arial"/>
        <family val="2"/>
        <charset val="186"/>
      </rPr>
      <t xml:space="preserve"> as a procurement.</t>
    </r>
  </si>
  <si>
    <r>
      <t xml:space="preserve">In </t>
    </r>
    <r>
      <rPr>
        <sz val="10"/>
        <color rgb="FFFF0000"/>
        <rFont val="Arial"/>
        <family val="2"/>
        <charset val="186"/>
      </rPr>
      <t>2025</t>
    </r>
    <r>
      <rPr>
        <sz val="10"/>
        <rFont val="Arial"/>
        <family val="2"/>
        <charset val="186"/>
      </rPr>
      <t>, 0,3 FTE (full-time employee) is planned for the paying authority. Remuneration may be divided between several employees in part-time. The remuneration shall be calculated in accordance with the contribution of the work carried out under the programme. Social security charges and other statutory costs are included in the remuneration.The corresponding annexes to the employment contract or agreements on remuneration of work shall be entered into in writing. Salary also include a once-a-year performance pay, which is calculated in accordance with the salary guide of the State Shared Service Centre.</t>
    </r>
  </si>
  <si>
    <r>
      <t xml:space="preserve">In </t>
    </r>
    <r>
      <rPr>
        <sz val="10"/>
        <color rgb="FFFF0000"/>
        <rFont val="Arial"/>
        <family val="2"/>
        <charset val="186"/>
      </rPr>
      <t>2025</t>
    </r>
    <r>
      <rPr>
        <sz val="10"/>
        <rFont val="Arial"/>
        <family val="2"/>
        <charset val="186"/>
      </rPr>
      <t>, 0,75 FTE (full time employee) monthly is planned for the audit authority. Remuneration may be divided between several employees in part-time. The remuneration shall be calculated in accordance with the contribution of the work to the audits carried out under the programme. Social security charges and other statutory costs are included in the remuneration.The corresponding annexes to the employment contract or agreements on remuneration of work shall be entered into in writing. The audit authority is the audit department of the Ministry of Finance of Estonia. Salary also includes a once-a-year performance pay, which is calculated in accordance with the salary guide of the Ministry of Finance.</t>
    </r>
  </si>
  <si>
    <r>
      <t>Travel costs of the NCU (transport and accommodation) necessary for participating in the meetings and events within the programme (organised by the POs, component operators, their partners).
Training costs of the NCU and the PA for capacity building (fees for participating in the trainings, transportation costs, accommodation, daily allowance, city tax, paid wifi,</t>
    </r>
    <r>
      <rPr>
        <sz val="10"/>
        <color rgb="FFFF0000"/>
        <rFont val="Arial"/>
        <family val="2"/>
        <charset val="186"/>
      </rPr>
      <t xml:space="preserve"> catering</t>
    </r>
    <r>
      <rPr>
        <sz val="10"/>
        <rFont val="Arial"/>
        <family val="2"/>
        <charset val="186"/>
      </rPr>
      <t xml:space="preserve">, fringe benefit from the catering costs etc). The training costs are covered on a pro rata basis.
</t>
    </r>
    <r>
      <rPr>
        <sz val="10"/>
        <color rgb="FFFF0000"/>
        <rFont val="Arial"/>
        <family val="2"/>
        <charset val="186"/>
      </rPr>
      <t xml:space="preserve">The costs of NCU visits to programme operators, component operators, implementers and partners (transportation costs, accommodation, catering, fringe benefit from the catering costs etc).
</t>
    </r>
    <r>
      <rPr>
        <sz val="10"/>
        <rFont val="Arial"/>
        <family val="2"/>
        <charset val="186"/>
      </rPr>
      <t>The costs of national level events - meetings/trainings/seminars in Estonia - room rent, catering, transportation, accommodation, fringe benefit from the catering costs, etc costs necessary to conduct the events are included in this budget line. Event(s) might be combined with the Steering Committee meeting(s) and/or the annual meeting(s). Travel and accommodation costs, fringe benefit from the catering costs of the NCU and the PA related to the national level events are included in this line.</t>
    </r>
  </si>
  <si>
    <t>Travel costs of the NCU (transport and accommodation) necessary for participating in the meetings and events within the programme (organised by the POs, component operators, their partners).
Training costs of the NCU and the PA for capacity building (fees for participating in the trainings, transportation costs, accommodation, daily allowance, city tax, paid wifi, catering, fringe benefit from the catering costs etc). The training costs are covered on a pro rata basis.
The costs of NCU visits to programme operators, component operators, implementers and partners (transportation costs, accommodation, catering, fringe benefit from the catering costs etc).
The costs of national level events - meetings/trainings/seminars in Estonia - room rent, catering, transportation, accommodation, fringe benefit from the catering costs, etc costs necessary to conduct the events are included in this budget line. Event(s) might be combined with the Steering Committee meeting(s) and/or the annual meeting(s). Travel and accommodation costs, fringe benefit from the catering costs of the NCU and the PA related to the national level events are included in this line.</t>
  </si>
  <si>
    <r>
      <t>Table 4: Modifications to Technical Assistance Fund budget 2023-2027 (</t>
    </r>
    <r>
      <rPr>
        <i/>
        <sz val="10"/>
        <color theme="1"/>
        <rFont val="Arial"/>
        <family val="2"/>
        <charset val="186"/>
      </rPr>
      <t>currency</t>
    </r>
    <r>
      <rPr>
        <sz val="10"/>
        <color theme="1"/>
        <rFont val="Arial"/>
        <family val="2"/>
        <charset val="186"/>
      </rPr>
      <t xml:space="preserve"> </t>
    </r>
    <r>
      <rPr>
        <b/>
        <sz val="10"/>
        <color theme="1"/>
        <rFont val="Arial"/>
        <family val="2"/>
        <charset val="186"/>
      </rPr>
      <t>CHF</t>
    </r>
    <r>
      <rPr>
        <sz val="10"/>
        <color theme="1"/>
        <rFont val="Arial"/>
        <family val="2"/>
        <charset val="186"/>
      </rPr>
      <t>) in 2024</t>
    </r>
  </si>
  <si>
    <r>
      <t>Table 3: Modifications to Technical Assistance Fund budget 2023-2027 (</t>
    </r>
    <r>
      <rPr>
        <i/>
        <sz val="10"/>
        <color theme="1"/>
        <rFont val="Arial"/>
        <family val="2"/>
        <charset val="186"/>
      </rPr>
      <t>currency</t>
    </r>
    <r>
      <rPr>
        <sz val="10"/>
        <color theme="1"/>
        <rFont val="Arial"/>
        <family val="2"/>
        <charset val="186"/>
      </rPr>
      <t xml:space="preserve"> </t>
    </r>
    <r>
      <rPr>
        <b/>
        <sz val="10"/>
        <color theme="1"/>
        <rFont val="Arial"/>
        <family val="2"/>
        <charset val="186"/>
      </rPr>
      <t>CHF</t>
    </r>
    <r>
      <rPr>
        <sz val="10"/>
        <color theme="1"/>
        <rFont val="Arial"/>
        <family val="2"/>
        <charset val="186"/>
      </rPr>
      <t>) in 2023</t>
    </r>
  </si>
  <si>
    <t>3503 CHF is moved from 2023 budget to 2025 budget. 
2000 CHF is moved from the budget line "Audit Authority salaries, social security contributions and other statutory costs in respect of public officials of the national entities, reg art 6.5 (m)" planned for 2023 to the budget line "Audit Authority - Information events, exchange of experience and capacity building between NCU, Paying Authority, Audit Authority, Executing Agencies, Intermediate Bodies, programme operators and programme component operators, reg art 6.5 (d)" for the year 2025.</t>
  </si>
  <si>
    <r>
      <t xml:space="preserve">Travel costs of 2 persons from the NCU to Switzerland, meetings and events in </t>
    </r>
    <r>
      <rPr>
        <sz val="10"/>
        <color rgb="FFFF0000"/>
        <rFont val="Arial"/>
        <family val="2"/>
        <charset val="186"/>
      </rPr>
      <t xml:space="preserve">Latvia and in other countries. </t>
    </r>
    <r>
      <rPr>
        <sz val="10"/>
        <rFont val="Arial"/>
        <family val="2"/>
        <charset val="186"/>
      </rPr>
      <t xml:space="preserve">The budget includes transportation costs, travel insurance, accommodation, daily allowance according to Estonian legislation, costs for airport transfers, the use of paid wifi service, city tax, etc. 
The costs of the annual meeting Estonia - room rent, catering, transportation, etc necessary to conduct the meeting. Travel and accommodation costs, fringe benefit from the catering costs of the NCU and the PA related to the annual meeting are included in this budget line.
</t>
    </r>
    <r>
      <rPr>
        <sz val="10"/>
        <color rgb="FFFF0000"/>
        <rFont val="Arial"/>
        <family val="2"/>
        <charset val="186"/>
      </rPr>
      <t>The costs monitoring missions - room rent, catering, transportation, etc necessary to conduct the monitoring mission.</t>
    </r>
  </si>
  <si>
    <t xml:space="preserve">10700 CHF is moved from 2024 budget to 2025 budget.
6500 CHF is moved from the budget line "Information events, exchange of experience and capacity building between NCU, Paying Authority, Audit Authority, Executing Agencies, Intermediate Bodies, programme operators and programme component operators, reg art 6.5 (d)" planned for 2024 to the budget line "Meetings with the Swiss authorities, reg art 6.5 (a)" for the year 2025.
Since NCU meetings take place in locations other than just Riga and Switzerland, Latvia is used instead of Riga, and the possibility to participate in meetings in other countries was added.
The possibility to cover the costs of monitoring missions was added to the description.
</t>
  </si>
  <si>
    <t>Since the support measures are expected to end in 2028, not 2027 as previously planned, the evaluation is scheduled to take place in 2028</t>
  </si>
  <si>
    <t>The budget includes costs for fulfilling the NCU responsibilities in relation to communication as described in reg art 13.2. 
Remuneration of the communication specialist (0,03 FTE) from the State Shared Service Centre Communication department is paid 3% from the technical assistance of the programme, 97% is covered from other resources. Social security charges and other statutory costs are included in the remuneration. Salary also includes a once-a-year performance pay, which is calculated in accordance with the salary guide of the State Shared Service Centre.
Upon need the costs of the opening events within the support measures (for the broader public, including stakeholders and final beneficiaries) are partially covered. Upon need the costs for organising SM agreements signing ceremonies are covered. 
From the budget are financed fund-symbolized items, information materials, information stands, articles, etc in accordance with reg art 13.2 f). The budget includes preparation of professional photo material, videos and other information materials for communication activities in Switzerland in accordance with reg art 13.2 d), expenses for social media, content marketing articles, participation in TV shows, etc.</t>
  </si>
  <si>
    <r>
      <t>The functions of the NCU are performed by two employees at the State Shared Service Centre: 1) NCU main contact 1 FTE (full-time employee). Remuneration shall be paid 100% from the technical assistance of the programme up to the date of conclusion of the technical assistance agreement. The amount of the salary corresponds to the actual salary level of the position.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t>
    </r>
    <r>
      <rPr>
        <sz val="10"/>
        <color rgb="FFFF0000"/>
        <rFont val="Arial"/>
        <family val="2"/>
        <charset val="186"/>
      </rPr>
      <t xml:space="preserve"> Estonia has planned to implement the programme until autumn 2028.</t>
    </r>
    <r>
      <rPr>
        <sz val="10"/>
        <rFont val="Arial"/>
        <family val="2"/>
        <charset val="186"/>
      </rPr>
      <t xml:space="preserve"> 2) Head of NCU main contact, 0,15 FTE. The Head remuneration monthly salary shall be paid 15% (from emplyee basic remuneration) the programme technical assistance and 85% from other resources.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 Both salaries also include a once-a-year performance pay, which is calculated in accordance with the salary guide of the State Shared Service Centre. </t>
    </r>
    <r>
      <rPr>
        <sz val="10"/>
        <color rgb="FFFF0000"/>
        <rFont val="Arial"/>
        <family val="2"/>
        <charset val="186"/>
      </rPr>
      <t xml:space="preserve">In 2025, 0,09 FTE is planned for the Head of NCU main contact. </t>
    </r>
  </si>
  <si>
    <t>2000 CHF is moved from 2023 budget to 2028 budget
10000 CHF is moved from 2024 budget to 2025 budget.</t>
  </si>
  <si>
    <t>6292,78 is moved from 2024 budget to 2028 budget</t>
  </si>
  <si>
    <t>3000 CHF is moved from 2025 budget to 2028 budget.</t>
  </si>
  <si>
    <r>
      <t>The budget includes costs for fulfilling the NCU responsibilities in relation to communication as described in reg art 13.2. 
Remuneration of the communication specialist</t>
    </r>
    <r>
      <rPr>
        <sz val="10"/>
        <color rgb="FFFF0000"/>
        <rFont val="Arial"/>
        <family val="2"/>
        <charset val="186"/>
      </rPr>
      <t>s</t>
    </r>
    <r>
      <rPr>
        <sz val="10"/>
        <rFont val="Arial"/>
        <family val="2"/>
        <charset val="186"/>
      </rPr>
      <t xml:space="preserve"> (</t>
    </r>
    <r>
      <rPr>
        <sz val="10"/>
        <color rgb="FFFF0000"/>
        <rFont val="Arial"/>
        <family val="2"/>
        <charset val="186"/>
      </rPr>
      <t>0,1</t>
    </r>
    <r>
      <rPr>
        <sz val="10"/>
        <rFont val="Arial"/>
        <family val="2"/>
        <charset val="186"/>
      </rPr>
      <t xml:space="preserve"> FTE) from the State Shared Service Centre Communication department is paid </t>
    </r>
    <r>
      <rPr>
        <sz val="10"/>
        <color rgb="FFFF0000"/>
        <rFont val="Arial"/>
        <family val="2"/>
        <charset val="186"/>
      </rPr>
      <t>10</t>
    </r>
    <r>
      <rPr>
        <sz val="10"/>
        <rFont val="Arial"/>
        <family val="2"/>
        <charset val="186"/>
      </rPr>
      <t xml:space="preserve">% from the technical assistance of the programme, </t>
    </r>
    <r>
      <rPr>
        <sz val="10"/>
        <color rgb="FFFF0000"/>
        <rFont val="Arial"/>
        <family val="2"/>
        <charset val="186"/>
      </rPr>
      <t>90</t>
    </r>
    <r>
      <rPr>
        <sz val="10"/>
        <rFont val="Arial"/>
        <family val="2"/>
        <charset val="186"/>
      </rPr>
      <t>% is covered from other resources. Social security charges and other statutory costs are included in the remuneration. Salary also includes a once-a-year performance pay, which is calculated in accordance with the salary guide of the State Shared Service Centre.
From the budget are financed fund-symbolized items, information materials, information stands, articles, etc in accordance with reg art 13.2 f). The budget includes preparation of professional photo material, videos and other information materials for communication activities in Switzerland in accordance with reg art 13.2 d), expenses for social media, content marketing articles, participation in TV shows, etc.</t>
    </r>
  </si>
  <si>
    <t>961,55 CHF is moved from 2024 budget to 2026 budget.
Since September 2025, communication activities have been handled by two specialists rather than one, with a total workload of 0.1 FTE split between them.</t>
  </si>
  <si>
    <t>733,55 CHF is moved from 2023 budget to 2028 budget.
30291,98 CHF is moved from 2024 budget to 2028 budget.
264,78 CHF is moved from the budget line "Audit Authority salaries, social security contributions and other statutory costs in respect of public officials of the national entities, reg art 6.5 (m)" planned for 2025 to the budget line "Audit Authority - Information events, exchange of experience and capacity building between NCU, Paying Authority, Audit Authority, Executing Agencies, Intermediate Bodies, programme operators and programme component operators, reg art 6.5 (d)" for the year 2026.</t>
  </si>
  <si>
    <t>1735,22 CHF is moved from 2024 budget to 2026 budget.
264,78 CHF is moved from the budget line "Audit Authority salaries, social security contributions and other statutory costs in respect of public officials of the national entities, reg art 6.5 (m)" planned for 2025 to the budget line "Audit Authority - Information events, exchange of experience and capacity building between NCU, Paying Authority, Audit Authority, Executing Agencies, Intermediate Bodies, programme operators and programme component operators, reg art 6.5 (d)" for the year 2026.</t>
  </si>
  <si>
    <t>488,18 CHF is moved from 2023 budget to 2028 budget.
4464,22 CHF is moved from 2024 budget to 2028 budget.
18000 CHF is moved from 2023 budget to 2028 budget.</t>
  </si>
  <si>
    <t>4820 CHF  is moved from the budget line "Translation and interpretation costs, reg art 6.5 (k)" planned for 2025 and 4990 CHF planned for 2026 to the budget line "NCU salaries, social security contributions and other statutory costs in respect of public officials of the national entities, reg art 6.5 (m)" for the year 2028.</t>
  </si>
  <si>
    <t>4820 CHF is moved from the budget line "Translation and interpretation costs, reg art 6.5 (k)" planned for 2025 and 4990 CHF planned for 2026 to the budget line "NCU salaries, social security contributions and other statutory costs in respect of public officials of the national entities, reg art 6.5 (m)" for the year 2028.
5429,21 CHF is moved fom 2023 budget to 2026 budget.
9634,99 is moved from 2024 budget to 2028 budget.</t>
  </si>
  <si>
    <t>936,30 CHF is moved from 2023 budget to 2026 budget.
1650,04 CHF is moved from 2024 budget to 2026 budget.
19170 is moved from 2025 budget to 2026 budget.
The costs for organising a meeting in Estonia with representatives of the Baltic States, the SCO and Swiss institutions were added to the description of expenditures.</t>
  </si>
  <si>
    <r>
      <t xml:space="preserve">Travel costs of 2 persons from the NCU to Switzerland, meetings and events in Latvia and in other countries. The budget includes transportation costs, travel insurance, accommodation, daily allowance according to Estonian legislation, costs for airport transfers, the use of paid wifi service, city tax, etc. 
The costs of the annual meeting Estonia - room rent, catering, transportation, etc necessary to conduct the meeting. Travel and accommodation costs, fringe benefit from the catering costs of the NCU and the PA related to the annual meeting are included in this budget line.
The costs of monitoring missions - room rent, catering, transportation, etc necessary to conduct the monitoring mission.
</t>
    </r>
    <r>
      <rPr>
        <sz val="10"/>
        <color rgb="FFFF0000"/>
        <rFont val="Arial"/>
        <family val="2"/>
        <charset val="186"/>
      </rPr>
      <t>The costs for organising a meeting in Estonia with representatives of the Baltic States, the SCO and Swiss institutions, including room rent, catering, transport, accommodation and other necessary expenses to hold the meeting (AA and PA representatives will probably also participate).</t>
    </r>
  </si>
  <si>
    <t>Planned budget in 2024</t>
  </si>
  <si>
    <t>New budget in 2025</t>
  </si>
  <si>
    <t>real change</t>
  </si>
  <si>
    <t>consolidated changes</t>
  </si>
  <si>
    <r>
      <t xml:space="preserve">The functions of the NCU are performed by two employees at the State Shared Service Centre: 1) NCU main contact 1 FTE (full-time employee). Remuneration shall be paid 100% from the technical assistance of the programme up to the date of conclusion of the technical assistance agreement. The amount of the salary corresponds to the actual salary level of the position.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 Estonia has planned to implement the programme until autumn 2028. 2) Head of NCU main contact, 0,15 FTE. The Head remuneration monthly salary shall be paid 15% (from emplyee basic remuneration) the programme technical assistance and 85% from other resources. Remuneration shall be calculated on a monthly basis until the end of all activities of the programme contract. Social security charges and other statutory costs are included in the remuneration. The corresponding annexes to the employment contract or agreements on remuneration of work shall be entered into in writing. Both salaries also include a once-a-year performance pay, which is calculated in accordance with the salary guide of the State Shared Service Centre. 
</t>
    </r>
    <r>
      <rPr>
        <sz val="10"/>
        <color rgb="FFFF0000"/>
        <rFont val="Arial"/>
        <family val="2"/>
        <charset val="186"/>
      </rPr>
      <t xml:space="preserve">In 2026, 0,08 FTE is planned for the Head of NCU main contact. </t>
    </r>
  </si>
  <si>
    <t>0,75 FTE (full time employee) monthly is planned for the audit authority. Remuneration may be divided between several employees in part-time. The remuneration shall be calculated in accordance with the contribution of the work to the audits carried out under the programme. Social security charges and other statutory costs are included in the remuneration.The corresponding annexes to the employment contract or agreements on remuneration of work shall be entered into in writing. The audit authority is the audit department of the Ministry of Finance of Estonia. Salary also includes a once-a-year performance pay, which is calculated in accordance with the salary guide of the Ministry of Finance.</t>
  </si>
  <si>
    <t>Technical Assistance Budget 2026</t>
  </si>
  <si>
    <t>Table 1. Technical Assistance Budget 2026</t>
  </si>
  <si>
    <r>
      <t>Table 5: Modifications to Technical Assistance Fund budget 2023-2027 (</t>
    </r>
    <r>
      <rPr>
        <i/>
        <sz val="10"/>
        <color theme="1"/>
        <rFont val="Arial"/>
        <family val="2"/>
        <charset val="186"/>
      </rPr>
      <t>currency</t>
    </r>
    <r>
      <rPr>
        <sz val="10"/>
        <color theme="1"/>
        <rFont val="Arial"/>
        <family val="2"/>
        <charset val="186"/>
      </rPr>
      <t xml:space="preserve"> </t>
    </r>
    <r>
      <rPr>
        <b/>
        <sz val="10"/>
        <color theme="1"/>
        <rFont val="Arial"/>
        <family val="2"/>
        <charset val="186"/>
      </rPr>
      <t>CHF</t>
    </r>
    <r>
      <rPr>
        <sz val="10"/>
        <color theme="1"/>
        <rFont val="Arial"/>
        <family val="2"/>
        <charset val="186"/>
      </rPr>
      <t>) in 2025</t>
    </r>
  </si>
  <si>
    <r>
      <t>Table 2: Technical Assistance Fund budget 2023-2027 (</t>
    </r>
    <r>
      <rPr>
        <i/>
        <sz val="10"/>
        <color theme="1"/>
        <rFont val="Arial"/>
        <family val="2"/>
        <charset val="186"/>
      </rPr>
      <t>currency</t>
    </r>
    <r>
      <rPr>
        <sz val="10"/>
        <color theme="1"/>
        <rFont val="Arial"/>
        <family val="2"/>
        <charset val="186"/>
      </rPr>
      <t xml:space="preserve"> </t>
    </r>
    <r>
      <rPr>
        <b/>
        <sz val="10"/>
        <color theme="1"/>
        <rFont val="Arial"/>
        <family val="2"/>
        <charset val="186"/>
      </rPr>
      <t>CHF</t>
    </r>
    <r>
      <rPr>
        <sz val="10"/>
        <color theme="1"/>
        <rFont val="Arial"/>
        <family val="2"/>
        <charset val="186"/>
      </rPr>
      <t>) original budget</t>
    </r>
  </si>
  <si>
    <r>
      <rPr>
        <sz val="10"/>
        <color rgb="FFFF0000"/>
        <rFont val="Arial"/>
        <family val="2"/>
        <charset val="186"/>
      </rPr>
      <t>In 2026, 0,3 FTE (full-time employee) is planned for the Paying Authority.</t>
    </r>
    <r>
      <rPr>
        <sz val="10"/>
        <rFont val="Arial"/>
        <family val="2"/>
        <charset val="186"/>
      </rPr>
      <t xml:space="preserve"> Remuneration may be divided between several employees in part-time. The remuneration shall be calculated in accordance with the contribution of the work carried out under the programme. Social security charges and other statutory costs are included in the remuneration.The corresponding annexes to the employment contract or agreements on remuneration of work shall be entered into in writing. Salary also include a once-a-year performance pay, which is calculated in accordance with the salary guide of the State Shared Service Centre.</t>
    </r>
  </si>
  <si>
    <t>In 2026, 0,3 FTE (full-time employee) is planned for the Paying Authority. Remuneration may be divided between several employees in part-time. The remuneration shall be calculated in accordance with the contribution of the work carried out under the programme. Social security charges and other statutory costs are included in the remuneration.The corresponding annexes to the employment contract or agreements on remuneration of work shall be entered into in writing. Salary also include a once-a-year performance pay, which is calculated in accordance with the salary guide of the State Shared Service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</si>
</sst>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color theme="1"/>
      <name val="Arial"/>
      <family val="2"/>
      <charset val="186"/>
    </font>
    <font>
      <b/>
      <sz val="10"/>
      <color theme="1"/>
      <name val="Arial"/>
      <family val="2"/>
      <charset val="186"/>
    </font>
    <font>
      <i/>
      <sz val="10"/>
      <color theme="1"/>
      <name val="Arial"/>
      <family val="2"/>
      <charset val="186"/>
    </font>
    <font>
      <sz val="9"/>
      <color theme="1"/>
      <name val="Arial"/>
      <family val="2"/>
      <charset val="186"/>
    </font>
    <font>
      <b/>
      <sz val="9"/>
      <color theme="1"/>
      <name val="Arial"/>
      <family val="2"/>
      <charset val="186"/>
    </font>
    <font>
      <sz val="9"/>
      <color theme="1"/>
      <name val="Arial"/>
      <family val="2"/>
    </font>
    <font>
      <b/>
      <sz val="10"/>
      <color theme="1"/>
      <name val="Arial"/>
      <family val="2"/>
    </font>
    <font>
      <b/>
      <sz val="9"/>
      <color theme="1"/>
      <name val="Arial"/>
      <family val="2"/>
    </font>
    <font>
      <sz val="10"/>
      <color theme="1"/>
      <name val="Arial"/>
      <family val="2"/>
    </font>
    <font>
      <sz val="10"/>
      <name val="Arial"/>
      <family val="2"/>
      <charset val="186"/>
    </font>
    <font>
      <sz val="10"/>
      <color rgb="FFFF0000"/>
      <name val="Arial"/>
      <family val="2"/>
      <charset val="186"/>
    </font>
    <font>
      <b/>
      <sz val="10"/>
      <color rgb="FFFF0000"/>
      <name val="Arial"/>
      <family val="2"/>
      <charset val="186"/>
    </font>
    <font>
      <sz val="10"/>
      <name val="Arial"/>
      <family val="2"/>
    </font>
    <font>
      <b/>
      <sz val="10"/>
      <name val="Arial"/>
      <family val="2"/>
      <charset val="186"/>
    </font>
    <font>
      <sz val="10"/>
      <color rgb="FFFF0000"/>
      <name val="Arial"/>
      <family val="2"/>
    </font>
    <font>
      <sz val="9"/>
      <name val="Arial"/>
      <family val="2"/>
      <charset val="186"/>
    </font>
    <font>
      <sz val="9"/>
      <name val="Arial"/>
      <family val="2"/>
    </font>
    <font>
      <b/>
      <sz val="9"/>
      <name val="Arial"/>
      <family val="2"/>
    </font>
    <font>
      <b/>
      <sz val="9"/>
      <name val="Arial"/>
      <family val="2"/>
      <charset val="186"/>
    </font>
    <font>
      <b/>
      <sz val="10"/>
      <color rgb="FF000000"/>
      <name val="Arial"/>
      <family val="2"/>
      <charset val="186"/>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4">
    <xf numFmtId="0" fontId="0" fillId="0" borderId="0" xfId="0"/>
    <xf numFmtId="0" fontId="1" fillId="2" borderId="0" xfId="0" applyFont="1" applyFill="1"/>
    <xf numFmtId="3" fontId="2" fillId="2" borderId="1" xfId="0" applyNumberFormat="1" applyFont="1" applyFill="1" applyBorder="1"/>
    <xf numFmtId="0" fontId="2" fillId="3" borderId="1" xfId="0" applyFont="1" applyFill="1" applyBorder="1" applyAlignment="1">
      <alignment horizontal="center" wrapText="1"/>
    </xf>
    <xf numFmtId="0" fontId="1" fillId="2" borderId="0" xfId="0" applyFont="1" applyFill="1" applyAlignment="1">
      <alignment wrapText="1"/>
    </xf>
    <xf numFmtId="3" fontId="1" fillId="2" borderId="1" xfId="0" applyNumberFormat="1" applyFont="1" applyFill="1" applyBorder="1"/>
    <xf numFmtId="3" fontId="2" fillId="3" borderId="1" xfId="0" applyNumberFormat="1" applyFont="1" applyFill="1" applyBorder="1"/>
    <xf numFmtId="3" fontId="1" fillId="2" borderId="0" xfId="0" applyNumberFormat="1" applyFont="1" applyFill="1"/>
    <xf numFmtId="0" fontId="2" fillId="2" borderId="0" xfId="0" applyFont="1" applyFill="1"/>
    <xf numFmtId="3" fontId="2" fillId="2" borderId="0" xfId="0" applyNumberFormat="1" applyFont="1" applyFill="1"/>
    <xf numFmtId="0" fontId="2" fillId="3" borderId="7" xfId="0" applyFont="1" applyFill="1" applyBorder="1" applyAlignment="1">
      <alignment horizontal="center" wrapText="1"/>
    </xf>
    <xf numFmtId="0" fontId="2" fillId="2" borderId="1" xfId="0" applyFont="1" applyFill="1" applyBorder="1" applyAlignment="1">
      <alignment wrapText="1"/>
    </xf>
    <xf numFmtId="0" fontId="2" fillId="3" borderId="1" xfId="0" applyFont="1" applyFill="1" applyBorder="1" applyAlignment="1">
      <alignment horizontal="right" wrapText="1"/>
    </xf>
    <xf numFmtId="0" fontId="1" fillId="2" borderId="0" xfId="0" applyFont="1" applyFill="1" applyAlignment="1">
      <alignment horizontal="right" wrapText="1"/>
    </xf>
    <xf numFmtId="0" fontId="4" fillId="2" borderId="1" xfId="0" applyFont="1" applyFill="1" applyBorder="1" applyAlignment="1">
      <alignment horizontal="right" wrapText="1"/>
    </xf>
    <xf numFmtId="0" fontId="5" fillId="2" borderId="1" xfId="0" applyFont="1" applyFill="1" applyBorder="1" applyAlignment="1">
      <alignment horizontal="left" wrapText="1"/>
    </xf>
    <xf numFmtId="0" fontId="5" fillId="2" borderId="1" xfId="0" applyFont="1" applyFill="1" applyBorder="1" applyAlignment="1">
      <alignment wrapText="1"/>
    </xf>
    <xf numFmtId="3" fontId="2" fillId="4" borderId="1" xfId="0" applyNumberFormat="1" applyFont="1" applyFill="1" applyBorder="1"/>
    <xf numFmtId="3" fontId="1" fillId="4" borderId="1" xfId="0" applyNumberFormat="1" applyFont="1" applyFill="1" applyBorder="1"/>
    <xf numFmtId="0" fontId="1" fillId="5" borderId="1" xfId="0" applyFont="1" applyFill="1" applyBorder="1"/>
    <xf numFmtId="0" fontId="1" fillId="5" borderId="1" xfId="0" applyFont="1" applyFill="1" applyBorder="1" applyAlignment="1">
      <alignment wrapText="1"/>
    </xf>
    <xf numFmtId="0" fontId="7" fillId="5" borderId="1" xfId="0" applyFont="1" applyFill="1" applyBorder="1" applyAlignment="1">
      <alignment wrapText="1"/>
    </xf>
    <xf numFmtId="0" fontId="4" fillId="0" borderId="1" xfId="0" applyFont="1" applyBorder="1" applyAlignment="1">
      <alignment horizontal="right" wrapText="1"/>
    </xf>
    <xf numFmtId="0" fontId="6" fillId="0" borderId="1" xfId="0" applyFont="1" applyBorder="1" applyAlignment="1">
      <alignment horizontal="right" wrapText="1"/>
    </xf>
    <xf numFmtId="0" fontId="10" fillId="5" borderId="1" xfId="0" applyFont="1" applyFill="1" applyBorder="1" applyAlignment="1">
      <alignment wrapText="1"/>
    </xf>
    <xf numFmtId="9" fontId="1" fillId="5" borderId="1" xfId="0" applyNumberFormat="1" applyFont="1" applyFill="1" applyBorder="1" applyAlignment="1">
      <alignment wrapText="1"/>
    </xf>
    <xf numFmtId="0" fontId="4" fillId="2" borderId="1" xfId="0" applyFont="1" applyFill="1" applyBorder="1" applyAlignment="1">
      <alignment wrapText="1"/>
    </xf>
    <xf numFmtId="0" fontId="9" fillId="5" borderId="1" xfId="0" applyFont="1" applyFill="1" applyBorder="1" applyAlignment="1">
      <alignment wrapText="1"/>
    </xf>
    <xf numFmtId="3" fontId="11" fillId="2" borderId="1" xfId="0" applyNumberFormat="1" applyFont="1" applyFill="1" applyBorder="1"/>
    <xf numFmtId="0" fontId="1" fillId="5"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xf numFmtId="0" fontId="1" fillId="2" borderId="1" xfId="0" applyFont="1" applyFill="1" applyBorder="1" applyAlignment="1">
      <alignment vertical="top"/>
    </xf>
    <xf numFmtId="0" fontId="1" fillId="5" borderId="1" xfId="0" applyFont="1" applyFill="1" applyBorder="1" applyAlignment="1">
      <alignment vertical="top"/>
    </xf>
    <xf numFmtId="3" fontId="2" fillId="4" borderId="1" xfId="0" applyNumberFormat="1" applyFont="1" applyFill="1" applyBorder="1" applyAlignment="1">
      <alignment vertical="top"/>
    </xf>
    <xf numFmtId="0" fontId="10" fillId="5" borderId="1" xfId="0" applyFont="1" applyFill="1" applyBorder="1" applyAlignment="1">
      <alignment vertical="top" wrapText="1"/>
    </xf>
    <xf numFmtId="3" fontId="1" fillId="4" borderId="1" xfId="0" applyNumberFormat="1" applyFont="1" applyFill="1" applyBorder="1" applyAlignment="1">
      <alignment vertical="top"/>
    </xf>
    <xf numFmtId="0" fontId="9" fillId="5" borderId="1" xfId="0" applyFont="1" applyFill="1" applyBorder="1" applyAlignment="1">
      <alignment vertical="top" wrapText="1"/>
    </xf>
    <xf numFmtId="0" fontId="2" fillId="5" borderId="1" xfId="0" applyFont="1" applyFill="1" applyBorder="1" applyAlignment="1">
      <alignment wrapText="1"/>
    </xf>
    <xf numFmtId="3" fontId="12" fillId="2" borderId="1" xfId="0" applyNumberFormat="1" applyFont="1" applyFill="1" applyBorder="1"/>
    <xf numFmtId="0" fontId="13" fillId="5" borderId="1" xfId="0" applyFont="1" applyFill="1" applyBorder="1" applyAlignment="1">
      <alignment vertical="top" wrapText="1"/>
    </xf>
    <xf numFmtId="0" fontId="15" fillId="5" borderId="1" xfId="0" applyFont="1" applyFill="1" applyBorder="1" applyAlignment="1">
      <alignment vertical="top" wrapText="1"/>
    </xf>
    <xf numFmtId="0" fontId="10" fillId="2" borderId="0" xfId="0" applyFont="1" applyFill="1"/>
    <xf numFmtId="0" fontId="10" fillId="5" borderId="1" xfId="0" applyFont="1" applyFill="1" applyBorder="1" applyAlignment="1">
      <alignment vertical="top"/>
    </xf>
    <xf numFmtId="0" fontId="10" fillId="2" borderId="1" xfId="0" applyFont="1" applyFill="1" applyBorder="1" applyAlignment="1">
      <alignment vertical="top"/>
    </xf>
    <xf numFmtId="0" fontId="14" fillId="3" borderId="1" xfId="0" applyFont="1" applyFill="1" applyBorder="1" applyAlignment="1">
      <alignment horizontal="center" wrapText="1"/>
    </xf>
    <xf numFmtId="0" fontId="14" fillId="3" borderId="7" xfId="0" applyFont="1" applyFill="1" applyBorder="1" applyAlignment="1">
      <alignment horizontal="center" wrapText="1"/>
    </xf>
    <xf numFmtId="0" fontId="14" fillId="5" borderId="1" xfId="0" applyFont="1" applyFill="1" applyBorder="1" applyAlignment="1">
      <alignment wrapText="1"/>
    </xf>
    <xf numFmtId="0" fontId="14" fillId="2" borderId="1" xfId="0" applyFont="1" applyFill="1" applyBorder="1" applyAlignment="1">
      <alignment wrapText="1"/>
    </xf>
    <xf numFmtId="0" fontId="16" fillId="2" borderId="1" xfId="0" applyFont="1" applyFill="1" applyBorder="1" applyAlignment="1">
      <alignment horizontal="right" wrapText="1"/>
    </xf>
    <xf numFmtId="0" fontId="17" fillId="0" borderId="1" xfId="0" applyFont="1" applyBorder="1" applyAlignment="1">
      <alignment horizontal="right" wrapText="1"/>
    </xf>
    <xf numFmtId="0" fontId="16" fillId="0" borderId="1" xfId="0" applyFont="1" applyBorder="1" applyAlignment="1">
      <alignment horizontal="right" wrapText="1"/>
    </xf>
    <xf numFmtId="0" fontId="19" fillId="2" borderId="1" xfId="0" applyFont="1" applyFill="1" applyBorder="1" applyAlignment="1">
      <alignment horizontal="left" wrapText="1"/>
    </xf>
    <xf numFmtId="0" fontId="19" fillId="2" borderId="1" xfId="0" applyFont="1" applyFill="1" applyBorder="1" applyAlignment="1">
      <alignment wrapText="1"/>
    </xf>
    <xf numFmtId="0" fontId="16" fillId="2" borderId="1" xfId="0" applyFont="1" applyFill="1" applyBorder="1" applyAlignment="1">
      <alignment wrapText="1"/>
    </xf>
    <xf numFmtId="9" fontId="10" fillId="5" borderId="1" xfId="0" applyNumberFormat="1" applyFont="1" applyFill="1" applyBorder="1" applyAlignment="1">
      <alignment wrapText="1"/>
    </xf>
    <xf numFmtId="0" fontId="10" fillId="2" borderId="1" xfId="0" applyFont="1" applyFill="1" applyBorder="1"/>
    <xf numFmtId="0" fontId="14" fillId="3" borderId="1" xfId="0" applyFont="1" applyFill="1" applyBorder="1" applyAlignment="1">
      <alignment horizontal="right" wrapText="1"/>
    </xf>
    <xf numFmtId="4" fontId="14" fillId="2" borderId="1" xfId="0" applyNumberFormat="1" applyFont="1" applyFill="1" applyBorder="1"/>
    <xf numFmtId="4" fontId="10" fillId="2" borderId="1" xfId="0" applyNumberFormat="1" applyFont="1" applyFill="1" applyBorder="1"/>
    <xf numFmtId="4" fontId="11" fillId="2" borderId="1" xfId="0" applyNumberFormat="1" applyFont="1" applyFill="1" applyBorder="1"/>
    <xf numFmtId="4" fontId="14" fillId="3" borderId="1" xfId="0" applyNumberFormat="1" applyFont="1" applyFill="1" applyBorder="1"/>
    <xf numFmtId="2" fontId="14" fillId="2" borderId="1" xfId="0" applyNumberFormat="1" applyFont="1" applyFill="1" applyBorder="1"/>
    <xf numFmtId="2" fontId="10" fillId="2" borderId="1" xfId="0" applyNumberFormat="1" applyFont="1" applyFill="1" applyBorder="1"/>
    <xf numFmtId="2" fontId="11" fillId="2" borderId="1" xfId="0" applyNumberFormat="1" applyFont="1" applyFill="1" applyBorder="1"/>
    <xf numFmtId="2" fontId="12" fillId="2" borderId="1" xfId="0" applyNumberFormat="1" applyFont="1" applyFill="1" applyBorder="1"/>
    <xf numFmtId="2" fontId="14" fillId="3" borderId="1" xfId="0" applyNumberFormat="1" applyFont="1" applyFill="1" applyBorder="1"/>
    <xf numFmtId="4" fontId="14" fillId="4" borderId="1" xfId="0" applyNumberFormat="1" applyFont="1" applyFill="1" applyBorder="1" applyAlignment="1">
      <alignment vertical="top"/>
    </xf>
    <xf numFmtId="4" fontId="10" fillId="4" borderId="1" xfId="0" applyNumberFormat="1" applyFont="1" applyFill="1" applyBorder="1" applyAlignment="1">
      <alignment vertical="top"/>
    </xf>
    <xf numFmtId="4" fontId="14" fillId="4" borderId="1" xfId="0" applyNumberFormat="1" applyFont="1" applyFill="1" applyBorder="1"/>
    <xf numFmtId="4" fontId="10" fillId="4" borderId="1" xfId="0" applyNumberFormat="1" applyFont="1" applyFill="1" applyBorder="1"/>
    <xf numFmtId="4" fontId="1" fillId="2" borderId="0" xfId="0" applyNumberFormat="1" applyFont="1" applyFill="1"/>
    <xf numFmtId="2" fontId="1" fillId="2" borderId="0" xfId="0" applyNumberFormat="1" applyFont="1" applyFill="1"/>
    <xf numFmtId="4" fontId="1" fillId="2" borderId="1" xfId="0" applyNumberFormat="1" applyFont="1" applyFill="1" applyBorder="1"/>
    <xf numFmtId="4" fontId="12" fillId="2" borderId="1" xfId="0" applyNumberFormat="1" applyFont="1" applyFill="1" applyBorder="1"/>
    <xf numFmtId="9" fontId="10" fillId="5" borderId="1" xfId="0" applyNumberFormat="1" applyFont="1" applyFill="1" applyBorder="1" applyAlignment="1">
      <alignment vertical="top" wrapText="1"/>
    </xf>
    <xf numFmtId="2" fontId="20" fillId="0" borderId="0" xfId="0" applyNumberFormat="1" applyFont="1" applyAlignment="1">
      <alignment vertical="center"/>
    </xf>
    <xf numFmtId="2" fontId="2" fillId="2" borderId="0" xfId="0" applyNumberFormat="1" applyFont="1" applyFill="1"/>
    <xf numFmtId="0" fontId="1" fillId="2" borderId="8" xfId="0" applyFont="1" applyFill="1" applyBorder="1" applyAlignment="1">
      <alignment horizontal="left"/>
    </xf>
    <xf numFmtId="0" fontId="0" fillId="0" borderId="9" xfId="0" applyBorder="1"/>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1" fillId="3" borderId="6" xfId="0" applyFont="1" applyFill="1" applyBorder="1" applyAlignment="1">
      <alignment horizontal="center"/>
    </xf>
    <xf numFmtId="0" fontId="2" fillId="3" borderId="6" xfId="0" applyFont="1" applyFill="1" applyBorder="1" applyAlignment="1">
      <alignment horizont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6" xfId="0" applyFont="1" applyFill="1" applyBorder="1" applyAlignment="1">
      <alignment horizontal="center" vertical="top"/>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horizontal="center"/>
    </xf>
    <xf numFmtId="0" fontId="14" fillId="3" borderId="5" xfId="0" applyFont="1" applyFill="1" applyBorder="1" applyAlignment="1">
      <alignment horizontal="center"/>
    </xf>
    <xf numFmtId="0" fontId="10" fillId="3" borderId="6" xfId="0" applyFont="1" applyFill="1" applyBorder="1" applyAlignment="1">
      <alignment horizontal="center"/>
    </xf>
    <xf numFmtId="0" fontId="14" fillId="3" borderId="4" xfId="0" applyFont="1" applyFill="1" applyBorder="1" applyAlignment="1">
      <alignment horizontal="center" vertical="top"/>
    </xf>
    <xf numFmtId="0" fontId="14" fillId="3" borderId="5" xfId="0" applyFont="1" applyFill="1" applyBorder="1" applyAlignment="1">
      <alignment horizontal="center" vertical="top"/>
    </xf>
    <xf numFmtId="0" fontId="14" fillId="3" borderId="6" xfId="0" applyFont="1" applyFill="1" applyBorder="1" applyAlignment="1">
      <alignment horizontal="center" vertical="top"/>
    </xf>
    <xf numFmtId="2" fontId="14" fillId="2" borderId="1" xfId="0" applyNumberFormat="1" applyFont="1" applyFill="1" applyBorder="1" applyAlignment="1">
      <alignment vertical="top"/>
    </xf>
    <xf numFmtId="2" fontId="10" fillId="2" borderId="1" xfId="0" applyNumberFormat="1" applyFont="1" applyFill="1" applyBorder="1" applyAlignment="1">
      <alignment vertical="top"/>
    </xf>
    <xf numFmtId="4" fontId="14" fillId="2" borderId="1" xfId="0" applyNumberFormat="1" applyFont="1" applyFill="1" applyBorder="1" applyAlignment="1">
      <alignment vertical="top"/>
    </xf>
    <xf numFmtId="4" fontId="10" fillId="2" borderId="1" xfId="0" applyNumberFormat="1" applyFont="1" applyFill="1" applyBorder="1" applyAlignment="1">
      <alignment vertical="top"/>
    </xf>
    <xf numFmtId="4" fontId="11" fillId="2" borderId="1" xfId="0" applyNumberFormat="1" applyFont="1" applyFill="1" applyBorder="1" applyAlignment="1">
      <alignment vertical="top"/>
    </xf>
    <xf numFmtId="0" fontId="16" fillId="0" borderId="1" xfId="0" applyFont="1" applyBorder="1" applyAlignment="1">
      <alignment horizontal="right" vertical="top" wrapText="1"/>
    </xf>
    <xf numFmtId="0" fontId="17" fillId="0" borderId="1" xfId="0" applyFont="1" applyBorder="1" applyAlignment="1">
      <alignment horizontal="right" vertical="top" wrapText="1"/>
    </xf>
    <xf numFmtId="4" fontId="1" fillId="2" borderId="1" xfId="0" applyNumberFormat="1" applyFont="1" applyFill="1" applyBorder="1" applyAlignment="1">
      <alignment vertical="top"/>
    </xf>
    <xf numFmtId="2" fontId="11" fillId="2" borderId="1" xfId="0" applyNumberFormat="1" applyFont="1" applyFill="1" applyBorder="1" applyAlignment="1">
      <alignment vertical="top"/>
    </xf>
    <xf numFmtId="0" fontId="19" fillId="2" borderId="1" xfId="0" applyFont="1" applyFill="1" applyBorder="1" applyAlignment="1">
      <alignment horizontal="left" vertical="top" wrapText="1"/>
    </xf>
    <xf numFmtId="2" fontId="12" fillId="2" borderId="1" xfId="0" applyNumberFormat="1" applyFont="1" applyFill="1" applyBorder="1" applyAlignment="1">
      <alignment vertical="top"/>
    </xf>
    <xf numFmtId="4" fontId="12" fillId="2" borderId="1" xfId="0" applyNumberFormat="1" applyFont="1" applyFill="1" applyBorder="1" applyAlignment="1">
      <alignment vertical="top"/>
    </xf>
    <xf numFmtId="0" fontId="14" fillId="3" borderId="1" xfId="0" applyFont="1" applyFill="1" applyBorder="1" applyAlignment="1">
      <alignment horizontal="right" vertical="top" wrapText="1"/>
    </xf>
    <xf numFmtId="2" fontId="14" fillId="3" borderId="1" xfId="0" applyNumberFormat="1" applyFont="1" applyFill="1" applyBorder="1" applyAlignment="1">
      <alignment vertical="top"/>
    </xf>
    <xf numFmtId="4" fontId="14" fillId="3" borderId="1" xfId="0" applyNumberFormat="1" applyFont="1" applyFill="1" applyBorder="1" applyAlignment="1">
      <alignment vertical="top"/>
    </xf>
    <xf numFmtId="0" fontId="16" fillId="2" borderId="1" xfId="0" applyFont="1" applyFill="1" applyBorder="1" applyAlignment="1">
      <alignment horizontal="left" vertical="top" wrapText="1"/>
    </xf>
    <xf numFmtId="0" fontId="17" fillId="0" borderId="1" xfId="0" applyFont="1" applyBorder="1" applyAlignment="1">
      <alignment horizontal="left"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EE8E-5A7E-4002-B9C9-5AD1F53A059D}">
  <dimension ref="A2:AB37"/>
  <sheetViews>
    <sheetView tabSelected="1" zoomScaleNormal="100" workbookViewId="0">
      <pane xSplit="1" ySplit="4" topLeftCell="K5" activePane="bottomRight" state="frozen"/>
      <selection pane="topRight" activeCell="B1" sqref="B1"/>
      <selection pane="bottomLeft" activeCell="A5" sqref="A5"/>
      <selection pane="bottomRight" activeCell="Z20" sqref="Z20"/>
    </sheetView>
  </sheetViews>
  <sheetFormatPr defaultColWidth="9.1796875" defaultRowHeight="13" outlineLevelCol="1" x14ac:dyDescent="0.3"/>
  <cols>
    <col min="1" max="1" width="46" style="4" customWidth="1"/>
    <col min="2" max="2" width="12.81640625" style="8" hidden="1" customWidth="1" outlineLevel="1"/>
    <col min="3" max="4" width="12.81640625" style="1" hidden="1" customWidth="1" outlineLevel="1"/>
    <col min="5" max="5" width="12.81640625" style="8" hidden="1" customWidth="1" outlineLevel="1"/>
    <col min="6" max="7" width="12.81640625" style="1" hidden="1" customWidth="1" outlineLevel="1"/>
    <col min="8" max="8" width="12.81640625" style="8" hidden="1" customWidth="1" outlineLevel="1"/>
    <col min="9" max="10" width="12.81640625" style="1" hidden="1" customWidth="1" outlineLevel="1"/>
    <col min="11" max="11" width="12.81640625" style="8" customWidth="1" outlineLevel="1"/>
    <col min="12" max="13" width="12.81640625" style="1" customWidth="1" outlineLevel="1"/>
    <col min="14" max="14" width="12.81640625" style="8" hidden="1" customWidth="1" outlineLevel="1"/>
    <col min="15" max="16" width="12.81640625" style="1" hidden="1" customWidth="1" outlineLevel="1"/>
    <col min="17" max="17" width="12.81640625" style="8" hidden="1" customWidth="1" outlineLevel="1"/>
    <col min="18" max="22" width="12.81640625" style="1" hidden="1" customWidth="1" outlineLevel="1"/>
    <col min="23" max="23" width="12.81640625" style="8" hidden="1" customWidth="1"/>
    <col min="24" max="25" width="12.81640625" style="1" hidden="1" customWidth="1"/>
    <col min="26" max="26" width="80.453125" style="1" customWidth="1"/>
    <col min="27" max="27" width="80.453125" style="1" hidden="1" customWidth="1"/>
    <col min="28" max="28" width="49" style="1" customWidth="1"/>
    <col min="29" max="30" width="9.1796875" style="1"/>
    <col min="31" max="31" width="1.1796875" style="1" customWidth="1"/>
    <col min="32" max="32" width="3.26953125" style="1" customWidth="1"/>
    <col min="33" max="16384" width="9.1796875" style="1"/>
  </cols>
  <sheetData>
    <row r="2" spans="1:28" ht="14.5" x14ac:dyDescent="0.35">
      <c r="A2" s="78" t="s">
        <v>111</v>
      </c>
      <c r="B2" s="79"/>
      <c r="C2" s="79"/>
      <c r="D2" s="79"/>
      <c r="E2" s="79"/>
      <c r="F2" s="79"/>
      <c r="G2" s="79"/>
      <c r="H2" s="79"/>
      <c r="I2" s="79"/>
      <c r="J2" s="79"/>
      <c r="K2" s="79"/>
      <c r="L2" s="79"/>
      <c r="M2" s="79"/>
      <c r="N2" s="79"/>
      <c r="O2" s="79"/>
      <c r="P2" s="79"/>
      <c r="Q2" s="79"/>
      <c r="R2" s="79"/>
      <c r="S2" s="79"/>
      <c r="T2" s="79"/>
      <c r="U2" s="79"/>
      <c r="V2" s="79"/>
      <c r="W2" s="79"/>
      <c r="X2" s="79"/>
      <c r="Y2" s="79"/>
      <c r="Z2" s="42"/>
      <c r="AA2" s="42"/>
    </row>
    <row r="3" spans="1:28" x14ac:dyDescent="0.3">
      <c r="A3" s="89" t="s">
        <v>110</v>
      </c>
      <c r="B3" s="91">
        <v>2023</v>
      </c>
      <c r="C3" s="92"/>
      <c r="D3" s="93"/>
      <c r="E3" s="91">
        <v>2024</v>
      </c>
      <c r="F3" s="92"/>
      <c r="G3" s="93"/>
      <c r="H3" s="91">
        <v>2025</v>
      </c>
      <c r="I3" s="92"/>
      <c r="J3" s="93"/>
      <c r="K3" s="91">
        <v>2026</v>
      </c>
      <c r="L3" s="92"/>
      <c r="M3" s="93"/>
      <c r="N3" s="91">
        <v>2027</v>
      </c>
      <c r="O3" s="92"/>
      <c r="P3" s="93"/>
      <c r="Q3" s="91">
        <v>2028</v>
      </c>
      <c r="R3" s="92"/>
      <c r="S3" s="93"/>
      <c r="T3" s="91">
        <v>2029</v>
      </c>
      <c r="U3" s="92"/>
      <c r="V3" s="93"/>
      <c r="W3" s="94" t="s">
        <v>29</v>
      </c>
      <c r="X3" s="95"/>
      <c r="Y3" s="96"/>
      <c r="Z3" s="43"/>
      <c r="AA3" s="43"/>
    </row>
    <row r="4" spans="1:28" s="4" customFormat="1" ht="35.5" customHeight="1" x14ac:dyDescent="0.3">
      <c r="A4" s="90"/>
      <c r="B4" s="45" t="s">
        <v>7</v>
      </c>
      <c r="C4" s="45" t="s">
        <v>8</v>
      </c>
      <c r="D4" s="45" t="s">
        <v>4</v>
      </c>
      <c r="E4" s="45" t="s">
        <v>7</v>
      </c>
      <c r="F4" s="45" t="s">
        <v>8</v>
      </c>
      <c r="G4" s="45" t="s">
        <v>5</v>
      </c>
      <c r="H4" s="45" t="s">
        <v>7</v>
      </c>
      <c r="I4" s="45" t="s">
        <v>8</v>
      </c>
      <c r="J4" s="45" t="s">
        <v>6</v>
      </c>
      <c r="K4" s="45" t="s">
        <v>7</v>
      </c>
      <c r="L4" s="45" t="s">
        <v>8</v>
      </c>
      <c r="M4" s="45" t="s">
        <v>9</v>
      </c>
      <c r="N4" s="45" t="s">
        <v>7</v>
      </c>
      <c r="O4" s="45" t="s">
        <v>8</v>
      </c>
      <c r="P4" s="45" t="s">
        <v>10</v>
      </c>
      <c r="Q4" s="45" t="s">
        <v>7</v>
      </c>
      <c r="R4" s="45" t="s">
        <v>8</v>
      </c>
      <c r="S4" s="45" t="s">
        <v>12</v>
      </c>
      <c r="T4" s="45" t="s">
        <v>7</v>
      </c>
      <c r="U4" s="45" t="s">
        <v>8</v>
      </c>
      <c r="V4" s="45" t="s">
        <v>13</v>
      </c>
      <c r="W4" s="46" t="s">
        <v>7</v>
      </c>
      <c r="X4" s="46" t="s">
        <v>8</v>
      </c>
      <c r="Y4" s="45" t="s">
        <v>30</v>
      </c>
      <c r="Z4" s="47" t="s">
        <v>26</v>
      </c>
      <c r="AA4" s="47" t="s">
        <v>51</v>
      </c>
    </row>
    <row r="5" spans="1:28" x14ac:dyDescent="0.3">
      <c r="A5" s="48" t="s">
        <v>2</v>
      </c>
      <c r="B5" s="62">
        <f>SUM(B6:B18)</f>
        <v>17066.48</v>
      </c>
      <c r="C5" s="62">
        <f>SUM(C6:C18)</f>
        <v>23568.010000000002</v>
      </c>
      <c r="D5" s="62">
        <f>SUM(D6:D18)</f>
        <v>40634.49</v>
      </c>
      <c r="E5" s="58">
        <f t="shared" ref="E5:V5" si="0">SUM(E6:E18)</f>
        <v>20550.350000000002</v>
      </c>
      <c r="F5" s="58">
        <f t="shared" si="0"/>
        <v>28379.07</v>
      </c>
      <c r="G5" s="58">
        <f t="shared" si="0"/>
        <v>48929.42</v>
      </c>
      <c r="H5" s="58">
        <f t="shared" si="0"/>
        <v>35987.279999999999</v>
      </c>
      <c r="I5" s="58">
        <f t="shared" si="0"/>
        <v>49696.72</v>
      </c>
      <c r="J5" s="58">
        <f t="shared" si="0"/>
        <v>85684</v>
      </c>
      <c r="K5" s="58">
        <f t="shared" si="0"/>
        <v>50396.259999999995</v>
      </c>
      <c r="L5" s="58">
        <f t="shared" si="0"/>
        <v>69594.84</v>
      </c>
      <c r="M5" s="58">
        <f t="shared" si="0"/>
        <v>119991.1</v>
      </c>
      <c r="N5" s="58">
        <f t="shared" si="0"/>
        <v>100744.14</v>
      </c>
      <c r="O5" s="58">
        <f t="shared" si="0"/>
        <v>139122.85999999999</v>
      </c>
      <c r="P5" s="58">
        <f t="shared" si="0"/>
        <v>239867</v>
      </c>
      <c r="Q5" s="58">
        <f t="shared" si="0"/>
        <v>29131.195799999998</v>
      </c>
      <c r="R5" s="58">
        <f t="shared" si="0"/>
        <v>40228.79</v>
      </c>
      <c r="S5" s="58">
        <f t="shared" si="0"/>
        <v>69359.989999999991</v>
      </c>
      <c r="T5" s="58">
        <f t="shared" si="0"/>
        <v>0</v>
      </c>
      <c r="U5" s="58">
        <f t="shared" si="0"/>
        <v>0</v>
      </c>
      <c r="V5" s="58">
        <f t="shared" si="0"/>
        <v>0</v>
      </c>
      <c r="W5" s="67">
        <f t="shared" ref="W5:X22" si="1">B5+E5+H5+K5+N5+Q5+T5</f>
        <v>253875.7058</v>
      </c>
      <c r="X5" s="67">
        <f t="shared" si="1"/>
        <v>350590.29</v>
      </c>
      <c r="Y5" s="67">
        <f>W5+X5</f>
        <v>604465.99579999992</v>
      </c>
      <c r="Z5" s="35"/>
      <c r="AA5" s="35"/>
    </row>
    <row r="6" spans="1:28" ht="153.5" customHeight="1" x14ac:dyDescent="0.25">
      <c r="A6" s="112" t="s">
        <v>14</v>
      </c>
      <c r="B6" s="97">
        <f>ROUND(0.42*D6,2)</f>
        <v>2546.75</v>
      </c>
      <c r="C6" s="98">
        <f>ROUND(0.58*D6,2)</f>
        <v>3516.95</v>
      </c>
      <c r="D6" s="105">
        <f>7000-936.3</f>
        <v>6063.7</v>
      </c>
      <c r="E6" s="99">
        <f>ROUND(0.42*G6,2)</f>
        <v>566.98</v>
      </c>
      <c r="F6" s="100">
        <f>ROUND(0.58*G6,2)</f>
        <v>782.98</v>
      </c>
      <c r="G6" s="101">
        <f>3000-1650.04</f>
        <v>1349.96</v>
      </c>
      <c r="H6" s="99">
        <f>ROUND(0.42*J6,2)</f>
        <v>4200</v>
      </c>
      <c r="I6" s="100">
        <f>ROUND(0.58*J6,2)</f>
        <v>5800</v>
      </c>
      <c r="J6" s="101">
        <f>29170-19170</f>
        <v>10000</v>
      </c>
      <c r="K6" s="99">
        <f>ROUND(0.42*M6,2)</f>
        <v>13106.66</v>
      </c>
      <c r="L6" s="100">
        <f>ROUND(0.58*M6,2)</f>
        <v>18099.68</v>
      </c>
      <c r="M6" s="101">
        <f>9450+936.3+1650.04+19170</f>
        <v>31206.34</v>
      </c>
      <c r="N6" s="99">
        <f>ROUND(0.42*P6,2)</f>
        <v>5439</v>
      </c>
      <c r="O6" s="100">
        <f>ROUND(0.58*P6,2)</f>
        <v>7511</v>
      </c>
      <c r="P6" s="100">
        <v>12950</v>
      </c>
      <c r="Q6" s="99">
        <f>0.42*S6</f>
        <v>0</v>
      </c>
      <c r="R6" s="100">
        <f>ROUND(0.58*S6,2)</f>
        <v>0</v>
      </c>
      <c r="S6" s="100">
        <v>0</v>
      </c>
      <c r="T6" s="100">
        <v>0</v>
      </c>
      <c r="U6" s="100">
        <v>0</v>
      </c>
      <c r="V6" s="100">
        <v>0</v>
      </c>
      <c r="W6" s="67">
        <f>B6+E6+H6+K6+N6+Q6+T6</f>
        <v>25859.39</v>
      </c>
      <c r="X6" s="68">
        <f t="shared" si="1"/>
        <v>35710.61</v>
      </c>
      <c r="Y6" s="68">
        <f>W6+X6</f>
        <v>61570</v>
      </c>
      <c r="Z6" s="35" t="s">
        <v>103</v>
      </c>
      <c r="AA6" s="35" t="s">
        <v>102</v>
      </c>
    </row>
    <row r="7" spans="1:28" ht="45" hidden="1" customHeight="1" x14ac:dyDescent="0.3">
      <c r="A7" s="50" t="s">
        <v>71</v>
      </c>
      <c r="B7" s="62">
        <v>0</v>
      </c>
      <c r="C7" s="63">
        <v>0</v>
      </c>
      <c r="D7" s="63">
        <v>0</v>
      </c>
      <c r="E7" s="58">
        <v>0</v>
      </c>
      <c r="F7" s="59">
        <v>0</v>
      </c>
      <c r="G7" s="59">
        <v>0</v>
      </c>
      <c r="H7" s="58">
        <v>0</v>
      </c>
      <c r="I7" s="59">
        <v>0</v>
      </c>
      <c r="J7" s="59">
        <v>0</v>
      </c>
      <c r="K7" s="58">
        <f t="shared" ref="K7:K18" si="2">ROUND(0.42*M7,2)</f>
        <v>0</v>
      </c>
      <c r="L7" s="59">
        <f t="shared" ref="L7:L17" si="3">ROUND(0.58*M7,2)</f>
        <v>0</v>
      </c>
      <c r="M7" s="59">
        <v>0</v>
      </c>
      <c r="N7" s="58">
        <f t="shared" ref="N7:N18" si="4">ROUND(0.42*P7,2)</f>
        <v>0</v>
      </c>
      <c r="O7" s="59">
        <f t="shared" ref="O7:O18" si="5">ROUND(0.58*P7,2)</f>
        <v>0</v>
      </c>
      <c r="P7" s="59">
        <v>0</v>
      </c>
      <c r="Q7" s="58">
        <f t="shared" ref="Q7:Q18" si="6">0.42*S7</f>
        <v>0</v>
      </c>
      <c r="R7" s="59">
        <f t="shared" ref="R7:R18" si="7">ROUND(0.58*S7,2)</f>
        <v>0</v>
      </c>
      <c r="S7" s="59">
        <v>0</v>
      </c>
      <c r="T7" s="59">
        <v>0</v>
      </c>
      <c r="U7" s="59">
        <v>0</v>
      </c>
      <c r="V7" s="59">
        <v>0</v>
      </c>
      <c r="W7" s="69">
        <f t="shared" si="1"/>
        <v>0</v>
      </c>
      <c r="X7" s="70">
        <f t="shared" si="1"/>
        <v>0</v>
      </c>
      <c r="Y7" s="70">
        <f t="shared" ref="Y7:Y22" si="8">W7+X7</f>
        <v>0</v>
      </c>
      <c r="Z7" s="40" t="s">
        <v>59</v>
      </c>
      <c r="AA7" s="40"/>
    </row>
    <row r="8" spans="1:28" ht="4" hidden="1" customHeight="1" x14ac:dyDescent="0.3">
      <c r="A8" s="51" t="s">
        <v>21</v>
      </c>
      <c r="B8" s="62">
        <v>0</v>
      </c>
      <c r="C8" s="63">
        <v>0</v>
      </c>
      <c r="D8" s="63">
        <v>0</v>
      </c>
      <c r="E8" s="58">
        <v>0</v>
      </c>
      <c r="F8" s="59">
        <v>0</v>
      </c>
      <c r="G8" s="59">
        <v>0</v>
      </c>
      <c r="H8" s="58">
        <v>0</v>
      </c>
      <c r="I8" s="59">
        <v>0</v>
      </c>
      <c r="J8" s="59">
        <v>0</v>
      </c>
      <c r="K8" s="58">
        <f t="shared" si="2"/>
        <v>0</v>
      </c>
      <c r="L8" s="59">
        <f t="shared" si="3"/>
        <v>0</v>
      </c>
      <c r="M8" s="59">
        <v>0</v>
      </c>
      <c r="N8" s="58">
        <f t="shared" si="4"/>
        <v>0</v>
      </c>
      <c r="O8" s="59">
        <f t="shared" si="5"/>
        <v>0</v>
      </c>
      <c r="P8" s="59">
        <v>0</v>
      </c>
      <c r="Q8" s="58">
        <f t="shared" si="6"/>
        <v>0</v>
      </c>
      <c r="R8" s="59">
        <f t="shared" si="7"/>
        <v>0</v>
      </c>
      <c r="S8" s="59">
        <v>0</v>
      </c>
      <c r="T8" s="59">
        <v>0</v>
      </c>
      <c r="U8" s="59">
        <v>0</v>
      </c>
      <c r="V8" s="59">
        <v>0</v>
      </c>
      <c r="W8" s="69">
        <f t="shared" si="1"/>
        <v>0</v>
      </c>
      <c r="X8" s="70">
        <f t="shared" si="1"/>
        <v>0</v>
      </c>
      <c r="Y8" s="70">
        <f t="shared" si="8"/>
        <v>0</v>
      </c>
      <c r="Z8" s="35" t="s">
        <v>52</v>
      </c>
      <c r="AA8" s="35"/>
    </row>
    <row r="9" spans="1:28" ht="163.5" customHeight="1" x14ac:dyDescent="0.25">
      <c r="A9" s="112" t="s">
        <v>15</v>
      </c>
      <c r="B9" s="97">
        <v>0</v>
      </c>
      <c r="C9" s="98">
        <v>0</v>
      </c>
      <c r="D9" s="98">
        <f>0</f>
        <v>0</v>
      </c>
      <c r="E9" s="99">
        <f>0.42*G9</f>
        <v>0</v>
      </c>
      <c r="F9" s="100">
        <f>0.58*G9</f>
        <v>0</v>
      </c>
      <c r="G9" s="100">
        <v>0</v>
      </c>
      <c r="H9" s="99">
        <f>ROUND(0.42*J9,2)</f>
        <v>1566.6</v>
      </c>
      <c r="I9" s="100">
        <f>ROUND(0.58*J9,2)</f>
        <v>2163.4</v>
      </c>
      <c r="J9" s="101">
        <f>6730-3000</f>
        <v>3730</v>
      </c>
      <c r="K9" s="99">
        <f t="shared" si="2"/>
        <v>2927.4</v>
      </c>
      <c r="L9" s="100">
        <f t="shared" si="3"/>
        <v>4042.6</v>
      </c>
      <c r="M9" s="100">
        <v>6970</v>
      </c>
      <c r="N9" s="99">
        <f t="shared" si="4"/>
        <v>1764</v>
      </c>
      <c r="O9" s="100">
        <f t="shared" si="5"/>
        <v>2436</v>
      </c>
      <c r="P9" s="100">
        <v>4200</v>
      </c>
      <c r="Q9" s="99">
        <f t="shared" si="6"/>
        <v>1260</v>
      </c>
      <c r="R9" s="100">
        <f t="shared" si="7"/>
        <v>1740</v>
      </c>
      <c r="S9" s="101">
        <v>3000</v>
      </c>
      <c r="T9" s="100">
        <v>0</v>
      </c>
      <c r="U9" s="100">
        <v>0</v>
      </c>
      <c r="V9" s="100">
        <v>0</v>
      </c>
      <c r="W9" s="67">
        <f t="shared" si="1"/>
        <v>7518</v>
      </c>
      <c r="X9" s="68">
        <f t="shared" si="1"/>
        <v>10382</v>
      </c>
      <c r="Y9" s="68">
        <f t="shared" si="8"/>
        <v>17900</v>
      </c>
      <c r="Z9" s="35" t="s">
        <v>83</v>
      </c>
      <c r="AA9" s="35" t="s">
        <v>94</v>
      </c>
    </row>
    <row r="10" spans="1:28" ht="75.5" hidden="1" customHeight="1" x14ac:dyDescent="0.25">
      <c r="A10" s="102" t="s">
        <v>18</v>
      </c>
      <c r="B10" s="97">
        <v>0</v>
      </c>
      <c r="C10" s="98">
        <v>0</v>
      </c>
      <c r="D10" s="98">
        <v>0</v>
      </c>
      <c r="E10" s="99">
        <v>0</v>
      </c>
      <c r="F10" s="100">
        <v>0</v>
      </c>
      <c r="G10" s="100">
        <v>0</v>
      </c>
      <c r="H10" s="99">
        <v>0</v>
      </c>
      <c r="I10" s="100">
        <v>0</v>
      </c>
      <c r="J10" s="100">
        <v>0</v>
      </c>
      <c r="K10" s="99">
        <f t="shared" si="2"/>
        <v>0</v>
      </c>
      <c r="L10" s="100">
        <f t="shared" si="3"/>
        <v>0</v>
      </c>
      <c r="M10" s="100">
        <v>0</v>
      </c>
      <c r="N10" s="99">
        <f t="shared" si="4"/>
        <v>0</v>
      </c>
      <c r="O10" s="100">
        <f t="shared" si="5"/>
        <v>0</v>
      </c>
      <c r="P10" s="100">
        <v>0</v>
      </c>
      <c r="Q10" s="99">
        <f t="shared" si="6"/>
        <v>0</v>
      </c>
      <c r="R10" s="100">
        <f t="shared" si="7"/>
        <v>0</v>
      </c>
      <c r="S10" s="100">
        <v>0</v>
      </c>
      <c r="T10" s="100">
        <v>0</v>
      </c>
      <c r="U10" s="100">
        <v>0</v>
      </c>
      <c r="V10" s="100">
        <v>0</v>
      </c>
      <c r="W10" s="67">
        <f t="shared" si="1"/>
        <v>0</v>
      </c>
      <c r="X10" s="68">
        <f t="shared" si="1"/>
        <v>0</v>
      </c>
      <c r="Y10" s="68">
        <f t="shared" si="8"/>
        <v>0</v>
      </c>
      <c r="Z10" s="35" t="s">
        <v>53</v>
      </c>
      <c r="AA10" s="35"/>
      <c r="AB10" s="4"/>
    </row>
    <row r="11" spans="1:28" ht="75" hidden="1" x14ac:dyDescent="0.25">
      <c r="A11" s="102" t="s">
        <v>19</v>
      </c>
      <c r="B11" s="97">
        <v>0</v>
      </c>
      <c r="C11" s="98">
        <v>0</v>
      </c>
      <c r="D11" s="98">
        <v>0</v>
      </c>
      <c r="E11" s="99">
        <v>0</v>
      </c>
      <c r="F11" s="100">
        <v>0</v>
      </c>
      <c r="G11" s="100">
        <v>0</v>
      </c>
      <c r="H11" s="99">
        <v>0</v>
      </c>
      <c r="I11" s="100">
        <v>0</v>
      </c>
      <c r="J11" s="100">
        <v>0</v>
      </c>
      <c r="K11" s="99">
        <f t="shared" si="2"/>
        <v>0</v>
      </c>
      <c r="L11" s="100">
        <f t="shared" si="3"/>
        <v>0</v>
      </c>
      <c r="M11" s="100">
        <v>0</v>
      </c>
      <c r="N11" s="99">
        <f t="shared" si="4"/>
        <v>0</v>
      </c>
      <c r="O11" s="100">
        <f t="shared" si="5"/>
        <v>0</v>
      </c>
      <c r="P11" s="100">
        <v>0</v>
      </c>
      <c r="Q11" s="99">
        <f t="shared" si="6"/>
        <v>0</v>
      </c>
      <c r="R11" s="100">
        <f t="shared" si="7"/>
        <v>0</v>
      </c>
      <c r="S11" s="100">
        <v>0</v>
      </c>
      <c r="T11" s="100">
        <v>0</v>
      </c>
      <c r="U11" s="100">
        <v>0</v>
      </c>
      <c r="V11" s="100">
        <v>0</v>
      </c>
      <c r="W11" s="67">
        <f t="shared" si="1"/>
        <v>0</v>
      </c>
      <c r="X11" s="68">
        <f t="shared" si="1"/>
        <v>0</v>
      </c>
      <c r="Y11" s="68">
        <f t="shared" si="8"/>
        <v>0</v>
      </c>
      <c r="Z11" s="35" t="s">
        <v>33</v>
      </c>
      <c r="AA11" s="35"/>
    </row>
    <row r="12" spans="1:28" ht="52.5" hidden="1" customHeight="1" x14ac:dyDescent="0.25">
      <c r="A12" s="102" t="s">
        <v>22</v>
      </c>
      <c r="B12" s="97">
        <v>0</v>
      </c>
      <c r="C12" s="98">
        <v>0</v>
      </c>
      <c r="D12" s="98">
        <v>0</v>
      </c>
      <c r="E12" s="99">
        <v>0</v>
      </c>
      <c r="F12" s="100">
        <v>0</v>
      </c>
      <c r="G12" s="100">
        <v>0</v>
      </c>
      <c r="H12" s="99">
        <v>0</v>
      </c>
      <c r="I12" s="100">
        <v>0</v>
      </c>
      <c r="J12" s="100">
        <v>0</v>
      </c>
      <c r="K12" s="99">
        <f t="shared" si="2"/>
        <v>0</v>
      </c>
      <c r="L12" s="100">
        <f t="shared" si="3"/>
        <v>0</v>
      </c>
      <c r="M12" s="100">
        <v>0</v>
      </c>
      <c r="N12" s="99">
        <f t="shared" si="4"/>
        <v>0</v>
      </c>
      <c r="O12" s="100">
        <f t="shared" si="5"/>
        <v>0</v>
      </c>
      <c r="P12" s="100">
        <v>0</v>
      </c>
      <c r="Q12" s="99">
        <f t="shared" si="6"/>
        <v>0</v>
      </c>
      <c r="R12" s="100">
        <f t="shared" si="7"/>
        <v>0</v>
      </c>
      <c r="S12" s="100">
        <v>0</v>
      </c>
      <c r="T12" s="100">
        <v>0</v>
      </c>
      <c r="U12" s="100">
        <v>0</v>
      </c>
      <c r="V12" s="100">
        <v>0</v>
      </c>
      <c r="W12" s="67">
        <f t="shared" si="1"/>
        <v>0</v>
      </c>
      <c r="X12" s="68">
        <f t="shared" si="1"/>
        <v>0</v>
      </c>
      <c r="Y12" s="68">
        <f t="shared" si="8"/>
        <v>0</v>
      </c>
      <c r="Z12" s="35" t="s">
        <v>66</v>
      </c>
      <c r="AA12" s="35"/>
    </row>
    <row r="13" spans="1:28" ht="25" x14ac:dyDescent="0.25">
      <c r="A13" s="112" t="s">
        <v>20</v>
      </c>
      <c r="B13" s="97">
        <v>0</v>
      </c>
      <c r="C13" s="98">
        <v>0</v>
      </c>
      <c r="D13" s="98">
        <v>0</v>
      </c>
      <c r="E13" s="99">
        <v>0</v>
      </c>
      <c r="F13" s="100">
        <v>0</v>
      </c>
      <c r="G13" s="100">
        <v>0</v>
      </c>
      <c r="H13" s="99">
        <v>0</v>
      </c>
      <c r="I13" s="100">
        <v>0</v>
      </c>
      <c r="J13" s="100">
        <v>0</v>
      </c>
      <c r="K13" s="99">
        <f t="shared" si="2"/>
        <v>0</v>
      </c>
      <c r="L13" s="100">
        <f t="shared" si="3"/>
        <v>0</v>
      </c>
      <c r="M13" s="100">
        <v>0</v>
      </c>
      <c r="N13" s="99">
        <f t="shared" si="4"/>
        <v>46200</v>
      </c>
      <c r="O13" s="100">
        <f t="shared" si="5"/>
        <v>63800</v>
      </c>
      <c r="P13" s="100">
        <v>110000</v>
      </c>
      <c r="Q13" s="99">
        <f t="shared" si="6"/>
        <v>0</v>
      </c>
      <c r="R13" s="100">
        <f t="shared" si="7"/>
        <v>0</v>
      </c>
      <c r="S13" s="100">
        <v>0</v>
      </c>
      <c r="T13" s="100">
        <v>0</v>
      </c>
      <c r="U13" s="100">
        <v>0</v>
      </c>
      <c r="V13" s="100">
        <v>0</v>
      </c>
      <c r="W13" s="67">
        <f t="shared" si="1"/>
        <v>46200</v>
      </c>
      <c r="X13" s="68">
        <f t="shared" si="1"/>
        <v>63800</v>
      </c>
      <c r="Y13" s="68">
        <f t="shared" si="8"/>
        <v>110000</v>
      </c>
      <c r="Z13" s="35" t="s">
        <v>78</v>
      </c>
      <c r="AA13" s="35"/>
    </row>
    <row r="14" spans="1:28" ht="78.5" hidden="1" customHeight="1" x14ac:dyDescent="0.25">
      <c r="A14" s="103" t="s">
        <v>23</v>
      </c>
      <c r="B14" s="97">
        <v>0</v>
      </c>
      <c r="C14" s="98">
        <v>0</v>
      </c>
      <c r="D14" s="98">
        <v>0</v>
      </c>
      <c r="E14" s="99">
        <v>0</v>
      </c>
      <c r="F14" s="100">
        <v>0</v>
      </c>
      <c r="G14" s="100">
        <v>0</v>
      </c>
      <c r="H14" s="99">
        <v>0</v>
      </c>
      <c r="I14" s="100">
        <v>0</v>
      </c>
      <c r="J14" s="100">
        <v>0</v>
      </c>
      <c r="K14" s="99">
        <f t="shared" si="2"/>
        <v>0</v>
      </c>
      <c r="L14" s="100">
        <f t="shared" si="3"/>
        <v>0</v>
      </c>
      <c r="M14" s="100">
        <v>0</v>
      </c>
      <c r="N14" s="99">
        <f t="shared" si="4"/>
        <v>0</v>
      </c>
      <c r="O14" s="100">
        <f t="shared" si="5"/>
        <v>0</v>
      </c>
      <c r="P14" s="100">
        <v>0</v>
      </c>
      <c r="Q14" s="99">
        <f t="shared" si="6"/>
        <v>0</v>
      </c>
      <c r="R14" s="100">
        <f t="shared" si="7"/>
        <v>0</v>
      </c>
      <c r="S14" s="100">
        <v>0</v>
      </c>
      <c r="T14" s="100">
        <v>0</v>
      </c>
      <c r="U14" s="100">
        <v>0</v>
      </c>
      <c r="V14" s="100">
        <v>0</v>
      </c>
      <c r="W14" s="67">
        <f t="shared" si="1"/>
        <v>0</v>
      </c>
      <c r="X14" s="68">
        <f t="shared" si="1"/>
        <v>0</v>
      </c>
      <c r="Y14" s="68">
        <f t="shared" si="8"/>
        <v>0</v>
      </c>
      <c r="Z14" s="35" t="s">
        <v>31</v>
      </c>
      <c r="AA14" s="35"/>
    </row>
    <row r="15" spans="1:28" ht="157.5" customHeight="1" x14ac:dyDescent="0.25">
      <c r="A15" s="112" t="s">
        <v>24</v>
      </c>
      <c r="B15" s="97">
        <f>0.42*D15</f>
        <v>0</v>
      </c>
      <c r="C15" s="98">
        <f>0.58*D15</f>
        <v>0</v>
      </c>
      <c r="D15" s="98">
        <f>0</f>
        <v>0</v>
      </c>
      <c r="E15" s="99">
        <f>ROUND(0.42*G15,2)</f>
        <v>436.15</v>
      </c>
      <c r="F15" s="100">
        <f>ROUND(0.58*G15,2)</f>
        <v>602.29999999999995</v>
      </c>
      <c r="G15" s="101">
        <f>2000-961.55</f>
        <v>1038.45</v>
      </c>
      <c r="H15" s="99">
        <f>ROUND(0.42*J15,2)</f>
        <v>7539.84</v>
      </c>
      <c r="I15" s="100">
        <f>ROUND(0.58*J15,2)</f>
        <v>10412.16</v>
      </c>
      <c r="J15" s="104">
        <f>17952</f>
        <v>17952</v>
      </c>
      <c r="K15" s="99">
        <f t="shared" si="2"/>
        <v>8380.07</v>
      </c>
      <c r="L15" s="100">
        <f t="shared" si="3"/>
        <v>11572.48</v>
      </c>
      <c r="M15" s="100">
        <f>18991+961.55</f>
        <v>19952.55</v>
      </c>
      <c r="N15" s="99">
        <f t="shared" si="4"/>
        <v>20403.18</v>
      </c>
      <c r="O15" s="100">
        <f t="shared" si="5"/>
        <v>28175.82</v>
      </c>
      <c r="P15" s="100">
        <v>48579</v>
      </c>
      <c r="Q15" s="99">
        <f t="shared" si="6"/>
        <v>13780.199999999999</v>
      </c>
      <c r="R15" s="100">
        <f t="shared" si="7"/>
        <v>19029.8</v>
      </c>
      <c r="S15" s="100">
        <f>32810</f>
        <v>32810</v>
      </c>
      <c r="T15" s="100">
        <v>0</v>
      </c>
      <c r="U15" s="100">
        <v>0</v>
      </c>
      <c r="V15" s="100">
        <v>0</v>
      </c>
      <c r="W15" s="67">
        <f t="shared" si="1"/>
        <v>50539.439999999995</v>
      </c>
      <c r="X15" s="68">
        <f t="shared" si="1"/>
        <v>69792.56</v>
      </c>
      <c r="Y15" s="68">
        <f t="shared" si="8"/>
        <v>120332</v>
      </c>
      <c r="Z15" s="35" t="s">
        <v>95</v>
      </c>
      <c r="AA15" s="35" t="s">
        <v>96</v>
      </c>
    </row>
    <row r="16" spans="1:28" ht="62" customHeight="1" x14ac:dyDescent="0.25">
      <c r="A16" s="112" t="s">
        <v>16</v>
      </c>
      <c r="B16" s="97">
        <v>0</v>
      </c>
      <c r="C16" s="98">
        <v>0</v>
      </c>
      <c r="D16" s="98">
        <v>0</v>
      </c>
      <c r="E16" s="99">
        <f>0.42*G16</f>
        <v>0</v>
      </c>
      <c r="F16" s="100">
        <f>0.58*G16</f>
        <v>0</v>
      </c>
      <c r="G16" s="100">
        <v>0</v>
      </c>
      <c r="H16" s="99">
        <f>ROUND(0.42*J16,2)</f>
        <v>0</v>
      </c>
      <c r="I16" s="100">
        <f>ROUND(0.58*J16,2)</f>
        <v>0</v>
      </c>
      <c r="J16" s="101">
        <f>4820-4820</f>
        <v>0</v>
      </c>
      <c r="K16" s="99">
        <f t="shared" si="2"/>
        <v>0</v>
      </c>
      <c r="L16" s="100">
        <f t="shared" si="3"/>
        <v>0</v>
      </c>
      <c r="M16" s="100">
        <f>4990-4990</f>
        <v>0</v>
      </c>
      <c r="N16" s="99">
        <f t="shared" si="4"/>
        <v>2169.3000000000002</v>
      </c>
      <c r="O16" s="100">
        <f t="shared" si="5"/>
        <v>2995.7</v>
      </c>
      <c r="P16" s="100">
        <v>5165</v>
      </c>
      <c r="Q16" s="99">
        <f t="shared" si="6"/>
        <v>0</v>
      </c>
      <c r="R16" s="100">
        <f t="shared" si="7"/>
        <v>0</v>
      </c>
      <c r="S16" s="100">
        <v>0</v>
      </c>
      <c r="T16" s="100">
        <v>0</v>
      </c>
      <c r="U16" s="100">
        <v>0</v>
      </c>
      <c r="V16" s="100">
        <v>0</v>
      </c>
      <c r="W16" s="67">
        <f t="shared" si="1"/>
        <v>2169.3000000000002</v>
      </c>
      <c r="X16" s="68">
        <f t="shared" si="1"/>
        <v>2995.7</v>
      </c>
      <c r="Y16" s="68">
        <f t="shared" si="8"/>
        <v>5165</v>
      </c>
      <c r="Z16" s="35" t="s">
        <v>64</v>
      </c>
      <c r="AA16" s="35" t="s">
        <v>100</v>
      </c>
    </row>
    <row r="17" spans="1:28" ht="75" hidden="1" x14ac:dyDescent="0.25">
      <c r="A17" s="113" t="s">
        <v>25</v>
      </c>
      <c r="B17" s="97">
        <v>0</v>
      </c>
      <c r="C17" s="98">
        <v>0</v>
      </c>
      <c r="D17" s="98">
        <v>0</v>
      </c>
      <c r="E17" s="99">
        <v>0</v>
      </c>
      <c r="F17" s="100">
        <v>0</v>
      </c>
      <c r="G17" s="100">
        <v>0</v>
      </c>
      <c r="H17" s="99">
        <v>0</v>
      </c>
      <c r="I17" s="100">
        <v>0</v>
      </c>
      <c r="J17" s="100">
        <v>0</v>
      </c>
      <c r="K17" s="99">
        <f t="shared" si="2"/>
        <v>0</v>
      </c>
      <c r="L17" s="100">
        <f t="shared" si="3"/>
        <v>0</v>
      </c>
      <c r="M17" s="100">
        <v>0</v>
      </c>
      <c r="N17" s="99">
        <f t="shared" si="4"/>
        <v>0</v>
      </c>
      <c r="O17" s="100">
        <f t="shared" si="5"/>
        <v>0</v>
      </c>
      <c r="P17" s="100">
        <v>0</v>
      </c>
      <c r="Q17" s="99">
        <f t="shared" si="6"/>
        <v>0</v>
      </c>
      <c r="R17" s="100">
        <f t="shared" si="7"/>
        <v>0</v>
      </c>
      <c r="S17" s="100">
        <v>0</v>
      </c>
      <c r="T17" s="100">
        <v>0</v>
      </c>
      <c r="U17" s="100">
        <v>0</v>
      </c>
      <c r="V17" s="100">
        <v>0</v>
      </c>
      <c r="W17" s="67">
        <f t="shared" si="1"/>
        <v>0</v>
      </c>
      <c r="X17" s="68">
        <f t="shared" si="1"/>
        <v>0</v>
      </c>
      <c r="Y17" s="68">
        <f t="shared" si="8"/>
        <v>0</v>
      </c>
      <c r="Z17" s="35" t="s">
        <v>32</v>
      </c>
      <c r="AA17" s="35"/>
    </row>
    <row r="18" spans="1:28" ht="203" customHeight="1" x14ac:dyDescent="0.25">
      <c r="A18" s="112" t="s">
        <v>17</v>
      </c>
      <c r="B18" s="97">
        <f>ROUND(0.42*D18,2)</f>
        <v>14519.73</v>
      </c>
      <c r="C18" s="98">
        <f>ROUND(0.58*D18,2)</f>
        <v>20051.060000000001</v>
      </c>
      <c r="D18" s="105">
        <f>40000-5429.21</f>
        <v>34570.79</v>
      </c>
      <c r="E18" s="99">
        <f>ROUND(0.42*G18,2)</f>
        <v>19547.22</v>
      </c>
      <c r="F18" s="100">
        <f>ROUND(0.58*G18,2)</f>
        <v>26993.79</v>
      </c>
      <c r="G18" s="101">
        <f>56176-9634.99</f>
        <v>46541.01</v>
      </c>
      <c r="H18" s="99">
        <f>ROUND(0.42*J18,2)</f>
        <v>22680.84</v>
      </c>
      <c r="I18" s="100">
        <f>ROUND(0.58*J18,2)</f>
        <v>31321.16</v>
      </c>
      <c r="J18" s="100">
        <v>54002</v>
      </c>
      <c r="K18" s="99">
        <f t="shared" si="2"/>
        <v>25982.13</v>
      </c>
      <c r="L18" s="100">
        <f>ROUND(0.58*M18,2)</f>
        <v>35880.080000000002</v>
      </c>
      <c r="M18" s="100">
        <f>56433+5429.21</f>
        <v>61862.21</v>
      </c>
      <c r="N18" s="99">
        <f t="shared" si="4"/>
        <v>24768.66</v>
      </c>
      <c r="O18" s="100">
        <f t="shared" si="5"/>
        <v>34204.339999999997</v>
      </c>
      <c r="P18" s="100">
        <v>58973</v>
      </c>
      <c r="Q18" s="99">
        <f t="shared" si="6"/>
        <v>14090.995799999999</v>
      </c>
      <c r="R18" s="100">
        <f t="shared" si="7"/>
        <v>19458.990000000002</v>
      </c>
      <c r="S18" s="101">
        <f>14105+9634.99+4820+4990</f>
        <v>33549.99</v>
      </c>
      <c r="T18" s="100">
        <v>0</v>
      </c>
      <c r="U18" s="100">
        <v>0</v>
      </c>
      <c r="V18" s="100">
        <v>0</v>
      </c>
      <c r="W18" s="67">
        <f t="shared" si="1"/>
        <v>121589.57580000001</v>
      </c>
      <c r="X18" s="68">
        <f t="shared" si="1"/>
        <v>167909.41999999998</v>
      </c>
      <c r="Y18" s="68">
        <f t="shared" si="8"/>
        <v>289498.99579999998</v>
      </c>
      <c r="Z18" s="35" t="s">
        <v>108</v>
      </c>
      <c r="AA18" s="35" t="s">
        <v>101</v>
      </c>
      <c r="AB18" s="4"/>
    </row>
    <row r="19" spans="1:28" x14ac:dyDescent="0.25">
      <c r="A19" s="106" t="s">
        <v>11</v>
      </c>
      <c r="B19" s="97">
        <f>SUM(B20)</f>
        <v>0</v>
      </c>
      <c r="C19" s="97">
        <f t="shared" ref="C19:V19" si="9">SUM(C20)</f>
        <v>0</v>
      </c>
      <c r="D19" s="97">
        <f t="shared" si="9"/>
        <v>0</v>
      </c>
      <c r="E19" s="99">
        <f t="shared" si="9"/>
        <v>2817.03</v>
      </c>
      <c r="F19" s="99">
        <f t="shared" si="9"/>
        <v>3890.19</v>
      </c>
      <c r="G19" s="99">
        <f t="shared" si="9"/>
        <v>6707.22</v>
      </c>
      <c r="H19" s="99">
        <f t="shared" si="9"/>
        <v>7711.2</v>
      </c>
      <c r="I19" s="99">
        <f t="shared" si="9"/>
        <v>10648.8</v>
      </c>
      <c r="J19" s="99">
        <f t="shared" si="9"/>
        <v>18360</v>
      </c>
      <c r="K19" s="99">
        <f t="shared" si="9"/>
        <v>8096.76</v>
      </c>
      <c r="L19" s="99">
        <f t="shared" si="9"/>
        <v>11181.24</v>
      </c>
      <c r="M19" s="99">
        <f t="shared" si="9"/>
        <v>19278</v>
      </c>
      <c r="N19" s="99">
        <f t="shared" si="9"/>
        <v>8501.64</v>
      </c>
      <c r="O19" s="99">
        <f t="shared" si="9"/>
        <v>11740.36</v>
      </c>
      <c r="P19" s="99">
        <f t="shared" si="9"/>
        <v>20242</v>
      </c>
      <c r="Q19" s="99">
        <f t="shared" si="9"/>
        <v>8025.2675999999992</v>
      </c>
      <c r="R19" s="99">
        <f t="shared" si="9"/>
        <v>11082.51</v>
      </c>
      <c r="S19" s="99">
        <f t="shared" si="9"/>
        <v>19107.78</v>
      </c>
      <c r="T19" s="99">
        <f t="shared" si="9"/>
        <v>0</v>
      </c>
      <c r="U19" s="99">
        <f t="shared" si="9"/>
        <v>0</v>
      </c>
      <c r="V19" s="99">
        <f t="shared" si="9"/>
        <v>0</v>
      </c>
      <c r="W19" s="67">
        <f t="shared" si="1"/>
        <v>35151.897599999997</v>
      </c>
      <c r="X19" s="67">
        <f t="shared" si="1"/>
        <v>48543.1</v>
      </c>
      <c r="Y19" s="67">
        <f t="shared" si="8"/>
        <v>83694.997600000002</v>
      </c>
      <c r="Z19" s="35"/>
      <c r="AA19" s="35"/>
    </row>
    <row r="20" spans="1:28" ht="92.5" customHeight="1" x14ac:dyDescent="0.25">
      <c r="A20" s="112" t="s">
        <v>27</v>
      </c>
      <c r="B20" s="97">
        <f>0.42*D20</f>
        <v>0</v>
      </c>
      <c r="C20" s="98">
        <f>0.58*D20</f>
        <v>0</v>
      </c>
      <c r="D20" s="98">
        <f>0</f>
        <v>0</v>
      </c>
      <c r="E20" s="99">
        <f>ROUND(0.42*G20,2)</f>
        <v>2817.03</v>
      </c>
      <c r="F20" s="100">
        <f>ROUND(0.58*G20,2)</f>
        <v>3890.19</v>
      </c>
      <c r="G20" s="101">
        <f>13000-6292.78</f>
        <v>6707.22</v>
      </c>
      <c r="H20" s="99">
        <f>ROUND(0.42*J20,2)</f>
        <v>7711.2</v>
      </c>
      <c r="I20" s="100">
        <f>ROUND(0.58*J20,2)</f>
        <v>10648.8</v>
      </c>
      <c r="J20" s="100">
        <v>18360</v>
      </c>
      <c r="K20" s="99">
        <f>ROUND(0.42*M20,2)</f>
        <v>8096.76</v>
      </c>
      <c r="L20" s="100">
        <f>ROUND(0.58*M20,2)</f>
        <v>11181.24</v>
      </c>
      <c r="M20" s="100">
        <v>19278</v>
      </c>
      <c r="N20" s="99">
        <f>ROUND(0.42*P20,2)</f>
        <v>8501.64</v>
      </c>
      <c r="O20" s="100">
        <f>ROUND(0.58*P20,2)</f>
        <v>11740.36</v>
      </c>
      <c r="P20" s="100">
        <v>20242</v>
      </c>
      <c r="Q20" s="99">
        <f>0.42*S20</f>
        <v>8025.2675999999992</v>
      </c>
      <c r="R20" s="100">
        <f>ROUND(0.58*S20,2)</f>
        <v>11082.51</v>
      </c>
      <c r="S20" s="101">
        <f>12815+6292.78</f>
        <v>19107.78</v>
      </c>
      <c r="T20" s="100">
        <v>0</v>
      </c>
      <c r="U20" s="100">
        <v>0</v>
      </c>
      <c r="V20" s="100">
        <v>0</v>
      </c>
      <c r="W20" s="67">
        <f>B20+E20+H20+K20+N20+Q20+T20</f>
        <v>35151.897599999997</v>
      </c>
      <c r="X20" s="67">
        <f>C20+F20+I20+L20+O20+R20+U20</f>
        <v>48543.1</v>
      </c>
      <c r="Y20" s="67">
        <f>W20+X20</f>
        <v>83694.997600000002</v>
      </c>
      <c r="Z20" s="35" t="s">
        <v>114</v>
      </c>
      <c r="AA20" s="35" t="s">
        <v>93</v>
      </c>
    </row>
    <row r="21" spans="1:28" x14ac:dyDescent="0.25">
      <c r="A21" s="106" t="s">
        <v>3</v>
      </c>
      <c r="B21" s="97">
        <f>SUM(B22:B23)</f>
        <v>1581.91</v>
      </c>
      <c r="C21" s="97">
        <f t="shared" ref="C21:L21" si="10">SUM(C22:C23)</f>
        <v>2184.54</v>
      </c>
      <c r="D21" s="97">
        <f t="shared" si="10"/>
        <v>3766.45</v>
      </c>
      <c r="E21" s="99">
        <f t="shared" si="10"/>
        <v>4601.8599999999997</v>
      </c>
      <c r="F21" s="99">
        <f t="shared" si="10"/>
        <v>6354.94</v>
      </c>
      <c r="G21" s="99">
        <f t="shared" si="10"/>
        <v>10956.800000000001</v>
      </c>
      <c r="H21" s="99">
        <f t="shared" si="10"/>
        <v>18509.91</v>
      </c>
      <c r="I21" s="99">
        <f t="shared" si="10"/>
        <v>25561.31</v>
      </c>
      <c r="J21" s="99">
        <f t="shared" si="10"/>
        <v>44071.22</v>
      </c>
      <c r="K21" s="99">
        <f t="shared" si="10"/>
        <v>17965.919999999998</v>
      </c>
      <c r="L21" s="99">
        <f t="shared" si="10"/>
        <v>24810.080000000002</v>
      </c>
      <c r="M21" s="99">
        <f>SUM(M22:M23)</f>
        <v>42776</v>
      </c>
      <c r="N21" s="99">
        <f t="shared" ref="N21:O21" si="11">SUM(N22:N23)</f>
        <v>17981.88</v>
      </c>
      <c r="O21" s="99">
        <f t="shared" si="11"/>
        <v>24832</v>
      </c>
      <c r="P21" s="99">
        <f>SUM(P22:P23)</f>
        <v>42814</v>
      </c>
      <c r="Q21" s="99">
        <f t="shared" ref="Q21:V21" si="12">SUM(Q22:Q23)</f>
        <v>13030.722599999999</v>
      </c>
      <c r="R21" s="99">
        <f t="shared" si="12"/>
        <v>17994.810000000001</v>
      </c>
      <c r="S21" s="99">
        <f t="shared" si="12"/>
        <v>31025.53</v>
      </c>
      <c r="T21" s="99">
        <f t="shared" si="12"/>
        <v>0</v>
      </c>
      <c r="U21" s="99">
        <f t="shared" si="12"/>
        <v>0</v>
      </c>
      <c r="V21" s="99">
        <f t="shared" si="12"/>
        <v>0</v>
      </c>
      <c r="W21" s="67">
        <f t="shared" si="1"/>
        <v>73672.20259999999</v>
      </c>
      <c r="X21" s="67">
        <f t="shared" si="1"/>
        <v>101737.68</v>
      </c>
      <c r="Y21" s="67">
        <f t="shared" si="8"/>
        <v>175409.88259999998</v>
      </c>
      <c r="Z21" s="35"/>
      <c r="AA21" s="35"/>
    </row>
    <row r="22" spans="1:28" ht="79.5" customHeight="1" x14ac:dyDescent="0.25">
      <c r="A22" s="112" t="s">
        <v>45</v>
      </c>
      <c r="B22" s="97">
        <f>0.42*D22</f>
        <v>0</v>
      </c>
      <c r="C22" s="97">
        <f>0.58*D22</f>
        <v>0</v>
      </c>
      <c r="D22" s="97">
        <v>0</v>
      </c>
      <c r="E22" s="99">
        <f>ROUND(0.42*G22,2)</f>
        <v>111.21</v>
      </c>
      <c r="F22" s="100">
        <f>ROUND(0.58*G22,2)</f>
        <v>153.57</v>
      </c>
      <c r="G22" s="101">
        <f>2000-1735.22</f>
        <v>264.77999999999997</v>
      </c>
      <c r="H22" s="99">
        <f>ROUND(0.42*J22,2)</f>
        <v>840</v>
      </c>
      <c r="I22" s="100">
        <f>ROUND(0.58*J22,2)</f>
        <v>1160</v>
      </c>
      <c r="J22" s="100">
        <f>2000</f>
        <v>2000</v>
      </c>
      <c r="K22" s="99">
        <f>ROUND(0.42*M22,2)</f>
        <v>840</v>
      </c>
      <c r="L22" s="100">
        <f t="shared" ref="L22:L24" si="13">ROUND(0.58*M22,2)</f>
        <v>1160</v>
      </c>
      <c r="M22" s="100">
        <f>1735.22+264.78</f>
        <v>2000</v>
      </c>
      <c r="N22" s="99">
        <f>ROUND(0.42*P22,2)</f>
        <v>0</v>
      </c>
      <c r="O22" s="100">
        <f>0.58*P22</f>
        <v>0</v>
      </c>
      <c r="P22" s="100">
        <v>0</v>
      </c>
      <c r="Q22" s="99">
        <f>0.42*S22</f>
        <v>0</v>
      </c>
      <c r="R22" s="100">
        <f t="shared" ref="R22:R24" si="14">ROUND(0.58*S22,2)</f>
        <v>0</v>
      </c>
      <c r="S22" s="100">
        <v>0</v>
      </c>
      <c r="T22" s="99">
        <f>0.42*V22</f>
        <v>0</v>
      </c>
      <c r="U22" s="100">
        <f>0.58*V22</f>
        <v>0</v>
      </c>
      <c r="V22" s="100">
        <v>0</v>
      </c>
      <c r="W22" s="67">
        <f t="shared" si="1"/>
        <v>1791.21</v>
      </c>
      <c r="X22" s="67">
        <f t="shared" si="1"/>
        <v>2473.5699999999997</v>
      </c>
      <c r="Y22" s="67">
        <f t="shared" si="8"/>
        <v>4264.78</v>
      </c>
      <c r="Z22" s="40" t="s">
        <v>69</v>
      </c>
      <c r="AA22" s="35" t="s">
        <v>98</v>
      </c>
    </row>
    <row r="23" spans="1:28" ht="104" customHeight="1" x14ac:dyDescent="0.25">
      <c r="A23" s="112" t="s">
        <v>28</v>
      </c>
      <c r="B23" s="97">
        <f>ROUND(0.42*D23,2)</f>
        <v>1581.91</v>
      </c>
      <c r="C23" s="98">
        <f>ROUND(0.58*D23,2)</f>
        <v>2184.54</v>
      </c>
      <c r="D23" s="105">
        <f>4500-733.55</f>
        <v>3766.45</v>
      </c>
      <c r="E23" s="99">
        <f>ROUND(0.42*G23,2)</f>
        <v>4490.6499999999996</v>
      </c>
      <c r="F23" s="100">
        <f>ROUND(0.58*G23,2)</f>
        <v>6201.37</v>
      </c>
      <c r="G23" s="101">
        <f>40984-30291.98</f>
        <v>10692.02</v>
      </c>
      <c r="H23" s="99">
        <f>ROUND(0.42*J23,2)</f>
        <v>17669.91</v>
      </c>
      <c r="I23" s="100">
        <f>ROUND(0.58*J23,2)</f>
        <v>24401.31</v>
      </c>
      <c r="J23" s="101">
        <f>42336-264.78</f>
        <v>42071.22</v>
      </c>
      <c r="K23" s="99">
        <f>ROUND(0.42*M23,2)</f>
        <v>17125.919999999998</v>
      </c>
      <c r="L23" s="100">
        <f t="shared" si="13"/>
        <v>23650.080000000002</v>
      </c>
      <c r="M23" s="100">
        <v>40776</v>
      </c>
      <c r="N23" s="99">
        <f t="shared" ref="N23:N24" si="15">ROUND(0.42*P23,2)</f>
        <v>17981.88</v>
      </c>
      <c r="O23" s="100">
        <v>24832</v>
      </c>
      <c r="P23" s="100">
        <v>42814</v>
      </c>
      <c r="Q23" s="99">
        <f t="shared" ref="Q23:Q24" si="16">0.42*S23</f>
        <v>13030.722599999999</v>
      </c>
      <c r="R23" s="100">
        <f t="shared" si="14"/>
        <v>17994.810000000001</v>
      </c>
      <c r="S23" s="101">
        <f>733.55+30291.98</f>
        <v>31025.53</v>
      </c>
      <c r="T23" s="100">
        <v>0</v>
      </c>
      <c r="U23" s="100">
        <v>0</v>
      </c>
      <c r="V23" s="100">
        <v>0</v>
      </c>
      <c r="W23" s="67">
        <f>B23+E23+H23+K23+N23+Q23+T23</f>
        <v>71880.992599999998</v>
      </c>
      <c r="X23" s="68">
        <f>C23+F23+I23+L23+O23+R23+U23</f>
        <v>99264.11</v>
      </c>
      <c r="Y23" s="68">
        <f>W23+X23</f>
        <v>171145.10259999998</v>
      </c>
      <c r="Z23" s="35" t="s">
        <v>109</v>
      </c>
      <c r="AA23" s="75" t="s">
        <v>97</v>
      </c>
    </row>
    <row r="24" spans="1:28" ht="37.5" x14ac:dyDescent="0.25">
      <c r="A24" s="106" t="s">
        <v>43</v>
      </c>
      <c r="B24" s="97">
        <f>ROUND(0.42*D24,2)</f>
        <v>214.96</v>
      </c>
      <c r="C24" s="97">
        <f>ROUND(0.58*D24,2)</f>
        <v>296.86</v>
      </c>
      <c r="D24" s="107">
        <f>1000-488.18</f>
        <v>511.82</v>
      </c>
      <c r="E24" s="99">
        <f>ROUND(0.42*G24,2)</f>
        <v>3585.03</v>
      </c>
      <c r="F24" s="99">
        <f>ROUND(0.58*G24,2)</f>
        <v>4950.75</v>
      </c>
      <c r="G24" s="108">
        <f>13000-4464.22</f>
        <v>8535.7799999999988</v>
      </c>
      <c r="H24" s="99">
        <f>ROUND(0.42*J24,2)</f>
        <v>2100</v>
      </c>
      <c r="I24" s="100">
        <f>ROUND(0.58*J24,2)</f>
        <v>2900</v>
      </c>
      <c r="J24" s="108">
        <f>23000-18000</f>
        <v>5000</v>
      </c>
      <c r="K24" s="99">
        <f>ROUND(0.42*M24,2)</f>
        <v>5460</v>
      </c>
      <c r="L24" s="100">
        <f t="shared" si="13"/>
        <v>7540</v>
      </c>
      <c r="M24" s="99">
        <f>5460*100/42</f>
        <v>13000</v>
      </c>
      <c r="N24" s="99">
        <f t="shared" si="15"/>
        <v>5460</v>
      </c>
      <c r="O24" s="99">
        <v>7540</v>
      </c>
      <c r="P24" s="99">
        <f>5460*100/42</f>
        <v>13000</v>
      </c>
      <c r="Q24" s="99">
        <f t="shared" si="16"/>
        <v>10480.008</v>
      </c>
      <c r="R24" s="100">
        <f t="shared" si="14"/>
        <v>14472.39</v>
      </c>
      <c r="S24" s="108">
        <f>2000+488.18+4464.22+18000</f>
        <v>24952.400000000001</v>
      </c>
      <c r="T24" s="99">
        <v>0</v>
      </c>
      <c r="U24" s="99">
        <v>0</v>
      </c>
      <c r="V24" s="99">
        <v>0</v>
      </c>
      <c r="W24" s="67">
        <f>B24+E24+H24+K24+N24+Q24+T24</f>
        <v>27299.998</v>
      </c>
      <c r="X24" s="67">
        <f t="shared" ref="X24:X25" si="17">C24+F24+I24+L24+O24+R24+U24</f>
        <v>37700</v>
      </c>
      <c r="Y24" s="67">
        <f t="shared" ref="Y24:Y25" si="18">W24+X24</f>
        <v>64999.998</v>
      </c>
      <c r="Z24" s="75" t="s">
        <v>44</v>
      </c>
      <c r="AA24" s="35" t="s">
        <v>99</v>
      </c>
    </row>
    <row r="25" spans="1:28" x14ac:dyDescent="0.25">
      <c r="A25" s="109" t="s">
        <v>0</v>
      </c>
      <c r="B25" s="110">
        <f t="shared" ref="B25:S25" si="19">ROUND(B5+B19+B21+B24,2)</f>
        <v>18863.349999999999</v>
      </c>
      <c r="C25" s="110">
        <f t="shared" si="19"/>
        <v>26049.41</v>
      </c>
      <c r="D25" s="110">
        <f t="shared" si="19"/>
        <v>44912.76</v>
      </c>
      <c r="E25" s="111">
        <f t="shared" si="19"/>
        <v>31554.27</v>
      </c>
      <c r="F25" s="111">
        <f t="shared" si="19"/>
        <v>43574.95</v>
      </c>
      <c r="G25" s="111">
        <f t="shared" si="19"/>
        <v>75129.22</v>
      </c>
      <c r="H25" s="111">
        <f t="shared" si="19"/>
        <v>64308.39</v>
      </c>
      <c r="I25" s="111">
        <f t="shared" si="19"/>
        <v>88806.83</v>
      </c>
      <c r="J25" s="111">
        <f t="shared" si="19"/>
        <v>153115.22</v>
      </c>
      <c r="K25" s="111">
        <f t="shared" si="19"/>
        <v>81918.94</v>
      </c>
      <c r="L25" s="111">
        <f t="shared" si="19"/>
        <v>113126.16</v>
      </c>
      <c r="M25" s="111">
        <f t="shared" si="19"/>
        <v>195045.1</v>
      </c>
      <c r="N25" s="111">
        <f t="shared" si="19"/>
        <v>132687.66</v>
      </c>
      <c r="O25" s="111">
        <f t="shared" si="19"/>
        <v>183235.22</v>
      </c>
      <c r="P25" s="111">
        <f t="shared" si="19"/>
        <v>315923</v>
      </c>
      <c r="Q25" s="111">
        <f t="shared" si="19"/>
        <v>60667.19</v>
      </c>
      <c r="R25" s="111">
        <f t="shared" si="19"/>
        <v>83778.5</v>
      </c>
      <c r="S25" s="111">
        <f t="shared" si="19"/>
        <v>144445.70000000001</v>
      </c>
      <c r="T25" s="111">
        <f t="shared" ref="T25:V25" si="20">T5+T19+T21+T24</f>
        <v>0</v>
      </c>
      <c r="U25" s="111">
        <f t="shared" si="20"/>
        <v>0</v>
      </c>
      <c r="V25" s="111">
        <f t="shared" si="20"/>
        <v>0</v>
      </c>
      <c r="W25" s="111">
        <f>B25+E25+H25+K25+N25+Q25+T25</f>
        <v>389999.8</v>
      </c>
      <c r="X25" s="111">
        <f t="shared" si="17"/>
        <v>538571.06999999995</v>
      </c>
      <c r="Y25" s="111">
        <f t="shared" si="18"/>
        <v>928570.86999999988</v>
      </c>
      <c r="Z25" s="35"/>
      <c r="AA25" s="35"/>
    </row>
    <row r="27" spans="1:28" x14ac:dyDescent="0.3">
      <c r="D27" s="8"/>
      <c r="G27" s="8"/>
      <c r="J27" s="8"/>
      <c r="M27" s="76"/>
      <c r="S27" s="77">
        <f>3000+9634.99+4820+4990+6292.78+733.55+30291.98+488.18+4464.22+18000</f>
        <v>82715.7</v>
      </c>
      <c r="Y27" s="7"/>
    </row>
    <row r="28" spans="1:28" x14ac:dyDescent="0.3">
      <c r="D28" s="72"/>
      <c r="M28" s="71"/>
      <c r="Y28" s="71"/>
    </row>
    <row r="29" spans="1:28" x14ac:dyDescent="0.3">
      <c r="S29" s="71">
        <v>61730</v>
      </c>
      <c r="Y29" s="71"/>
    </row>
    <row r="30" spans="1:28" x14ac:dyDescent="0.3">
      <c r="C30" s="8"/>
      <c r="D30" s="72"/>
      <c r="F30" s="8"/>
      <c r="G30" s="71"/>
      <c r="J30" s="71"/>
      <c r="M30" s="71"/>
      <c r="S30" s="71">
        <f>S25</f>
        <v>144445.70000000001</v>
      </c>
    </row>
    <row r="31" spans="1:28" x14ac:dyDescent="0.3">
      <c r="M31" s="72"/>
      <c r="S31" s="72">
        <f>S30-S29</f>
        <v>82715.700000000012</v>
      </c>
    </row>
    <row r="33" spans="1:19" x14ac:dyDescent="0.3">
      <c r="B33" s="9"/>
      <c r="C33" s="7"/>
      <c r="D33" s="7"/>
      <c r="E33" s="9"/>
      <c r="F33" s="7"/>
      <c r="S33" s="71"/>
    </row>
    <row r="34" spans="1:19" x14ac:dyDescent="0.3">
      <c r="B34" s="9"/>
      <c r="C34" s="7"/>
      <c r="D34" s="7"/>
      <c r="E34" s="9"/>
      <c r="F34" s="7"/>
    </row>
    <row r="35" spans="1:19" x14ac:dyDescent="0.3">
      <c r="B35" s="9"/>
      <c r="C35" s="9"/>
      <c r="D35" s="9"/>
      <c r="E35" s="9"/>
      <c r="F35" s="9"/>
    </row>
    <row r="37" spans="1:19" x14ac:dyDescent="0.3">
      <c r="A37" s="13"/>
    </row>
  </sheetData>
  <mergeCells count="10">
    <mergeCell ref="A2:Y2"/>
    <mergeCell ref="A3:A4"/>
    <mergeCell ref="B3:D3"/>
    <mergeCell ref="E3:G3"/>
    <mergeCell ref="H3:J3"/>
    <mergeCell ref="K3:M3"/>
    <mergeCell ref="N3:P3"/>
    <mergeCell ref="Q3:S3"/>
    <mergeCell ref="T3:V3"/>
    <mergeCell ref="W3:Y3"/>
  </mergeCell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8C2F-BABC-4D03-AFF3-93F5352D2DB2}">
  <dimension ref="A2:Z36"/>
  <sheetViews>
    <sheetView zoomScaleNormal="100" workbookViewId="0">
      <pane xSplit="1" ySplit="4" topLeftCell="V5" activePane="bottomRight" state="frozen"/>
      <selection pane="topRight" activeCell="B1" sqref="B1"/>
      <selection pane="bottomLeft" activeCell="A5" sqref="A5"/>
      <selection pane="bottomRight" activeCell="A2" sqref="A2:Y2"/>
    </sheetView>
  </sheetViews>
  <sheetFormatPr defaultColWidth="9.1796875" defaultRowHeight="13" outlineLevelCol="1" x14ac:dyDescent="0.3"/>
  <cols>
    <col min="1" max="1" width="46" style="4" customWidth="1"/>
    <col min="2" max="2" width="12.81640625" style="8" customWidth="1" outlineLevel="1"/>
    <col min="3" max="4" width="12.81640625" style="1" customWidth="1" outlineLevel="1"/>
    <col min="5" max="5" width="12.81640625" style="8" customWidth="1" outlineLevel="1"/>
    <col min="6" max="7" width="12.81640625" style="1" customWidth="1" outlineLevel="1"/>
    <col min="8" max="8" width="12.81640625" style="8" customWidth="1" outlineLevel="1"/>
    <col min="9" max="10" width="12.81640625" style="1" customWidth="1" outlineLevel="1"/>
    <col min="11" max="11" width="12.81640625" style="8" customWidth="1" outlineLevel="1"/>
    <col min="12" max="13" width="12.81640625" style="1" customWidth="1" outlineLevel="1"/>
    <col min="14" max="14" width="12.81640625" style="8" customWidth="1" outlineLevel="1"/>
    <col min="15" max="16" width="12.81640625" style="1" customWidth="1" outlineLevel="1"/>
    <col min="17" max="17" width="12.81640625" style="8" customWidth="1" outlineLevel="1"/>
    <col min="18" max="22" width="12.81640625" style="1" customWidth="1" outlineLevel="1"/>
    <col min="23" max="23" width="12.81640625" style="8" customWidth="1"/>
    <col min="24" max="25" width="12.81640625" style="1" customWidth="1"/>
    <col min="26" max="26" width="73.1796875" style="1" customWidth="1"/>
    <col min="27" max="30" width="9.1796875" style="1"/>
    <col min="31" max="31" width="1.1796875" style="1" customWidth="1"/>
    <col min="32" max="32" width="3.26953125" style="1" customWidth="1"/>
    <col min="33" max="16384" width="9.1796875" style="1"/>
  </cols>
  <sheetData>
    <row r="2" spans="1:26" ht="14.5" x14ac:dyDescent="0.35">
      <c r="A2" s="78" t="s">
        <v>113</v>
      </c>
      <c r="B2" s="79"/>
      <c r="C2" s="79"/>
      <c r="D2" s="79"/>
      <c r="E2" s="79"/>
      <c r="F2" s="79"/>
      <c r="G2" s="79"/>
      <c r="H2" s="79"/>
      <c r="I2" s="79"/>
      <c r="J2" s="79"/>
      <c r="K2" s="79"/>
      <c r="L2" s="79"/>
      <c r="M2" s="79"/>
      <c r="N2" s="79"/>
      <c r="O2" s="79"/>
      <c r="P2" s="79"/>
      <c r="Q2" s="79"/>
      <c r="R2" s="79"/>
      <c r="S2" s="79"/>
      <c r="T2" s="79"/>
      <c r="U2" s="79"/>
      <c r="V2" s="79"/>
      <c r="W2" s="79"/>
      <c r="X2" s="79"/>
      <c r="Y2" s="79"/>
    </row>
    <row r="3" spans="1:26" x14ac:dyDescent="0.3">
      <c r="A3" s="80" t="s">
        <v>1</v>
      </c>
      <c r="B3" s="82">
        <v>2023</v>
      </c>
      <c r="C3" s="83"/>
      <c r="D3" s="84"/>
      <c r="E3" s="82">
        <v>2024</v>
      </c>
      <c r="F3" s="83"/>
      <c r="G3" s="84"/>
      <c r="H3" s="82">
        <v>2025</v>
      </c>
      <c r="I3" s="83"/>
      <c r="J3" s="84"/>
      <c r="K3" s="82">
        <v>2026</v>
      </c>
      <c r="L3" s="83"/>
      <c r="M3" s="84"/>
      <c r="N3" s="82">
        <v>2027</v>
      </c>
      <c r="O3" s="83"/>
      <c r="P3" s="84"/>
      <c r="Q3" s="82">
        <v>2028</v>
      </c>
      <c r="R3" s="83"/>
      <c r="S3" s="84"/>
      <c r="T3" s="82">
        <v>2029</v>
      </c>
      <c r="U3" s="83"/>
      <c r="V3" s="84"/>
      <c r="W3" s="82" t="s">
        <v>29</v>
      </c>
      <c r="X3" s="83"/>
      <c r="Y3" s="85"/>
      <c r="Z3" s="19"/>
    </row>
    <row r="4" spans="1:26" s="4" customFormat="1" ht="35.5" customHeight="1" x14ac:dyDescent="0.3">
      <c r="A4" s="81"/>
      <c r="B4" s="3" t="s">
        <v>7</v>
      </c>
      <c r="C4" s="3" t="s">
        <v>8</v>
      </c>
      <c r="D4" s="3" t="s">
        <v>4</v>
      </c>
      <c r="E4" s="3" t="s">
        <v>7</v>
      </c>
      <c r="F4" s="3" t="s">
        <v>8</v>
      </c>
      <c r="G4" s="3" t="s">
        <v>5</v>
      </c>
      <c r="H4" s="3" t="s">
        <v>7</v>
      </c>
      <c r="I4" s="3" t="s">
        <v>8</v>
      </c>
      <c r="J4" s="3" t="s">
        <v>6</v>
      </c>
      <c r="K4" s="3" t="s">
        <v>7</v>
      </c>
      <c r="L4" s="3" t="s">
        <v>8</v>
      </c>
      <c r="M4" s="3" t="s">
        <v>9</v>
      </c>
      <c r="N4" s="3" t="s">
        <v>7</v>
      </c>
      <c r="O4" s="3" t="s">
        <v>8</v>
      </c>
      <c r="P4" s="3" t="s">
        <v>10</v>
      </c>
      <c r="Q4" s="3" t="s">
        <v>7</v>
      </c>
      <c r="R4" s="3" t="s">
        <v>8</v>
      </c>
      <c r="S4" s="3" t="s">
        <v>12</v>
      </c>
      <c r="T4" s="3" t="s">
        <v>7</v>
      </c>
      <c r="U4" s="3" t="s">
        <v>8</v>
      </c>
      <c r="V4" s="3" t="s">
        <v>13</v>
      </c>
      <c r="W4" s="10" t="s">
        <v>7</v>
      </c>
      <c r="X4" s="10" t="s">
        <v>8</v>
      </c>
      <c r="Y4" s="3" t="s">
        <v>30</v>
      </c>
      <c r="Z4" s="21" t="s">
        <v>26</v>
      </c>
    </row>
    <row r="5" spans="1:26" ht="25.5" x14ac:dyDescent="0.3">
      <c r="A5" s="11" t="s">
        <v>2</v>
      </c>
      <c r="B5" s="2">
        <f>SUM(B6:B18)</f>
        <v>35196</v>
      </c>
      <c r="C5" s="2">
        <f>SUM(C6:C18)</f>
        <v>48603</v>
      </c>
      <c r="D5" s="2">
        <f>SUM(D6:D18)</f>
        <v>83799</v>
      </c>
      <c r="E5" s="2">
        <f t="shared" ref="E5:V5" si="0">SUM(E6:E18)</f>
        <v>37167</v>
      </c>
      <c r="F5" s="2">
        <f t="shared" si="0"/>
        <v>51325</v>
      </c>
      <c r="G5" s="2">
        <f t="shared" si="0"/>
        <v>88492</v>
      </c>
      <c r="H5" s="2">
        <f t="shared" si="0"/>
        <v>40099</v>
      </c>
      <c r="I5" s="2">
        <f t="shared" si="0"/>
        <v>55375</v>
      </c>
      <c r="J5" s="2">
        <f t="shared" si="0"/>
        <v>95474</v>
      </c>
      <c r="K5" s="2">
        <f t="shared" si="0"/>
        <v>40670</v>
      </c>
      <c r="L5" s="2">
        <f t="shared" si="0"/>
        <v>56164</v>
      </c>
      <c r="M5" s="2">
        <f t="shared" si="0"/>
        <v>96834</v>
      </c>
      <c r="N5" s="2">
        <f t="shared" si="0"/>
        <v>100744</v>
      </c>
      <c r="O5" s="2">
        <f t="shared" si="0"/>
        <v>139123</v>
      </c>
      <c r="P5" s="2">
        <f t="shared" si="0"/>
        <v>239867</v>
      </c>
      <c r="Q5" s="2">
        <f t="shared" si="0"/>
        <v>0</v>
      </c>
      <c r="R5" s="2">
        <f t="shared" si="0"/>
        <v>0</v>
      </c>
      <c r="S5" s="2">
        <f t="shared" si="0"/>
        <v>0</v>
      </c>
      <c r="T5" s="2">
        <f t="shared" si="0"/>
        <v>0</v>
      </c>
      <c r="U5" s="2">
        <f t="shared" si="0"/>
        <v>0</v>
      </c>
      <c r="V5" s="2">
        <f t="shared" si="0"/>
        <v>0</v>
      </c>
      <c r="W5" s="17">
        <f t="shared" ref="W5:X21" si="1">B5+E5+H5+K5+N5+Q5+T5</f>
        <v>253876</v>
      </c>
      <c r="X5" s="17">
        <f t="shared" si="1"/>
        <v>350590</v>
      </c>
      <c r="Y5" s="17">
        <f>W5+X5</f>
        <v>604466</v>
      </c>
      <c r="Z5" s="24" t="s">
        <v>39</v>
      </c>
    </row>
    <row r="6" spans="1:26" ht="132" customHeight="1" x14ac:dyDescent="0.3">
      <c r="A6" s="14" t="s">
        <v>14</v>
      </c>
      <c r="B6" s="2">
        <v>3780</v>
      </c>
      <c r="C6" s="5">
        <v>5220</v>
      </c>
      <c r="D6" s="5">
        <v>9000</v>
      </c>
      <c r="E6" s="2">
        <v>3654</v>
      </c>
      <c r="F6" s="5">
        <v>5046</v>
      </c>
      <c r="G6" s="5">
        <v>8700</v>
      </c>
      <c r="H6" s="2">
        <v>5027</v>
      </c>
      <c r="I6" s="5">
        <v>6943</v>
      </c>
      <c r="J6" s="5">
        <v>11970</v>
      </c>
      <c r="K6" s="2">
        <v>3969</v>
      </c>
      <c r="L6" s="5">
        <v>5481</v>
      </c>
      <c r="M6" s="5">
        <v>9450</v>
      </c>
      <c r="N6" s="2">
        <v>5439</v>
      </c>
      <c r="O6" s="5">
        <v>7511</v>
      </c>
      <c r="P6" s="5">
        <v>12950</v>
      </c>
      <c r="Q6" s="2">
        <v>0</v>
      </c>
      <c r="R6" s="5">
        <v>0</v>
      </c>
      <c r="S6" s="5">
        <v>0</v>
      </c>
      <c r="T6" s="5">
        <v>0</v>
      </c>
      <c r="U6" s="5">
        <v>0</v>
      </c>
      <c r="V6" s="5">
        <v>0</v>
      </c>
      <c r="W6" s="17">
        <f t="shared" si="1"/>
        <v>21869</v>
      </c>
      <c r="X6" s="18">
        <f t="shared" si="1"/>
        <v>30201</v>
      </c>
      <c r="Y6" s="18">
        <f>W6+X6</f>
        <v>52070</v>
      </c>
      <c r="Z6" s="20" t="s">
        <v>46</v>
      </c>
    </row>
    <row r="7" spans="1:26" ht="64" x14ac:dyDescent="0.3">
      <c r="A7" s="23" t="s">
        <v>36</v>
      </c>
      <c r="B7" s="2">
        <v>0</v>
      </c>
      <c r="C7" s="5">
        <v>0</v>
      </c>
      <c r="D7" s="5">
        <v>0</v>
      </c>
      <c r="E7" s="2">
        <v>0</v>
      </c>
      <c r="F7" s="5">
        <v>0</v>
      </c>
      <c r="G7" s="5">
        <v>0</v>
      </c>
      <c r="H7" s="2">
        <v>0</v>
      </c>
      <c r="I7" s="5">
        <v>0</v>
      </c>
      <c r="J7" s="5">
        <v>0</v>
      </c>
      <c r="K7" s="2">
        <v>0</v>
      </c>
      <c r="L7" s="5">
        <v>0</v>
      </c>
      <c r="M7" s="5">
        <v>0</v>
      </c>
      <c r="N7" s="2">
        <v>0</v>
      </c>
      <c r="O7" s="5">
        <v>0</v>
      </c>
      <c r="P7" s="5">
        <v>0</v>
      </c>
      <c r="Q7" s="2">
        <v>0</v>
      </c>
      <c r="R7" s="5">
        <v>0</v>
      </c>
      <c r="S7" s="5">
        <v>0</v>
      </c>
      <c r="T7" s="5">
        <v>0</v>
      </c>
      <c r="U7" s="5">
        <v>0</v>
      </c>
      <c r="V7" s="5">
        <v>0</v>
      </c>
      <c r="W7" s="17">
        <f t="shared" si="1"/>
        <v>0</v>
      </c>
      <c r="X7" s="18">
        <f t="shared" si="1"/>
        <v>0</v>
      </c>
      <c r="Y7" s="18">
        <f t="shared" ref="Y7:Y21" si="2">W7+X7</f>
        <v>0</v>
      </c>
      <c r="Z7" s="27" t="s">
        <v>40</v>
      </c>
    </row>
    <row r="8" spans="1:26" ht="75.5" x14ac:dyDescent="0.3">
      <c r="A8" s="22" t="s">
        <v>21</v>
      </c>
      <c r="B8" s="2">
        <v>0</v>
      </c>
      <c r="C8" s="5">
        <v>0</v>
      </c>
      <c r="D8" s="5">
        <v>0</v>
      </c>
      <c r="E8" s="2">
        <v>0</v>
      </c>
      <c r="F8" s="5">
        <v>0</v>
      </c>
      <c r="G8" s="5">
        <v>0</v>
      </c>
      <c r="H8" s="2">
        <v>0</v>
      </c>
      <c r="I8" s="5">
        <v>0</v>
      </c>
      <c r="J8" s="5">
        <v>0</v>
      </c>
      <c r="K8" s="2">
        <v>0</v>
      </c>
      <c r="L8" s="5">
        <v>0</v>
      </c>
      <c r="M8" s="5">
        <v>0</v>
      </c>
      <c r="N8" s="2">
        <v>0</v>
      </c>
      <c r="O8" s="5">
        <v>0</v>
      </c>
      <c r="P8" s="5">
        <v>0</v>
      </c>
      <c r="Q8" s="2">
        <v>0</v>
      </c>
      <c r="R8" s="5">
        <v>0</v>
      </c>
      <c r="S8" s="5">
        <v>0</v>
      </c>
      <c r="T8" s="5">
        <v>0</v>
      </c>
      <c r="U8" s="5">
        <v>0</v>
      </c>
      <c r="V8" s="5">
        <v>0</v>
      </c>
      <c r="W8" s="17">
        <f t="shared" si="1"/>
        <v>0</v>
      </c>
      <c r="X8" s="18">
        <f t="shared" si="1"/>
        <v>0</v>
      </c>
      <c r="Y8" s="18">
        <f t="shared" si="2"/>
        <v>0</v>
      </c>
      <c r="Z8" s="24" t="s">
        <v>47</v>
      </c>
    </row>
    <row r="9" spans="1:26" ht="58" x14ac:dyDescent="0.3">
      <c r="A9" s="14" t="s">
        <v>15</v>
      </c>
      <c r="B9" s="2">
        <v>1260</v>
      </c>
      <c r="C9" s="5">
        <v>1740</v>
      </c>
      <c r="D9" s="5">
        <v>3000</v>
      </c>
      <c r="E9" s="2">
        <v>2730</v>
      </c>
      <c r="F9" s="5">
        <v>3770</v>
      </c>
      <c r="G9" s="5">
        <v>6500</v>
      </c>
      <c r="H9" s="2">
        <v>2827</v>
      </c>
      <c r="I9" s="5">
        <v>3903</v>
      </c>
      <c r="J9" s="5">
        <v>6730</v>
      </c>
      <c r="K9" s="2">
        <v>2927</v>
      </c>
      <c r="L9" s="5">
        <v>4043</v>
      </c>
      <c r="M9" s="5">
        <v>6970</v>
      </c>
      <c r="N9" s="2">
        <v>1764</v>
      </c>
      <c r="O9" s="5">
        <v>2436</v>
      </c>
      <c r="P9" s="5">
        <v>4200</v>
      </c>
      <c r="Q9" s="2">
        <v>0</v>
      </c>
      <c r="R9" s="5">
        <v>0</v>
      </c>
      <c r="S9" s="5">
        <v>0</v>
      </c>
      <c r="T9" s="5">
        <v>0</v>
      </c>
      <c r="U9" s="5">
        <v>0</v>
      </c>
      <c r="V9" s="5">
        <v>0</v>
      </c>
      <c r="W9" s="17">
        <f t="shared" si="1"/>
        <v>11508</v>
      </c>
      <c r="X9" s="18">
        <f t="shared" si="1"/>
        <v>15892</v>
      </c>
      <c r="Y9" s="18">
        <f t="shared" si="2"/>
        <v>27400</v>
      </c>
      <c r="Z9" s="27" t="s">
        <v>41</v>
      </c>
    </row>
    <row r="10" spans="1:26" ht="88" x14ac:dyDescent="0.3">
      <c r="A10" s="22" t="s">
        <v>18</v>
      </c>
      <c r="B10" s="2">
        <v>0</v>
      </c>
      <c r="C10" s="5">
        <v>0</v>
      </c>
      <c r="D10" s="5">
        <v>0</v>
      </c>
      <c r="E10" s="2">
        <v>0</v>
      </c>
      <c r="F10" s="5">
        <v>0</v>
      </c>
      <c r="G10" s="5">
        <v>0</v>
      </c>
      <c r="H10" s="2">
        <v>0</v>
      </c>
      <c r="I10" s="5">
        <v>0</v>
      </c>
      <c r="J10" s="5">
        <v>0</v>
      </c>
      <c r="K10" s="2">
        <v>0</v>
      </c>
      <c r="L10" s="5">
        <v>0</v>
      </c>
      <c r="M10" s="5">
        <v>0</v>
      </c>
      <c r="N10" s="2">
        <v>0</v>
      </c>
      <c r="O10" s="5">
        <v>0</v>
      </c>
      <c r="P10" s="5">
        <v>0</v>
      </c>
      <c r="Q10" s="2">
        <v>0</v>
      </c>
      <c r="R10" s="5">
        <v>0</v>
      </c>
      <c r="S10" s="5">
        <v>0</v>
      </c>
      <c r="T10" s="5">
        <v>0</v>
      </c>
      <c r="U10" s="5">
        <v>0</v>
      </c>
      <c r="V10" s="5">
        <v>0</v>
      </c>
      <c r="W10" s="17">
        <f t="shared" si="1"/>
        <v>0</v>
      </c>
      <c r="X10" s="18">
        <f t="shared" si="1"/>
        <v>0</v>
      </c>
      <c r="Y10" s="18">
        <f t="shared" si="2"/>
        <v>0</v>
      </c>
      <c r="Z10" s="20" t="s">
        <v>35</v>
      </c>
    </row>
    <row r="11" spans="1:26" ht="88" x14ac:dyDescent="0.3">
      <c r="A11" s="22" t="s">
        <v>19</v>
      </c>
      <c r="B11" s="2">
        <v>0</v>
      </c>
      <c r="C11" s="5">
        <v>0</v>
      </c>
      <c r="D11" s="5">
        <v>0</v>
      </c>
      <c r="E11" s="2">
        <v>0</v>
      </c>
      <c r="F11" s="5">
        <v>0</v>
      </c>
      <c r="G11" s="5">
        <v>0</v>
      </c>
      <c r="H11" s="2">
        <v>0</v>
      </c>
      <c r="I11" s="5">
        <v>0</v>
      </c>
      <c r="J11" s="5">
        <v>0</v>
      </c>
      <c r="K11" s="2">
        <v>0</v>
      </c>
      <c r="L11" s="5">
        <v>0</v>
      </c>
      <c r="M11" s="5">
        <v>0</v>
      </c>
      <c r="N11" s="2">
        <v>0</v>
      </c>
      <c r="O11" s="5">
        <v>0</v>
      </c>
      <c r="P11" s="5">
        <v>0</v>
      </c>
      <c r="Q11" s="2">
        <v>0</v>
      </c>
      <c r="R11" s="5">
        <v>0</v>
      </c>
      <c r="S11" s="5">
        <v>0</v>
      </c>
      <c r="T11" s="5">
        <v>0</v>
      </c>
      <c r="U11" s="5">
        <v>0</v>
      </c>
      <c r="V11" s="5">
        <v>0</v>
      </c>
      <c r="W11" s="17">
        <f t="shared" si="1"/>
        <v>0</v>
      </c>
      <c r="X11" s="18">
        <f t="shared" si="1"/>
        <v>0</v>
      </c>
      <c r="Y11" s="18">
        <f t="shared" si="2"/>
        <v>0</v>
      </c>
      <c r="Z11" s="20" t="s">
        <v>33</v>
      </c>
    </row>
    <row r="12" spans="1:26" ht="63" x14ac:dyDescent="0.3">
      <c r="A12" s="22" t="s">
        <v>22</v>
      </c>
      <c r="B12" s="2">
        <v>0</v>
      </c>
      <c r="C12" s="5">
        <v>0</v>
      </c>
      <c r="D12" s="5">
        <v>0</v>
      </c>
      <c r="E12" s="2">
        <v>0</v>
      </c>
      <c r="F12" s="5">
        <v>0</v>
      </c>
      <c r="G12" s="5">
        <v>0</v>
      </c>
      <c r="H12" s="2">
        <v>0</v>
      </c>
      <c r="I12" s="5">
        <v>0</v>
      </c>
      <c r="J12" s="5">
        <v>0</v>
      </c>
      <c r="K12" s="2">
        <v>0</v>
      </c>
      <c r="L12" s="5">
        <v>0</v>
      </c>
      <c r="M12" s="5">
        <v>0</v>
      </c>
      <c r="N12" s="2">
        <v>0</v>
      </c>
      <c r="O12" s="5">
        <v>0</v>
      </c>
      <c r="P12" s="5">
        <v>0</v>
      </c>
      <c r="Q12" s="2">
        <v>0</v>
      </c>
      <c r="R12" s="5">
        <v>0</v>
      </c>
      <c r="S12" s="5">
        <v>0</v>
      </c>
      <c r="T12" s="5">
        <v>0</v>
      </c>
      <c r="U12" s="5">
        <v>0</v>
      </c>
      <c r="V12" s="5">
        <v>0</v>
      </c>
      <c r="W12" s="17">
        <f t="shared" si="1"/>
        <v>0</v>
      </c>
      <c r="X12" s="18">
        <f t="shared" si="1"/>
        <v>0</v>
      </c>
      <c r="Y12" s="18">
        <f t="shared" si="2"/>
        <v>0</v>
      </c>
      <c r="Z12" s="20" t="s">
        <v>37</v>
      </c>
    </row>
    <row r="13" spans="1:26" ht="25.5" x14ac:dyDescent="0.3">
      <c r="A13" s="14" t="s">
        <v>20</v>
      </c>
      <c r="B13" s="2">
        <v>0</v>
      </c>
      <c r="C13" s="5">
        <v>0</v>
      </c>
      <c r="D13" s="5">
        <v>0</v>
      </c>
      <c r="E13" s="2">
        <v>0</v>
      </c>
      <c r="F13" s="5">
        <v>0</v>
      </c>
      <c r="G13" s="5">
        <v>0</v>
      </c>
      <c r="H13" s="2">
        <v>0</v>
      </c>
      <c r="I13" s="5">
        <v>0</v>
      </c>
      <c r="J13" s="5">
        <v>0</v>
      </c>
      <c r="K13" s="2">
        <v>0</v>
      </c>
      <c r="L13" s="5">
        <v>0</v>
      </c>
      <c r="M13" s="5">
        <v>0</v>
      </c>
      <c r="N13" s="2">
        <f>P13*0.42</f>
        <v>46200</v>
      </c>
      <c r="O13" s="5">
        <f>P13*0.58</f>
        <v>63799.999999999993</v>
      </c>
      <c r="P13" s="5">
        <v>110000</v>
      </c>
      <c r="Q13" s="2">
        <v>0</v>
      </c>
      <c r="R13" s="5">
        <v>0</v>
      </c>
      <c r="S13" s="5">
        <v>0</v>
      </c>
      <c r="T13" s="5">
        <v>0</v>
      </c>
      <c r="U13" s="5">
        <v>0</v>
      </c>
      <c r="V13" s="5">
        <v>0</v>
      </c>
      <c r="W13" s="17">
        <f t="shared" si="1"/>
        <v>46200</v>
      </c>
      <c r="X13" s="18">
        <f t="shared" si="1"/>
        <v>63799.999999999993</v>
      </c>
      <c r="Y13" s="18">
        <f t="shared" si="2"/>
        <v>110000</v>
      </c>
      <c r="Z13" s="20" t="s">
        <v>34</v>
      </c>
    </row>
    <row r="14" spans="1:26" ht="88" x14ac:dyDescent="0.3">
      <c r="A14" s="23" t="s">
        <v>23</v>
      </c>
      <c r="B14" s="2">
        <v>0</v>
      </c>
      <c r="C14" s="5">
        <v>0</v>
      </c>
      <c r="D14" s="5">
        <v>0</v>
      </c>
      <c r="E14" s="2">
        <v>0</v>
      </c>
      <c r="F14" s="5">
        <v>0</v>
      </c>
      <c r="G14" s="5">
        <v>0</v>
      </c>
      <c r="H14" s="2">
        <v>0</v>
      </c>
      <c r="I14" s="5">
        <v>0</v>
      </c>
      <c r="J14" s="5">
        <v>0</v>
      </c>
      <c r="K14" s="2">
        <v>0</v>
      </c>
      <c r="L14" s="5">
        <v>0</v>
      </c>
      <c r="M14" s="5">
        <v>0</v>
      </c>
      <c r="N14" s="2">
        <v>0</v>
      </c>
      <c r="O14" s="5">
        <v>0</v>
      </c>
      <c r="P14" s="5">
        <v>0</v>
      </c>
      <c r="Q14" s="2">
        <v>0</v>
      </c>
      <c r="R14" s="5">
        <v>0</v>
      </c>
      <c r="S14" s="5">
        <v>0</v>
      </c>
      <c r="T14" s="5">
        <v>0</v>
      </c>
      <c r="U14" s="5">
        <v>0</v>
      </c>
      <c r="V14" s="5">
        <v>0</v>
      </c>
      <c r="W14" s="17">
        <f t="shared" si="1"/>
        <v>0</v>
      </c>
      <c r="X14" s="18">
        <f t="shared" si="1"/>
        <v>0</v>
      </c>
      <c r="Y14" s="18">
        <f t="shared" si="2"/>
        <v>0</v>
      </c>
      <c r="Z14" s="20" t="s">
        <v>31</v>
      </c>
    </row>
    <row r="15" spans="1:26" ht="375.5" x14ac:dyDescent="0.3">
      <c r="A15" s="14" t="s">
        <v>24</v>
      </c>
      <c r="B15" s="2">
        <v>7497</v>
      </c>
      <c r="C15" s="5">
        <v>10352</v>
      </c>
      <c r="D15" s="5">
        <f>15000+2849</f>
        <v>17849</v>
      </c>
      <c r="E15" s="2">
        <v>7124</v>
      </c>
      <c r="F15" s="5">
        <v>9837</v>
      </c>
      <c r="G15" s="5">
        <v>16961</v>
      </c>
      <c r="H15" s="2">
        <v>7540</v>
      </c>
      <c r="I15" s="5">
        <v>10412</v>
      </c>
      <c r="J15" s="5">
        <v>17952</v>
      </c>
      <c r="K15" s="2">
        <v>7976</v>
      </c>
      <c r="L15" s="5">
        <v>11015</v>
      </c>
      <c r="M15" s="5">
        <v>18991</v>
      </c>
      <c r="N15" s="2">
        <v>20403</v>
      </c>
      <c r="O15" s="5">
        <v>28176</v>
      </c>
      <c r="P15" s="5">
        <v>48579</v>
      </c>
      <c r="Q15" s="2">
        <v>0</v>
      </c>
      <c r="R15" s="5">
        <v>0</v>
      </c>
      <c r="S15" s="5">
        <v>0</v>
      </c>
      <c r="T15" s="5">
        <v>0</v>
      </c>
      <c r="U15" s="5">
        <v>0</v>
      </c>
      <c r="V15" s="5">
        <v>0</v>
      </c>
      <c r="W15" s="17">
        <f t="shared" si="1"/>
        <v>50540</v>
      </c>
      <c r="X15" s="18">
        <f t="shared" si="1"/>
        <v>69792</v>
      </c>
      <c r="Y15" s="18">
        <f t="shared" si="2"/>
        <v>120332</v>
      </c>
      <c r="Z15" s="20" t="s">
        <v>42</v>
      </c>
    </row>
    <row r="16" spans="1:26" ht="50.5" x14ac:dyDescent="0.3">
      <c r="A16" s="14" t="s">
        <v>16</v>
      </c>
      <c r="B16" s="2">
        <v>1890</v>
      </c>
      <c r="C16" s="5">
        <v>2610</v>
      </c>
      <c r="D16" s="5">
        <v>4500</v>
      </c>
      <c r="E16" s="2">
        <v>1955</v>
      </c>
      <c r="F16" s="5">
        <v>2700</v>
      </c>
      <c r="G16" s="5">
        <v>4655</v>
      </c>
      <c r="H16" s="2">
        <v>2024</v>
      </c>
      <c r="I16" s="5">
        <v>2796</v>
      </c>
      <c r="J16" s="5">
        <v>4820</v>
      </c>
      <c r="K16" s="2">
        <v>2096</v>
      </c>
      <c r="L16" s="5">
        <v>2894</v>
      </c>
      <c r="M16" s="5">
        <v>4990</v>
      </c>
      <c r="N16" s="2">
        <v>2169</v>
      </c>
      <c r="O16" s="5">
        <v>2996</v>
      </c>
      <c r="P16" s="5">
        <v>5165</v>
      </c>
      <c r="Q16" s="2">
        <v>0</v>
      </c>
      <c r="R16" s="5">
        <v>0</v>
      </c>
      <c r="S16" s="5">
        <v>0</v>
      </c>
      <c r="T16" s="5">
        <v>0</v>
      </c>
      <c r="U16" s="5">
        <v>0</v>
      </c>
      <c r="V16" s="5">
        <v>0</v>
      </c>
      <c r="W16" s="17">
        <f t="shared" si="1"/>
        <v>10134</v>
      </c>
      <c r="X16" s="18">
        <f t="shared" si="1"/>
        <v>13996</v>
      </c>
      <c r="Y16" s="18">
        <f t="shared" si="2"/>
        <v>24130</v>
      </c>
      <c r="Z16" s="20" t="s">
        <v>48</v>
      </c>
    </row>
    <row r="17" spans="1:26" ht="75.5" x14ac:dyDescent="0.3">
      <c r="A17" s="23" t="s">
        <v>25</v>
      </c>
      <c r="B17" s="2">
        <v>0</v>
      </c>
      <c r="C17" s="5">
        <v>0</v>
      </c>
      <c r="D17" s="5">
        <v>0</v>
      </c>
      <c r="E17" s="2">
        <v>0</v>
      </c>
      <c r="F17" s="5">
        <v>0</v>
      </c>
      <c r="G17" s="5">
        <v>0</v>
      </c>
      <c r="H17" s="2">
        <v>0</v>
      </c>
      <c r="I17" s="5">
        <v>0</v>
      </c>
      <c r="J17" s="5">
        <v>0</v>
      </c>
      <c r="K17" s="2">
        <v>0</v>
      </c>
      <c r="L17" s="5">
        <v>0</v>
      </c>
      <c r="M17" s="5">
        <v>0</v>
      </c>
      <c r="N17" s="2">
        <v>0</v>
      </c>
      <c r="O17" s="5">
        <v>0</v>
      </c>
      <c r="P17" s="5">
        <v>0</v>
      </c>
      <c r="Q17" s="2">
        <v>0</v>
      </c>
      <c r="R17" s="5">
        <v>0</v>
      </c>
      <c r="S17" s="5">
        <v>0</v>
      </c>
      <c r="T17" s="5">
        <v>0</v>
      </c>
      <c r="U17" s="5">
        <v>0</v>
      </c>
      <c r="V17" s="5">
        <v>0</v>
      </c>
      <c r="W17" s="17">
        <f t="shared" si="1"/>
        <v>0</v>
      </c>
      <c r="X17" s="18">
        <f t="shared" si="1"/>
        <v>0</v>
      </c>
      <c r="Y17" s="18">
        <f t="shared" si="2"/>
        <v>0</v>
      </c>
      <c r="Z17" s="20" t="s">
        <v>32</v>
      </c>
    </row>
    <row r="18" spans="1:26" ht="213" x14ac:dyDescent="0.3">
      <c r="A18" s="14" t="s">
        <v>17</v>
      </c>
      <c r="B18" s="2">
        <v>20769</v>
      </c>
      <c r="C18" s="5">
        <v>28681</v>
      </c>
      <c r="D18" s="5">
        <v>49450</v>
      </c>
      <c r="E18" s="2">
        <v>21704</v>
      </c>
      <c r="F18" s="5">
        <v>29972</v>
      </c>
      <c r="G18" s="5">
        <v>51676</v>
      </c>
      <c r="H18" s="2">
        <v>22681</v>
      </c>
      <c r="I18" s="5">
        <v>31321</v>
      </c>
      <c r="J18" s="5">
        <v>54002</v>
      </c>
      <c r="K18" s="2">
        <v>23702</v>
      </c>
      <c r="L18" s="5">
        <v>32731</v>
      </c>
      <c r="M18" s="5">
        <v>56433</v>
      </c>
      <c r="N18" s="2">
        <v>24769</v>
      </c>
      <c r="O18" s="5">
        <v>34204</v>
      </c>
      <c r="P18" s="5">
        <v>58973</v>
      </c>
      <c r="Q18" s="2">
        <v>0</v>
      </c>
      <c r="R18" s="5">
        <v>0</v>
      </c>
      <c r="S18" s="5">
        <v>0</v>
      </c>
      <c r="T18" s="5">
        <v>0</v>
      </c>
      <c r="U18" s="5">
        <v>0</v>
      </c>
      <c r="V18" s="5">
        <v>0</v>
      </c>
      <c r="W18" s="17">
        <f t="shared" si="1"/>
        <v>113625</v>
      </c>
      <c r="X18" s="18">
        <f t="shared" si="1"/>
        <v>156909</v>
      </c>
      <c r="Y18" s="18">
        <f t="shared" si="2"/>
        <v>270534</v>
      </c>
      <c r="Z18" s="20" t="s">
        <v>38</v>
      </c>
    </row>
    <row r="19" spans="1:26" x14ac:dyDescent="0.3">
      <c r="A19" s="15" t="s">
        <v>11</v>
      </c>
      <c r="B19" s="2">
        <f>SUM(B20)</f>
        <v>3499</v>
      </c>
      <c r="C19" s="2">
        <f t="shared" ref="C19:V19" si="3">SUM(C20)</f>
        <v>4831</v>
      </c>
      <c r="D19" s="2">
        <f t="shared" si="3"/>
        <v>8330</v>
      </c>
      <c r="E19" s="2">
        <f t="shared" si="3"/>
        <v>7344</v>
      </c>
      <c r="F19" s="2">
        <f t="shared" si="3"/>
        <v>10141</v>
      </c>
      <c r="G19" s="2">
        <f t="shared" si="3"/>
        <v>17485</v>
      </c>
      <c r="H19" s="2">
        <f t="shared" si="3"/>
        <v>7711</v>
      </c>
      <c r="I19" s="2">
        <f t="shared" si="3"/>
        <v>10649</v>
      </c>
      <c r="J19" s="2">
        <f t="shared" si="3"/>
        <v>18360</v>
      </c>
      <c r="K19" s="2">
        <f t="shared" si="3"/>
        <v>8097</v>
      </c>
      <c r="L19" s="2">
        <f t="shared" si="3"/>
        <v>11181</v>
      </c>
      <c r="M19" s="2">
        <f t="shared" si="3"/>
        <v>19278</v>
      </c>
      <c r="N19" s="2">
        <f t="shared" si="3"/>
        <v>8502</v>
      </c>
      <c r="O19" s="2">
        <f t="shared" si="3"/>
        <v>11740</v>
      </c>
      <c r="P19" s="2">
        <f t="shared" si="3"/>
        <v>20242</v>
      </c>
      <c r="Q19" s="2">
        <f t="shared" si="3"/>
        <v>0</v>
      </c>
      <c r="R19" s="2">
        <f t="shared" si="3"/>
        <v>0</v>
      </c>
      <c r="S19" s="2">
        <f t="shared" si="3"/>
        <v>0</v>
      </c>
      <c r="T19" s="2">
        <f t="shared" si="3"/>
        <v>0</v>
      </c>
      <c r="U19" s="2">
        <f t="shared" si="3"/>
        <v>0</v>
      </c>
      <c r="V19" s="2">
        <f t="shared" si="3"/>
        <v>0</v>
      </c>
      <c r="W19" s="17">
        <f t="shared" si="1"/>
        <v>35153</v>
      </c>
      <c r="X19" s="17">
        <f t="shared" si="1"/>
        <v>48542</v>
      </c>
      <c r="Y19" s="17">
        <f t="shared" si="2"/>
        <v>83695</v>
      </c>
      <c r="Z19" s="20"/>
    </row>
    <row r="20" spans="1:26" ht="113" x14ac:dyDescent="0.3">
      <c r="A20" s="14" t="s">
        <v>27</v>
      </c>
      <c r="B20" s="2">
        <v>3499</v>
      </c>
      <c r="C20" s="5">
        <v>4831</v>
      </c>
      <c r="D20" s="5">
        <v>8330</v>
      </c>
      <c r="E20" s="2">
        <v>7344</v>
      </c>
      <c r="F20" s="5">
        <v>10141</v>
      </c>
      <c r="G20" s="5">
        <v>17485</v>
      </c>
      <c r="H20" s="2">
        <v>7711</v>
      </c>
      <c r="I20" s="5">
        <v>10649</v>
      </c>
      <c r="J20" s="5">
        <v>18360</v>
      </c>
      <c r="K20" s="2">
        <v>8097</v>
      </c>
      <c r="L20" s="5">
        <v>11181</v>
      </c>
      <c r="M20" s="5">
        <v>19278</v>
      </c>
      <c r="N20" s="2">
        <v>8502</v>
      </c>
      <c r="O20" s="5">
        <v>11740</v>
      </c>
      <c r="P20" s="5">
        <v>20242</v>
      </c>
      <c r="Q20" s="2">
        <v>0</v>
      </c>
      <c r="R20" s="5">
        <v>0</v>
      </c>
      <c r="S20" s="5">
        <v>0</v>
      </c>
      <c r="T20" s="5">
        <v>0</v>
      </c>
      <c r="U20" s="5">
        <v>0</v>
      </c>
      <c r="V20" s="5">
        <v>0</v>
      </c>
      <c r="W20" s="17">
        <f>B20+E20+H20+K20+N20+Q20+T20</f>
        <v>35153</v>
      </c>
      <c r="X20" s="18">
        <f>C20+F20+I20+L20+O20+R20+U20</f>
        <v>48542</v>
      </c>
      <c r="Y20" s="18">
        <f>W20+X20</f>
        <v>83695</v>
      </c>
      <c r="Z20" s="20" t="s">
        <v>49</v>
      </c>
    </row>
    <row r="21" spans="1:26" x14ac:dyDescent="0.3">
      <c r="A21" s="16" t="s">
        <v>3</v>
      </c>
      <c r="B21" s="2">
        <f t="shared" ref="B21:V21" si="4">SUM(B22)</f>
        <v>6721</v>
      </c>
      <c r="C21" s="2">
        <f t="shared" si="4"/>
        <v>9282</v>
      </c>
      <c r="D21" s="2">
        <f t="shared" si="4"/>
        <v>16003</v>
      </c>
      <c r="E21" s="2">
        <f t="shared" si="4"/>
        <v>15533</v>
      </c>
      <c r="F21" s="2">
        <f t="shared" si="4"/>
        <v>21451</v>
      </c>
      <c r="G21" s="2">
        <f t="shared" si="4"/>
        <v>36984</v>
      </c>
      <c r="H21" s="2">
        <f t="shared" si="4"/>
        <v>16310</v>
      </c>
      <c r="I21" s="2">
        <f t="shared" si="4"/>
        <v>22523</v>
      </c>
      <c r="J21" s="2">
        <f t="shared" si="4"/>
        <v>38833</v>
      </c>
      <c r="K21" s="2">
        <f t="shared" si="4"/>
        <v>17125</v>
      </c>
      <c r="L21" s="2">
        <f t="shared" si="4"/>
        <v>23651</v>
      </c>
      <c r="M21" s="2">
        <f t="shared" si="4"/>
        <v>40776</v>
      </c>
      <c r="N21" s="2">
        <f t="shared" si="4"/>
        <v>17982</v>
      </c>
      <c r="O21" s="2">
        <f t="shared" si="4"/>
        <v>24832</v>
      </c>
      <c r="P21" s="2">
        <f t="shared" si="4"/>
        <v>42814</v>
      </c>
      <c r="Q21" s="2">
        <f t="shared" si="4"/>
        <v>0</v>
      </c>
      <c r="R21" s="2">
        <f t="shared" si="4"/>
        <v>0</v>
      </c>
      <c r="S21" s="2">
        <f t="shared" si="4"/>
        <v>0</v>
      </c>
      <c r="T21" s="2">
        <f t="shared" si="4"/>
        <v>0</v>
      </c>
      <c r="U21" s="2">
        <f t="shared" si="4"/>
        <v>0</v>
      </c>
      <c r="V21" s="2">
        <f t="shared" si="4"/>
        <v>0</v>
      </c>
      <c r="W21" s="17">
        <f t="shared" si="1"/>
        <v>73671</v>
      </c>
      <c r="X21" s="17">
        <f t="shared" si="1"/>
        <v>101739</v>
      </c>
      <c r="Y21" s="17">
        <f t="shared" si="2"/>
        <v>175410</v>
      </c>
      <c r="Z21" s="20"/>
    </row>
    <row r="22" spans="1:26" ht="195" customHeight="1" x14ac:dyDescent="0.3">
      <c r="A22" s="14" t="s">
        <v>28</v>
      </c>
      <c r="B22" s="2">
        <v>6721</v>
      </c>
      <c r="C22" s="5">
        <v>9282</v>
      </c>
      <c r="D22" s="5">
        <v>16003</v>
      </c>
      <c r="E22" s="2">
        <v>15533</v>
      </c>
      <c r="F22" s="5">
        <v>21451</v>
      </c>
      <c r="G22" s="5">
        <v>36984</v>
      </c>
      <c r="H22" s="2">
        <v>16310</v>
      </c>
      <c r="I22" s="5">
        <v>22523</v>
      </c>
      <c r="J22" s="5">
        <v>38833</v>
      </c>
      <c r="K22" s="2">
        <v>17125</v>
      </c>
      <c r="L22" s="5">
        <v>23651</v>
      </c>
      <c r="M22" s="5">
        <v>40776</v>
      </c>
      <c r="N22" s="2">
        <v>17982</v>
      </c>
      <c r="O22" s="5">
        <v>24832</v>
      </c>
      <c r="P22" s="5">
        <v>42814</v>
      </c>
      <c r="Q22" s="2">
        <v>0</v>
      </c>
      <c r="R22" s="5">
        <v>0</v>
      </c>
      <c r="S22" s="5">
        <v>0</v>
      </c>
      <c r="T22" s="5">
        <v>0</v>
      </c>
      <c r="U22" s="5">
        <v>0</v>
      </c>
      <c r="V22" s="5">
        <v>0</v>
      </c>
      <c r="W22" s="17">
        <f>B22+E22+H22+K22+N22+Q22+T22</f>
        <v>73671</v>
      </c>
      <c r="X22" s="18">
        <f>C22+F22+I22+L22+O22+R22+U22</f>
        <v>101739</v>
      </c>
      <c r="Y22" s="18">
        <f>W22+X22</f>
        <v>175410</v>
      </c>
      <c r="Z22" s="20" t="s">
        <v>50</v>
      </c>
    </row>
    <row r="23" spans="1:26" ht="25.5" x14ac:dyDescent="0.3">
      <c r="A23" s="15" t="s">
        <v>43</v>
      </c>
      <c r="B23" s="2">
        <v>5460</v>
      </c>
      <c r="C23" s="2">
        <v>7540</v>
      </c>
      <c r="D23" s="2">
        <f>5460*100/42</f>
        <v>13000</v>
      </c>
      <c r="E23" s="2">
        <v>5460</v>
      </c>
      <c r="F23" s="2">
        <v>7540</v>
      </c>
      <c r="G23" s="2">
        <f>5460*100/42</f>
        <v>13000</v>
      </c>
      <c r="H23" s="2">
        <v>5460</v>
      </c>
      <c r="I23" s="2">
        <v>7540</v>
      </c>
      <c r="J23" s="2">
        <f>5460*100/42</f>
        <v>13000</v>
      </c>
      <c r="K23" s="2">
        <v>5460</v>
      </c>
      <c r="L23" s="2">
        <v>7540</v>
      </c>
      <c r="M23" s="2">
        <f>5460*100/42</f>
        <v>13000</v>
      </c>
      <c r="N23" s="2">
        <v>5460</v>
      </c>
      <c r="O23" s="2">
        <v>7540</v>
      </c>
      <c r="P23" s="2">
        <f>5460*100/42</f>
        <v>13000</v>
      </c>
      <c r="Q23" s="2">
        <v>0</v>
      </c>
      <c r="R23" s="2">
        <v>0</v>
      </c>
      <c r="S23" s="2">
        <v>0</v>
      </c>
      <c r="T23" s="2">
        <v>0</v>
      </c>
      <c r="U23" s="2">
        <v>0</v>
      </c>
      <c r="V23" s="2">
        <v>0</v>
      </c>
      <c r="W23" s="17">
        <f>B23+E23+H23+K23+N23+Q23+T23</f>
        <v>27300</v>
      </c>
      <c r="X23" s="17">
        <f t="shared" ref="X23:X24" si="5">C23+F23+I23+L23+O23+R23+U23</f>
        <v>37700</v>
      </c>
      <c r="Y23" s="17">
        <f t="shared" ref="Y23:Y24" si="6">W23+X23</f>
        <v>65000</v>
      </c>
      <c r="Z23" s="25" t="s">
        <v>44</v>
      </c>
    </row>
    <row r="24" spans="1:26" x14ac:dyDescent="0.3">
      <c r="A24" s="12" t="s">
        <v>0</v>
      </c>
      <c r="B24" s="6">
        <f>B5+B19+B21+B23</f>
        <v>50876</v>
      </c>
      <c r="C24" s="6">
        <f t="shared" ref="C24:V24" si="7">C5+C19+C21+C23</f>
        <v>70256</v>
      </c>
      <c r="D24" s="6">
        <f t="shared" si="7"/>
        <v>121132</v>
      </c>
      <c r="E24" s="6">
        <f t="shared" si="7"/>
        <v>65504</v>
      </c>
      <c r="F24" s="6">
        <f t="shared" si="7"/>
        <v>90457</v>
      </c>
      <c r="G24" s="6">
        <f t="shared" si="7"/>
        <v>155961</v>
      </c>
      <c r="H24" s="6">
        <f t="shared" si="7"/>
        <v>69580</v>
      </c>
      <c r="I24" s="6">
        <f t="shared" si="7"/>
        <v>96087</v>
      </c>
      <c r="J24" s="6">
        <f t="shared" si="7"/>
        <v>165667</v>
      </c>
      <c r="K24" s="6">
        <f t="shared" si="7"/>
        <v>71352</v>
      </c>
      <c r="L24" s="6">
        <f t="shared" si="7"/>
        <v>98536</v>
      </c>
      <c r="M24" s="6">
        <f t="shared" si="7"/>
        <v>169888</v>
      </c>
      <c r="N24" s="6">
        <f t="shared" si="7"/>
        <v>132688</v>
      </c>
      <c r="O24" s="6">
        <f t="shared" si="7"/>
        <v>183235</v>
      </c>
      <c r="P24" s="6">
        <f>P5+P19+P21+P23</f>
        <v>315923</v>
      </c>
      <c r="Q24" s="6">
        <f t="shared" si="7"/>
        <v>0</v>
      </c>
      <c r="R24" s="6">
        <f t="shared" si="7"/>
        <v>0</v>
      </c>
      <c r="S24" s="6">
        <f t="shared" si="7"/>
        <v>0</v>
      </c>
      <c r="T24" s="6">
        <f t="shared" si="7"/>
        <v>0</v>
      </c>
      <c r="U24" s="6">
        <f t="shared" si="7"/>
        <v>0</v>
      </c>
      <c r="V24" s="6">
        <f t="shared" si="7"/>
        <v>0</v>
      </c>
      <c r="W24" s="6">
        <f>B24+E24+H24+K24+N24+Q24+T24</f>
        <v>390000</v>
      </c>
      <c r="X24" s="6">
        <f t="shared" si="5"/>
        <v>538571</v>
      </c>
      <c r="Y24" s="6">
        <f t="shared" si="6"/>
        <v>928571</v>
      </c>
      <c r="Z24" s="20"/>
    </row>
    <row r="29" spans="1:26" x14ac:dyDescent="0.3">
      <c r="C29" s="8"/>
      <c r="D29" s="8"/>
      <c r="F29" s="8"/>
    </row>
    <row r="32" spans="1:26" x14ac:dyDescent="0.3">
      <c r="B32" s="9"/>
      <c r="C32" s="7"/>
      <c r="D32" s="7"/>
      <c r="E32" s="9"/>
      <c r="F32" s="7"/>
    </row>
    <row r="33" spans="1:6" x14ac:dyDescent="0.3">
      <c r="B33" s="9"/>
      <c r="C33" s="7"/>
      <c r="D33" s="7"/>
      <c r="E33" s="9"/>
      <c r="F33" s="7"/>
    </row>
    <row r="34" spans="1:6" x14ac:dyDescent="0.3">
      <c r="B34" s="9"/>
      <c r="C34" s="9"/>
      <c r="D34" s="9"/>
      <c r="E34" s="9"/>
      <c r="F34" s="9"/>
    </row>
    <row r="36" spans="1:6" x14ac:dyDescent="0.3">
      <c r="A36" s="13"/>
    </row>
  </sheetData>
  <mergeCells count="10">
    <mergeCell ref="A2:Y2"/>
    <mergeCell ref="A3:A4"/>
    <mergeCell ref="B3:D3"/>
    <mergeCell ref="E3:G3"/>
    <mergeCell ref="H3:J3"/>
    <mergeCell ref="K3:M3"/>
    <mergeCell ref="N3:P3"/>
    <mergeCell ref="Q3:S3"/>
    <mergeCell ref="T3:V3"/>
    <mergeCell ref="W3:Y3"/>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F0F-3043-47D1-B59C-367EE45D23B7}">
  <dimension ref="A2:AB37"/>
  <sheetViews>
    <sheetView zoomScale="80" zoomScaleNormal="80" workbookViewId="0">
      <pane xSplit="1" ySplit="4" topLeftCell="B9" activePane="bottomRight" state="frozen"/>
      <selection pane="topRight" activeCell="B1" sqref="B1"/>
      <selection pane="bottomLeft" activeCell="A5" sqref="A5"/>
      <selection pane="bottomRight" activeCell="B5" sqref="B5:Y25"/>
    </sheetView>
  </sheetViews>
  <sheetFormatPr defaultColWidth="9.1796875" defaultRowHeight="13" outlineLevelCol="1" x14ac:dyDescent="0.3"/>
  <cols>
    <col min="1" max="1" width="46" style="4" customWidth="1"/>
    <col min="2" max="2" width="12.81640625" style="8" customWidth="1" outlineLevel="1"/>
    <col min="3" max="4" width="12.81640625" style="1" customWidth="1" outlineLevel="1"/>
    <col min="5" max="5" width="12.81640625" style="8" customWidth="1" outlineLevel="1"/>
    <col min="6" max="7" width="12.81640625" style="1" customWidth="1" outlineLevel="1"/>
    <col min="8" max="8" width="12.81640625" style="8" customWidth="1" outlineLevel="1"/>
    <col min="9" max="10" width="12.81640625" style="1" customWidth="1" outlineLevel="1"/>
    <col min="11" max="11" width="12.81640625" style="8" customWidth="1" outlineLevel="1"/>
    <col min="12" max="13" width="12.81640625" style="1" customWidth="1" outlineLevel="1"/>
    <col min="14" max="14" width="12.81640625" style="8" customWidth="1" outlineLevel="1"/>
    <col min="15" max="16" width="12.81640625" style="1" customWidth="1" outlineLevel="1"/>
    <col min="17" max="17" width="12.81640625" style="8" customWidth="1" outlineLevel="1"/>
    <col min="18" max="22" width="12.81640625" style="1" customWidth="1" outlineLevel="1"/>
    <col min="23" max="23" width="12.81640625" style="8" customWidth="1"/>
    <col min="24" max="25" width="12.81640625" style="1" customWidth="1"/>
    <col min="26" max="26" width="80.453125" style="1" customWidth="1"/>
    <col min="27" max="27" width="70.08984375" style="1" customWidth="1"/>
    <col min="28" max="30" width="9.1796875" style="1"/>
    <col min="31" max="31" width="1.1796875" style="1" customWidth="1"/>
    <col min="32" max="32" width="3.26953125" style="1" customWidth="1"/>
    <col min="33" max="16384" width="9.1796875" style="1"/>
  </cols>
  <sheetData>
    <row r="2" spans="1:28" ht="14.5" x14ac:dyDescent="0.35">
      <c r="A2" s="78" t="s">
        <v>85</v>
      </c>
      <c r="B2" s="79"/>
      <c r="C2" s="79"/>
      <c r="D2" s="79"/>
      <c r="E2" s="79"/>
      <c r="F2" s="79"/>
      <c r="G2" s="79"/>
      <c r="H2" s="79"/>
      <c r="I2" s="79"/>
      <c r="J2" s="79"/>
      <c r="K2" s="79"/>
      <c r="L2" s="79"/>
      <c r="M2" s="79"/>
      <c r="N2" s="79"/>
      <c r="O2" s="79"/>
      <c r="P2" s="79"/>
      <c r="Q2" s="79"/>
      <c r="R2" s="79"/>
      <c r="S2" s="79"/>
      <c r="T2" s="79"/>
      <c r="U2" s="79"/>
      <c r="V2" s="79"/>
      <c r="W2" s="79"/>
      <c r="X2" s="79"/>
      <c r="Y2" s="79"/>
    </row>
    <row r="3" spans="1:28" x14ac:dyDescent="0.3">
      <c r="A3" s="80" t="s">
        <v>1</v>
      </c>
      <c r="B3" s="82">
        <v>2023</v>
      </c>
      <c r="C3" s="83"/>
      <c r="D3" s="84"/>
      <c r="E3" s="82">
        <v>2024</v>
      </c>
      <c r="F3" s="83"/>
      <c r="G3" s="84"/>
      <c r="H3" s="82">
        <v>2025</v>
      </c>
      <c r="I3" s="83"/>
      <c r="J3" s="84"/>
      <c r="K3" s="82">
        <v>2026</v>
      </c>
      <c r="L3" s="83"/>
      <c r="M3" s="84"/>
      <c r="N3" s="82">
        <v>2027</v>
      </c>
      <c r="O3" s="83"/>
      <c r="P3" s="84"/>
      <c r="Q3" s="82">
        <v>2028</v>
      </c>
      <c r="R3" s="83"/>
      <c r="S3" s="84"/>
      <c r="T3" s="82">
        <v>2029</v>
      </c>
      <c r="U3" s="83"/>
      <c r="V3" s="84"/>
      <c r="W3" s="86" t="s">
        <v>29</v>
      </c>
      <c r="X3" s="87"/>
      <c r="Y3" s="88"/>
      <c r="Z3" s="33"/>
      <c r="AA3" s="32"/>
    </row>
    <row r="4" spans="1:28" s="4" customFormat="1" ht="35.5" customHeight="1" x14ac:dyDescent="0.3">
      <c r="A4" s="81"/>
      <c r="B4" s="3" t="s">
        <v>7</v>
      </c>
      <c r="C4" s="3" t="s">
        <v>8</v>
      </c>
      <c r="D4" s="3" t="s">
        <v>4</v>
      </c>
      <c r="E4" s="3" t="s">
        <v>7</v>
      </c>
      <c r="F4" s="3" t="s">
        <v>8</v>
      </c>
      <c r="G4" s="3" t="s">
        <v>5</v>
      </c>
      <c r="H4" s="3" t="s">
        <v>7</v>
      </c>
      <c r="I4" s="3" t="s">
        <v>8</v>
      </c>
      <c r="J4" s="3" t="s">
        <v>6</v>
      </c>
      <c r="K4" s="3" t="s">
        <v>7</v>
      </c>
      <c r="L4" s="3" t="s">
        <v>8</v>
      </c>
      <c r="M4" s="3" t="s">
        <v>9</v>
      </c>
      <c r="N4" s="3" t="s">
        <v>7</v>
      </c>
      <c r="O4" s="3" t="s">
        <v>8</v>
      </c>
      <c r="P4" s="3" t="s">
        <v>10</v>
      </c>
      <c r="Q4" s="3" t="s">
        <v>7</v>
      </c>
      <c r="R4" s="3" t="s">
        <v>8</v>
      </c>
      <c r="S4" s="3" t="s">
        <v>12</v>
      </c>
      <c r="T4" s="3" t="s">
        <v>7</v>
      </c>
      <c r="U4" s="3" t="s">
        <v>8</v>
      </c>
      <c r="V4" s="3" t="s">
        <v>13</v>
      </c>
      <c r="W4" s="10" t="s">
        <v>7</v>
      </c>
      <c r="X4" s="10" t="s">
        <v>8</v>
      </c>
      <c r="Y4" s="3" t="s">
        <v>30</v>
      </c>
      <c r="Z4" s="38" t="s">
        <v>26</v>
      </c>
      <c r="AA4" s="11" t="s">
        <v>51</v>
      </c>
    </row>
    <row r="5" spans="1:28" ht="25" x14ac:dyDescent="0.3">
      <c r="A5" s="11" t="s">
        <v>2</v>
      </c>
      <c r="B5" s="2">
        <f t="shared" ref="B5:V5" si="0">SUM(B6:B18)</f>
        <v>23709</v>
      </c>
      <c r="C5" s="2">
        <f t="shared" si="0"/>
        <v>32741</v>
      </c>
      <c r="D5" s="2">
        <f t="shared" si="0"/>
        <v>56450</v>
      </c>
      <c r="E5" s="2">
        <f t="shared" si="0"/>
        <v>48653.119999999995</v>
      </c>
      <c r="F5" s="2">
        <f t="shared" si="0"/>
        <v>67187.88</v>
      </c>
      <c r="G5" s="2">
        <f t="shared" si="0"/>
        <v>115841</v>
      </c>
      <c r="H5" s="2">
        <f t="shared" si="0"/>
        <v>40099</v>
      </c>
      <c r="I5" s="2">
        <f t="shared" si="0"/>
        <v>55375</v>
      </c>
      <c r="J5" s="2">
        <f t="shared" si="0"/>
        <v>95474</v>
      </c>
      <c r="K5" s="2">
        <f t="shared" si="0"/>
        <v>40670</v>
      </c>
      <c r="L5" s="2">
        <f t="shared" si="0"/>
        <v>56164</v>
      </c>
      <c r="M5" s="2">
        <f t="shared" si="0"/>
        <v>96834</v>
      </c>
      <c r="N5" s="2">
        <f t="shared" si="0"/>
        <v>100744</v>
      </c>
      <c r="O5" s="2">
        <f t="shared" si="0"/>
        <v>139123</v>
      </c>
      <c r="P5" s="2">
        <f t="shared" si="0"/>
        <v>239867</v>
      </c>
      <c r="Q5" s="2">
        <f t="shared" si="0"/>
        <v>0</v>
      </c>
      <c r="R5" s="2">
        <f t="shared" si="0"/>
        <v>0</v>
      </c>
      <c r="S5" s="2">
        <f t="shared" si="0"/>
        <v>0</v>
      </c>
      <c r="T5" s="2">
        <f t="shared" si="0"/>
        <v>0</v>
      </c>
      <c r="U5" s="2">
        <f t="shared" si="0"/>
        <v>0</v>
      </c>
      <c r="V5" s="2">
        <f t="shared" si="0"/>
        <v>0</v>
      </c>
      <c r="W5" s="34">
        <f t="shared" ref="W5:W25" si="1">B5+E5+H5+K5+N5+Q5+T5</f>
        <v>253875.12</v>
      </c>
      <c r="X5" s="34">
        <f t="shared" ref="X5:X25" si="2">C5+F5+I5+L5+O5+R5+U5</f>
        <v>350590.88</v>
      </c>
      <c r="Y5" s="34">
        <f t="shared" ref="Y5:Y25" si="3">W5+X5</f>
        <v>604466</v>
      </c>
      <c r="Z5" s="35" t="s">
        <v>39</v>
      </c>
      <c r="AA5" s="32"/>
    </row>
    <row r="6" spans="1:28" ht="132" customHeight="1" x14ac:dyDescent="0.3">
      <c r="A6" s="14" t="s">
        <v>14</v>
      </c>
      <c r="B6" s="2">
        <f>0.42*D6</f>
        <v>2940</v>
      </c>
      <c r="C6" s="5">
        <f>0.58*D6</f>
        <v>4059.9999999999995</v>
      </c>
      <c r="D6" s="28">
        <f>9000-2000</f>
        <v>7000</v>
      </c>
      <c r="E6" s="2">
        <f>0.42*G6</f>
        <v>5754</v>
      </c>
      <c r="F6" s="5">
        <f>0.58*G6</f>
        <v>7945.9999999999991</v>
      </c>
      <c r="G6" s="28">
        <f>8700+2000+3000</f>
        <v>13700</v>
      </c>
      <c r="H6" s="2">
        <v>5027</v>
      </c>
      <c r="I6" s="5">
        <v>6943</v>
      </c>
      <c r="J6" s="5">
        <v>11970</v>
      </c>
      <c r="K6" s="2">
        <v>3969</v>
      </c>
      <c r="L6" s="5">
        <v>5481</v>
      </c>
      <c r="M6" s="5">
        <v>9450</v>
      </c>
      <c r="N6" s="2">
        <v>5439</v>
      </c>
      <c r="O6" s="5">
        <v>7511</v>
      </c>
      <c r="P6" s="5">
        <v>12950</v>
      </c>
      <c r="Q6" s="2">
        <v>0</v>
      </c>
      <c r="R6" s="5">
        <v>0</v>
      </c>
      <c r="S6" s="5">
        <v>0</v>
      </c>
      <c r="T6" s="5">
        <v>0</v>
      </c>
      <c r="U6" s="5">
        <v>0</v>
      </c>
      <c r="V6" s="5">
        <v>0</v>
      </c>
      <c r="W6" s="34">
        <f t="shared" si="1"/>
        <v>23129</v>
      </c>
      <c r="X6" s="36">
        <f t="shared" si="2"/>
        <v>31941</v>
      </c>
      <c r="Y6" s="36">
        <f t="shared" si="3"/>
        <v>55070</v>
      </c>
      <c r="Z6" s="29" t="s">
        <v>58</v>
      </c>
      <c r="AA6" s="30" t="s">
        <v>63</v>
      </c>
    </row>
    <row r="7" spans="1:28" ht="45" customHeight="1" x14ac:dyDescent="0.3">
      <c r="A7" s="23" t="s">
        <v>36</v>
      </c>
      <c r="B7" s="2">
        <v>0</v>
      </c>
      <c r="C7" s="5">
        <v>0</v>
      </c>
      <c r="D7" s="5">
        <v>0</v>
      </c>
      <c r="E7" s="2">
        <v>0</v>
      </c>
      <c r="F7" s="5">
        <v>0</v>
      </c>
      <c r="G7" s="5">
        <v>0</v>
      </c>
      <c r="H7" s="2">
        <v>0</v>
      </c>
      <c r="I7" s="5">
        <v>0</v>
      </c>
      <c r="J7" s="5">
        <v>0</v>
      </c>
      <c r="K7" s="2">
        <v>0</v>
      </c>
      <c r="L7" s="5">
        <v>0</v>
      </c>
      <c r="M7" s="5">
        <v>0</v>
      </c>
      <c r="N7" s="2">
        <v>0</v>
      </c>
      <c r="O7" s="5">
        <v>0</v>
      </c>
      <c r="P7" s="5">
        <v>0</v>
      </c>
      <c r="Q7" s="2">
        <v>0</v>
      </c>
      <c r="R7" s="5">
        <v>0</v>
      </c>
      <c r="S7" s="5">
        <v>0</v>
      </c>
      <c r="T7" s="5">
        <v>0</v>
      </c>
      <c r="U7" s="5">
        <v>0</v>
      </c>
      <c r="V7" s="5">
        <v>0</v>
      </c>
      <c r="W7" s="34">
        <f t="shared" si="1"/>
        <v>0</v>
      </c>
      <c r="X7" s="36">
        <f t="shared" si="2"/>
        <v>0</v>
      </c>
      <c r="Y7" s="36">
        <f t="shared" si="3"/>
        <v>0</v>
      </c>
      <c r="Z7" s="37" t="s">
        <v>59</v>
      </c>
      <c r="AA7" s="32"/>
    </row>
    <row r="8" spans="1:28" ht="23.5" x14ac:dyDescent="0.3">
      <c r="A8" s="22" t="s">
        <v>21</v>
      </c>
      <c r="B8" s="2">
        <v>0</v>
      </c>
      <c r="C8" s="5">
        <v>0</v>
      </c>
      <c r="D8" s="5">
        <v>0</v>
      </c>
      <c r="E8" s="2">
        <v>0</v>
      </c>
      <c r="F8" s="5">
        <v>0</v>
      </c>
      <c r="G8" s="5">
        <v>0</v>
      </c>
      <c r="H8" s="2">
        <v>0</v>
      </c>
      <c r="I8" s="5">
        <v>0</v>
      </c>
      <c r="J8" s="5">
        <v>0</v>
      </c>
      <c r="K8" s="2">
        <v>0</v>
      </c>
      <c r="L8" s="5">
        <v>0</v>
      </c>
      <c r="M8" s="5">
        <v>0</v>
      </c>
      <c r="N8" s="2">
        <v>0</v>
      </c>
      <c r="O8" s="5">
        <v>0</v>
      </c>
      <c r="P8" s="5">
        <v>0</v>
      </c>
      <c r="Q8" s="2">
        <v>0</v>
      </c>
      <c r="R8" s="5">
        <v>0</v>
      </c>
      <c r="S8" s="5">
        <v>0</v>
      </c>
      <c r="T8" s="5">
        <v>0</v>
      </c>
      <c r="U8" s="5">
        <v>0</v>
      </c>
      <c r="V8" s="5">
        <v>0</v>
      </c>
      <c r="W8" s="34">
        <f t="shared" si="1"/>
        <v>0</v>
      </c>
      <c r="X8" s="36">
        <f t="shared" si="2"/>
        <v>0</v>
      </c>
      <c r="Y8" s="36">
        <f t="shared" si="3"/>
        <v>0</v>
      </c>
      <c r="Z8" s="35" t="s">
        <v>52</v>
      </c>
      <c r="AA8" s="32"/>
    </row>
    <row r="9" spans="1:28" ht="128" customHeight="1" x14ac:dyDescent="0.3">
      <c r="A9" s="14" t="s">
        <v>15</v>
      </c>
      <c r="B9" s="2">
        <v>0</v>
      </c>
      <c r="C9" s="5">
        <v>0</v>
      </c>
      <c r="D9" s="28">
        <f>3000-3000</f>
        <v>0</v>
      </c>
      <c r="E9" s="2">
        <v>2730</v>
      </c>
      <c r="F9" s="5">
        <v>3770</v>
      </c>
      <c r="G9" s="5">
        <v>6500</v>
      </c>
      <c r="H9" s="2">
        <v>2827</v>
      </c>
      <c r="I9" s="5">
        <v>3903</v>
      </c>
      <c r="J9" s="5">
        <v>6730</v>
      </c>
      <c r="K9" s="2">
        <v>2927</v>
      </c>
      <c r="L9" s="5">
        <v>4043</v>
      </c>
      <c r="M9" s="5">
        <v>6970</v>
      </c>
      <c r="N9" s="2">
        <v>1764</v>
      </c>
      <c r="O9" s="5">
        <v>2436</v>
      </c>
      <c r="P9" s="5">
        <v>4200</v>
      </c>
      <c r="Q9" s="2">
        <v>0</v>
      </c>
      <c r="R9" s="5">
        <v>0</v>
      </c>
      <c r="S9" s="5">
        <v>0</v>
      </c>
      <c r="T9" s="5">
        <v>0</v>
      </c>
      <c r="U9" s="5">
        <v>0</v>
      </c>
      <c r="V9" s="5">
        <v>0</v>
      </c>
      <c r="W9" s="34">
        <f t="shared" si="1"/>
        <v>10248</v>
      </c>
      <c r="X9" s="36">
        <f t="shared" si="2"/>
        <v>14152</v>
      </c>
      <c r="Y9" s="36">
        <f t="shared" si="3"/>
        <v>24400</v>
      </c>
      <c r="Z9" s="29" t="s">
        <v>67</v>
      </c>
      <c r="AA9" s="30" t="s">
        <v>68</v>
      </c>
    </row>
    <row r="10" spans="1:28" ht="75" x14ac:dyDescent="0.3">
      <c r="A10" s="22" t="s">
        <v>18</v>
      </c>
      <c r="B10" s="2">
        <v>0</v>
      </c>
      <c r="C10" s="5">
        <v>0</v>
      </c>
      <c r="D10" s="5">
        <v>0</v>
      </c>
      <c r="E10" s="2">
        <v>0</v>
      </c>
      <c r="F10" s="5">
        <v>0</v>
      </c>
      <c r="G10" s="5">
        <v>0</v>
      </c>
      <c r="H10" s="2">
        <v>0</v>
      </c>
      <c r="I10" s="5">
        <v>0</v>
      </c>
      <c r="J10" s="5">
        <v>0</v>
      </c>
      <c r="K10" s="2">
        <v>0</v>
      </c>
      <c r="L10" s="5">
        <v>0</v>
      </c>
      <c r="M10" s="5">
        <v>0</v>
      </c>
      <c r="N10" s="2">
        <v>0</v>
      </c>
      <c r="O10" s="5">
        <v>0</v>
      </c>
      <c r="P10" s="5">
        <v>0</v>
      </c>
      <c r="Q10" s="2">
        <v>0</v>
      </c>
      <c r="R10" s="5">
        <v>0</v>
      </c>
      <c r="S10" s="5">
        <v>0</v>
      </c>
      <c r="T10" s="5">
        <v>0</v>
      </c>
      <c r="U10" s="5">
        <v>0</v>
      </c>
      <c r="V10" s="5">
        <v>0</v>
      </c>
      <c r="W10" s="34">
        <f t="shared" si="1"/>
        <v>0</v>
      </c>
      <c r="X10" s="36">
        <f t="shared" si="2"/>
        <v>0</v>
      </c>
      <c r="Y10" s="36">
        <f t="shared" si="3"/>
        <v>0</v>
      </c>
      <c r="Z10" s="29" t="s">
        <v>53</v>
      </c>
      <c r="AA10" s="32"/>
      <c r="AB10" s="4"/>
    </row>
    <row r="11" spans="1:28" ht="75" x14ac:dyDescent="0.3">
      <c r="A11" s="22" t="s">
        <v>19</v>
      </c>
      <c r="B11" s="2">
        <v>0</v>
      </c>
      <c r="C11" s="5">
        <v>0</v>
      </c>
      <c r="D11" s="5">
        <v>0</v>
      </c>
      <c r="E11" s="2">
        <v>0</v>
      </c>
      <c r="F11" s="5">
        <v>0</v>
      </c>
      <c r="G11" s="5">
        <v>0</v>
      </c>
      <c r="H11" s="2">
        <v>0</v>
      </c>
      <c r="I11" s="5">
        <v>0</v>
      </c>
      <c r="J11" s="5">
        <v>0</v>
      </c>
      <c r="K11" s="2">
        <v>0</v>
      </c>
      <c r="L11" s="5">
        <v>0</v>
      </c>
      <c r="M11" s="5">
        <v>0</v>
      </c>
      <c r="N11" s="2">
        <v>0</v>
      </c>
      <c r="O11" s="5">
        <v>0</v>
      </c>
      <c r="P11" s="5">
        <v>0</v>
      </c>
      <c r="Q11" s="2">
        <v>0</v>
      </c>
      <c r="R11" s="5">
        <v>0</v>
      </c>
      <c r="S11" s="5">
        <v>0</v>
      </c>
      <c r="T11" s="5">
        <v>0</v>
      </c>
      <c r="U11" s="5">
        <v>0</v>
      </c>
      <c r="V11" s="5">
        <v>0</v>
      </c>
      <c r="W11" s="34">
        <f t="shared" si="1"/>
        <v>0</v>
      </c>
      <c r="X11" s="36">
        <f t="shared" si="2"/>
        <v>0</v>
      </c>
      <c r="Y11" s="36">
        <f t="shared" si="3"/>
        <v>0</v>
      </c>
      <c r="Z11" s="29" t="s">
        <v>33</v>
      </c>
      <c r="AA11" s="32"/>
    </row>
    <row r="12" spans="1:28" ht="52.5" customHeight="1" x14ac:dyDescent="0.3">
      <c r="A12" s="22" t="s">
        <v>22</v>
      </c>
      <c r="B12" s="2">
        <v>0</v>
      </c>
      <c r="C12" s="5">
        <v>0</v>
      </c>
      <c r="D12" s="5">
        <v>0</v>
      </c>
      <c r="E12" s="2">
        <v>0</v>
      </c>
      <c r="F12" s="5">
        <v>0</v>
      </c>
      <c r="G12" s="5">
        <v>0</v>
      </c>
      <c r="H12" s="2">
        <v>0</v>
      </c>
      <c r="I12" s="5">
        <v>0</v>
      </c>
      <c r="J12" s="5">
        <v>0</v>
      </c>
      <c r="K12" s="2">
        <v>0</v>
      </c>
      <c r="L12" s="5">
        <v>0</v>
      </c>
      <c r="M12" s="5">
        <v>0</v>
      </c>
      <c r="N12" s="2">
        <v>0</v>
      </c>
      <c r="O12" s="5">
        <v>0</v>
      </c>
      <c r="P12" s="5">
        <v>0</v>
      </c>
      <c r="Q12" s="2">
        <v>0</v>
      </c>
      <c r="R12" s="5">
        <v>0</v>
      </c>
      <c r="S12" s="5">
        <v>0</v>
      </c>
      <c r="T12" s="5">
        <v>0</v>
      </c>
      <c r="U12" s="5">
        <v>0</v>
      </c>
      <c r="V12" s="5">
        <v>0</v>
      </c>
      <c r="W12" s="34">
        <f t="shared" si="1"/>
        <v>0</v>
      </c>
      <c r="X12" s="36">
        <f t="shared" si="2"/>
        <v>0</v>
      </c>
      <c r="Y12" s="36">
        <f t="shared" si="3"/>
        <v>0</v>
      </c>
      <c r="Z12" s="29" t="s">
        <v>66</v>
      </c>
      <c r="AA12" s="32"/>
    </row>
    <row r="13" spans="1:28" ht="25" x14ac:dyDescent="0.3">
      <c r="A13" s="14" t="s">
        <v>20</v>
      </c>
      <c r="B13" s="2">
        <v>0</v>
      </c>
      <c r="C13" s="5">
        <v>0</v>
      </c>
      <c r="D13" s="5">
        <v>0</v>
      </c>
      <c r="E13" s="2">
        <v>0</v>
      </c>
      <c r="F13" s="5">
        <v>0</v>
      </c>
      <c r="G13" s="5">
        <v>0</v>
      </c>
      <c r="H13" s="2">
        <v>0</v>
      </c>
      <c r="I13" s="5">
        <v>0</v>
      </c>
      <c r="J13" s="5">
        <v>0</v>
      </c>
      <c r="K13" s="2">
        <v>0</v>
      </c>
      <c r="L13" s="5">
        <v>0</v>
      </c>
      <c r="M13" s="5">
        <v>0</v>
      </c>
      <c r="N13" s="2">
        <f>P13*0.42</f>
        <v>46200</v>
      </c>
      <c r="O13" s="5">
        <f>P13*0.58</f>
        <v>63799.999999999993</v>
      </c>
      <c r="P13" s="5">
        <v>110000</v>
      </c>
      <c r="Q13" s="2">
        <v>0</v>
      </c>
      <c r="R13" s="5">
        <v>0</v>
      </c>
      <c r="S13" s="5">
        <v>0</v>
      </c>
      <c r="T13" s="5">
        <v>0</v>
      </c>
      <c r="U13" s="5">
        <v>0</v>
      </c>
      <c r="V13" s="5">
        <v>0</v>
      </c>
      <c r="W13" s="34">
        <f t="shared" si="1"/>
        <v>46200</v>
      </c>
      <c r="X13" s="36">
        <f t="shared" si="2"/>
        <v>63799.999999999993</v>
      </c>
      <c r="Y13" s="36">
        <f t="shared" si="3"/>
        <v>110000</v>
      </c>
      <c r="Z13" s="29" t="s">
        <v>34</v>
      </c>
      <c r="AA13" s="32"/>
    </row>
    <row r="14" spans="1:28" ht="78.5" customHeight="1" x14ac:dyDescent="0.3">
      <c r="A14" s="23" t="s">
        <v>23</v>
      </c>
      <c r="B14" s="2">
        <v>0</v>
      </c>
      <c r="C14" s="5">
        <v>0</v>
      </c>
      <c r="D14" s="5">
        <v>0</v>
      </c>
      <c r="E14" s="2">
        <v>0</v>
      </c>
      <c r="F14" s="5">
        <v>0</v>
      </c>
      <c r="G14" s="5">
        <v>0</v>
      </c>
      <c r="H14" s="2">
        <v>0</v>
      </c>
      <c r="I14" s="5">
        <v>0</v>
      </c>
      <c r="J14" s="5">
        <v>0</v>
      </c>
      <c r="K14" s="2">
        <v>0</v>
      </c>
      <c r="L14" s="5">
        <v>0</v>
      </c>
      <c r="M14" s="5">
        <v>0</v>
      </c>
      <c r="N14" s="2">
        <v>0</v>
      </c>
      <c r="O14" s="5">
        <v>0</v>
      </c>
      <c r="P14" s="5">
        <v>0</v>
      </c>
      <c r="Q14" s="2">
        <v>0</v>
      </c>
      <c r="R14" s="5">
        <v>0</v>
      </c>
      <c r="S14" s="5">
        <v>0</v>
      </c>
      <c r="T14" s="5">
        <v>0</v>
      </c>
      <c r="U14" s="5">
        <v>0</v>
      </c>
      <c r="V14" s="5">
        <v>0</v>
      </c>
      <c r="W14" s="34">
        <f t="shared" si="1"/>
        <v>0</v>
      </c>
      <c r="X14" s="36">
        <f t="shared" si="2"/>
        <v>0</v>
      </c>
      <c r="Y14" s="36">
        <f t="shared" si="3"/>
        <v>0</v>
      </c>
      <c r="Z14" s="29" t="s">
        <v>31</v>
      </c>
      <c r="AA14" s="32"/>
    </row>
    <row r="15" spans="1:28" ht="191" customHeight="1" x14ac:dyDescent="0.3">
      <c r="A15" s="14" t="s">
        <v>24</v>
      </c>
      <c r="B15" s="2">
        <f>0.42*D15</f>
        <v>0</v>
      </c>
      <c r="C15" s="5">
        <f>0.58*D15</f>
        <v>0</v>
      </c>
      <c r="D15" s="28">
        <f>15000+2849-17849</f>
        <v>0</v>
      </c>
      <c r="E15" s="2">
        <f>0.42*G15</f>
        <v>14620.199999999999</v>
      </c>
      <c r="F15" s="5">
        <f>0.58*G15</f>
        <v>20189.8</v>
      </c>
      <c r="G15" s="28">
        <f>16961+17849</f>
        <v>34810</v>
      </c>
      <c r="H15" s="2">
        <v>7540</v>
      </c>
      <c r="I15" s="5">
        <v>10412</v>
      </c>
      <c r="J15" s="5">
        <v>17952</v>
      </c>
      <c r="K15" s="2">
        <v>7976</v>
      </c>
      <c r="L15" s="5">
        <v>11015</v>
      </c>
      <c r="M15" s="5">
        <v>18991</v>
      </c>
      <c r="N15" s="2">
        <v>20403</v>
      </c>
      <c r="O15" s="5">
        <v>28176</v>
      </c>
      <c r="P15" s="5">
        <v>48579</v>
      </c>
      <c r="Q15" s="2">
        <v>0</v>
      </c>
      <c r="R15" s="5">
        <v>0</v>
      </c>
      <c r="S15" s="5">
        <v>0</v>
      </c>
      <c r="T15" s="5">
        <v>0</v>
      </c>
      <c r="U15" s="5">
        <v>0</v>
      </c>
      <c r="V15" s="5">
        <v>0</v>
      </c>
      <c r="W15" s="34">
        <f t="shared" si="1"/>
        <v>50539.199999999997</v>
      </c>
      <c r="X15" s="36">
        <f t="shared" si="2"/>
        <v>69792.800000000003</v>
      </c>
      <c r="Y15" s="36">
        <f t="shared" si="3"/>
        <v>120332</v>
      </c>
      <c r="Z15" s="29" t="s">
        <v>70</v>
      </c>
      <c r="AA15" s="30" t="s">
        <v>56</v>
      </c>
    </row>
    <row r="16" spans="1:28" ht="50" x14ac:dyDescent="0.3">
      <c r="A16" s="14" t="s">
        <v>16</v>
      </c>
      <c r="B16" s="2">
        <v>0</v>
      </c>
      <c r="C16" s="5">
        <v>0</v>
      </c>
      <c r="D16" s="28">
        <v>0</v>
      </c>
      <c r="E16" s="2">
        <v>1955</v>
      </c>
      <c r="F16" s="5">
        <v>2700</v>
      </c>
      <c r="G16" s="5">
        <v>4655</v>
      </c>
      <c r="H16" s="2">
        <v>2024</v>
      </c>
      <c r="I16" s="5">
        <v>2796</v>
      </c>
      <c r="J16" s="5">
        <v>4820</v>
      </c>
      <c r="K16" s="2">
        <v>2096</v>
      </c>
      <c r="L16" s="5">
        <v>2894</v>
      </c>
      <c r="M16" s="5">
        <v>4990</v>
      </c>
      <c r="N16" s="2">
        <v>2169</v>
      </c>
      <c r="O16" s="5">
        <v>2996</v>
      </c>
      <c r="P16" s="5">
        <v>5165</v>
      </c>
      <c r="Q16" s="2">
        <v>0</v>
      </c>
      <c r="R16" s="5">
        <v>0</v>
      </c>
      <c r="S16" s="5">
        <v>0</v>
      </c>
      <c r="T16" s="5">
        <v>0</v>
      </c>
      <c r="U16" s="5">
        <v>0</v>
      </c>
      <c r="V16" s="5">
        <v>0</v>
      </c>
      <c r="W16" s="34">
        <f t="shared" si="1"/>
        <v>8244</v>
      </c>
      <c r="X16" s="36">
        <f t="shared" si="2"/>
        <v>11386</v>
      </c>
      <c r="Y16" s="36">
        <f t="shared" si="3"/>
        <v>19630</v>
      </c>
      <c r="Z16" s="29" t="s">
        <v>64</v>
      </c>
      <c r="AA16" s="30" t="s">
        <v>60</v>
      </c>
    </row>
    <row r="17" spans="1:27" ht="75" x14ac:dyDescent="0.3">
      <c r="A17" s="23" t="s">
        <v>25</v>
      </c>
      <c r="B17" s="2">
        <v>0</v>
      </c>
      <c r="C17" s="5">
        <v>0</v>
      </c>
      <c r="D17" s="5">
        <v>0</v>
      </c>
      <c r="E17" s="2">
        <v>0</v>
      </c>
      <c r="F17" s="5">
        <v>0</v>
      </c>
      <c r="G17" s="5">
        <v>0</v>
      </c>
      <c r="H17" s="2">
        <v>0</v>
      </c>
      <c r="I17" s="5">
        <v>0</v>
      </c>
      <c r="J17" s="5">
        <v>0</v>
      </c>
      <c r="K17" s="2">
        <v>0</v>
      </c>
      <c r="L17" s="5">
        <v>0</v>
      </c>
      <c r="M17" s="5">
        <v>0</v>
      </c>
      <c r="N17" s="2">
        <v>0</v>
      </c>
      <c r="O17" s="5">
        <v>0</v>
      </c>
      <c r="P17" s="5">
        <v>0</v>
      </c>
      <c r="Q17" s="2">
        <v>0</v>
      </c>
      <c r="R17" s="5">
        <v>0</v>
      </c>
      <c r="S17" s="5">
        <v>0</v>
      </c>
      <c r="T17" s="5">
        <v>0</v>
      </c>
      <c r="U17" s="5">
        <v>0</v>
      </c>
      <c r="V17" s="5">
        <v>0</v>
      </c>
      <c r="W17" s="34">
        <f t="shared" si="1"/>
        <v>0</v>
      </c>
      <c r="X17" s="36">
        <f t="shared" si="2"/>
        <v>0</v>
      </c>
      <c r="Y17" s="36">
        <f t="shared" si="3"/>
        <v>0</v>
      </c>
      <c r="Z17" s="29" t="s">
        <v>32</v>
      </c>
      <c r="AA17" s="32"/>
    </row>
    <row r="18" spans="1:27" ht="200" x14ac:dyDescent="0.3">
      <c r="A18" s="14" t="s">
        <v>17</v>
      </c>
      <c r="B18" s="2">
        <v>20769</v>
      </c>
      <c r="C18" s="5">
        <v>28681</v>
      </c>
      <c r="D18" s="5">
        <v>49450</v>
      </c>
      <c r="E18" s="2">
        <f>0.42*G18</f>
        <v>23593.919999999998</v>
      </c>
      <c r="F18" s="5">
        <f>0.58*G18</f>
        <v>32582.079999999998</v>
      </c>
      <c r="G18" s="28">
        <f>51676+4500</f>
        <v>56176</v>
      </c>
      <c r="H18" s="2">
        <v>22681</v>
      </c>
      <c r="I18" s="5">
        <v>31321</v>
      </c>
      <c r="J18" s="5">
        <v>54002</v>
      </c>
      <c r="K18" s="2">
        <v>23702</v>
      </c>
      <c r="L18" s="5">
        <v>32731</v>
      </c>
      <c r="M18" s="5">
        <v>56433</v>
      </c>
      <c r="N18" s="2">
        <v>24769</v>
      </c>
      <c r="O18" s="5">
        <v>34204</v>
      </c>
      <c r="P18" s="5">
        <v>58973</v>
      </c>
      <c r="Q18" s="2">
        <v>0</v>
      </c>
      <c r="R18" s="5">
        <v>0</v>
      </c>
      <c r="S18" s="5">
        <v>0</v>
      </c>
      <c r="T18" s="5">
        <v>0</v>
      </c>
      <c r="U18" s="5">
        <v>0</v>
      </c>
      <c r="V18" s="5">
        <v>0</v>
      </c>
      <c r="W18" s="34">
        <f t="shared" si="1"/>
        <v>115514.92</v>
      </c>
      <c r="X18" s="36">
        <f t="shared" si="2"/>
        <v>159519.08000000002</v>
      </c>
      <c r="Y18" s="36">
        <f t="shared" si="3"/>
        <v>275034</v>
      </c>
      <c r="Z18" s="29" t="s">
        <v>38</v>
      </c>
      <c r="AA18" s="30" t="s">
        <v>60</v>
      </c>
    </row>
    <row r="19" spans="1:27" x14ac:dyDescent="0.3">
      <c r="A19" s="15" t="s">
        <v>11</v>
      </c>
      <c r="B19" s="2">
        <f t="shared" ref="B19:V19" si="4">SUM(B20)</f>
        <v>0</v>
      </c>
      <c r="C19" s="2">
        <f t="shared" si="4"/>
        <v>0</v>
      </c>
      <c r="D19" s="2">
        <f t="shared" si="4"/>
        <v>0</v>
      </c>
      <c r="E19" s="2">
        <f t="shared" si="4"/>
        <v>10842.3</v>
      </c>
      <c r="F19" s="2">
        <f t="shared" si="4"/>
        <v>14972.699999999999</v>
      </c>
      <c r="G19" s="2">
        <f t="shared" si="4"/>
        <v>25815</v>
      </c>
      <c r="H19" s="2">
        <f t="shared" si="4"/>
        <v>7711</v>
      </c>
      <c r="I19" s="2">
        <f t="shared" si="4"/>
        <v>10649</v>
      </c>
      <c r="J19" s="2">
        <f t="shared" si="4"/>
        <v>18360</v>
      </c>
      <c r="K19" s="2">
        <f t="shared" si="4"/>
        <v>8097</v>
      </c>
      <c r="L19" s="2">
        <f t="shared" si="4"/>
        <v>11181</v>
      </c>
      <c r="M19" s="2">
        <f t="shared" si="4"/>
        <v>19278</v>
      </c>
      <c r="N19" s="2">
        <f t="shared" si="4"/>
        <v>8502</v>
      </c>
      <c r="O19" s="2">
        <f t="shared" si="4"/>
        <v>11740</v>
      </c>
      <c r="P19" s="2">
        <f t="shared" si="4"/>
        <v>20242</v>
      </c>
      <c r="Q19" s="2">
        <f t="shared" si="4"/>
        <v>0</v>
      </c>
      <c r="R19" s="2">
        <f t="shared" si="4"/>
        <v>0</v>
      </c>
      <c r="S19" s="2">
        <f t="shared" si="4"/>
        <v>0</v>
      </c>
      <c r="T19" s="2">
        <f t="shared" si="4"/>
        <v>0</v>
      </c>
      <c r="U19" s="2">
        <f t="shared" si="4"/>
        <v>0</v>
      </c>
      <c r="V19" s="2">
        <f t="shared" si="4"/>
        <v>0</v>
      </c>
      <c r="W19" s="34">
        <f t="shared" si="1"/>
        <v>35152.300000000003</v>
      </c>
      <c r="X19" s="34">
        <f t="shared" si="2"/>
        <v>48542.7</v>
      </c>
      <c r="Y19" s="34">
        <f t="shared" si="3"/>
        <v>83695</v>
      </c>
      <c r="Z19" s="29"/>
      <c r="AA19" s="32"/>
    </row>
    <row r="20" spans="1:27" ht="87.5" x14ac:dyDescent="0.3">
      <c r="A20" s="14" t="s">
        <v>27</v>
      </c>
      <c r="B20" s="2">
        <f>0.42*D20</f>
        <v>0</v>
      </c>
      <c r="C20" s="5">
        <f>0.58*D20</f>
        <v>0</v>
      </c>
      <c r="D20" s="28">
        <f>8330-8330</f>
        <v>0</v>
      </c>
      <c r="E20" s="2">
        <f>0.42*G20</f>
        <v>10842.3</v>
      </c>
      <c r="F20" s="5">
        <f>0.58*G20</f>
        <v>14972.699999999999</v>
      </c>
      <c r="G20" s="28">
        <f>17485+8330</f>
        <v>25815</v>
      </c>
      <c r="H20" s="2">
        <v>7711</v>
      </c>
      <c r="I20" s="5">
        <v>10649</v>
      </c>
      <c r="J20" s="5">
        <v>18360</v>
      </c>
      <c r="K20" s="2">
        <v>8097</v>
      </c>
      <c r="L20" s="5">
        <v>11181</v>
      </c>
      <c r="M20" s="5">
        <v>19278</v>
      </c>
      <c r="N20" s="2">
        <v>8502</v>
      </c>
      <c r="O20" s="5">
        <v>11740</v>
      </c>
      <c r="P20" s="5">
        <v>20242</v>
      </c>
      <c r="Q20" s="2">
        <v>0</v>
      </c>
      <c r="R20" s="5">
        <v>0</v>
      </c>
      <c r="S20" s="5">
        <v>0</v>
      </c>
      <c r="T20" s="5">
        <v>0</v>
      </c>
      <c r="U20" s="5">
        <v>0</v>
      </c>
      <c r="V20" s="5">
        <v>0</v>
      </c>
      <c r="W20" s="34">
        <f t="shared" si="1"/>
        <v>35152.300000000003</v>
      </c>
      <c r="X20" s="34">
        <f t="shared" si="2"/>
        <v>48542.7</v>
      </c>
      <c r="Y20" s="34">
        <f t="shared" si="3"/>
        <v>83695</v>
      </c>
      <c r="Z20" s="29" t="s">
        <v>65</v>
      </c>
      <c r="AA20" s="32" t="s">
        <v>57</v>
      </c>
    </row>
    <row r="21" spans="1:27" x14ac:dyDescent="0.3">
      <c r="A21" s="16" t="s">
        <v>3</v>
      </c>
      <c r="B21" s="2">
        <f t="shared" ref="B21:V21" si="5">SUM(B22:B23)</f>
        <v>4201.26</v>
      </c>
      <c r="C21" s="2">
        <f t="shared" si="5"/>
        <v>5801.74</v>
      </c>
      <c r="D21" s="2">
        <f t="shared" si="5"/>
        <v>10003</v>
      </c>
      <c r="E21" s="2">
        <f t="shared" si="5"/>
        <v>18053.28</v>
      </c>
      <c r="F21" s="2">
        <f t="shared" si="5"/>
        <v>24930.719999999998</v>
      </c>
      <c r="G21" s="2">
        <f t="shared" si="5"/>
        <v>42984</v>
      </c>
      <c r="H21" s="2">
        <f t="shared" si="5"/>
        <v>16310</v>
      </c>
      <c r="I21" s="2">
        <f t="shared" si="5"/>
        <v>22523</v>
      </c>
      <c r="J21" s="2">
        <f t="shared" si="5"/>
        <v>38833</v>
      </c>
      <c r="K21" s="2">
        <f t="shared" si="5"/>
        <v>17125</v>
      </c>
      <c r="L21" s="2">
        <f t="shared" si="5"/>
        <v>23651</v>
      </c>
      <c r="M21" s="2">
        <f t="shared" si="5"/>
        <v>40776</v>
      </c>
      <c r="N21" s="2">
        <f t="shared" si="5"/>
        <v>17982</v>
      </c>
      <c r="O21" s="2">
        <f t="shared" si="5"/>
        <v>24832</v>
      </c>
      <c r="P21" s="2">
        <f t="shared" si="5"/>
        <v>42814</v>
      </c>
      <c r="Q21" s="2">
        <f t="shared" si="5"/>
        <v>0</v>
      </c>
      <c r="R21" s="2">
        <f t="shared" si="5"/>
        <v>0</v>
      </c>
      <c r="S21" s="2">
        <f t="shared" si="5"/>
        <v>0</v>
      </c>
      <c r="T21" s="2">
        <f t="shared" si="5"/>
        <v>0</v>
      </c>
      <c r="U21" s="2">
        <f t="shared" si="5"/>
        <v>0</v>
      </c>
      <c r="V21" s="2">
        <f t="shared" si="5"/>
        <v>0</v>
      </c>
      <c r="W21" s="34">
        <f t="shared" si="1"/>
        <v>73671.540000000008</v>
      </c>
      <c r="X21" s="34">
        <f t="shared" si="2"/>
        <v>101738.45999999999</v>
      </c>
      <c r="Y21" s="34">
        <f t="shared" si="3"/>
        <v>175410</v>
      </c>
      <c r="Z21" s="29"/>
      <c r="AA21" s="32"/>
    </row>
    <row r="22" spans="1:27" ht="143.5" customHeight="1" x14ac:dyDescent="0.3">
      <c r="A22" s="26" t="s">
        <v>45</v>
      </c>
      <c r="B22" s="2">
        <f>0.42*D22</f>
        <v>0</v>
      </c>
      <c r="C22" s="2">
        <f>0.58*D22</f>
        <v>0</v>
      </c>
      <c r="D22" s="2">
        <v>0</v>
      </c>
      <c r="E22" s="39">
        <f>0.42*G22</f>
        <v>840</v>
      </c>
      <c r="F22" s="28">
        <f>0.58*G22</f>
        <v>1160</v>
      </c>
      <c r="G22" s="28">
        <v>2000</v>
      </c>
      <c r="H22" s="2">
        <f>0.42*J22</f>
        <v>0</v>
      </c>
      <c r="I22" s="5">
        <f>0.58*J22</f>
        <v>0</v>
      </c>
      <c r="J22" s="5">
        <v>0</v>
      </c>
      <c r="K22" s="2">
        <f>0.42*M22</f>
        <v>0</v>
      </c>
      <c r="L22" s="5">
        <f>0.58*M22</f>
        <v>0</v>
      </c>
      <c r="M22" s="5">
        <v>0</v>
      </c>
      <c r="N22" s="2">
        <f>0.42*P22</f>
        <v>0</v>
      </c>
      <c r="O22" s="5">
        <f>0.58*P22</f>
        <v>0</v>
      </c>
      <c r="P22" s="5">
        <v>0</v>
      </c>
      <c r="Q22" s="2">
        <f>0.42*S22</f>
        <v>0</v>
      </c>
      <c r="R22" s="5">
        <f>0.58*S22</f>
        <v>0</v>
      </c>
      <c r="S22" s="5">
        <v>0</v>
      </c>
      <c r="T22" s="2">
        <f>0.42*V22</f>
        <v>0</v>
      </c>
      <c r="U22" s="5">
        <f>0.58*V22</f>
        <v>0</v>
      </c>
      <c r="V22" s="5">
        <v>0</v>
      </c>
      <c r="W22" s="34">
        <f t="shared" si="1"/>
        <v>840</v>
      </c>
      <c r="X22" s="34">
        <f t="shared" si="2"/>
        <v>1160</v>
      </c>
      <c r="Y22" s="34">
        <f t="shared" si="3"/>
        <v>2000</v>
      </c>
      <c r="Z22" s="41" t="s">
        <v>69</v>
      </c>
      <c r="AA22" s="30" t="s">
        <v>61</v>
      </c>
    </row>
    <row r="23" spans="1:27" ht="100.5" customHeight="1" x14ac:dyDescent="0.3">
      <c r="A23" s="14" t="s">
        <v>28</v>
      </c>
      <c r="B23" s="2">
        <f>0.42*D23</f>
        <v>4201.26</v>
      </c>
      <c r="C23" s="5">
        <f>0.58*D23</f>
        <v>5801.74</v>
      </c>
      <c r="D23" s="28">
        <f>16003-6000</f>
        <v>10003</v>
      </c>
      <c r="E23" s="2">
        <f>0.42*G23</f>
        <v>17213.28</v>
      </c>
      <c r="F23" s="5">
        <f>0.58*G23</f>
        <v>23770.719999999998</v>
      </c>
      <c r="G23" s="28">
        <f>36984+4000</f>
        <v>40984</v>
      </c>
      <c r="H23" s="2">
        <v>16310</v>
      </c>
      <c r="I23" s="5">
        <v>22523</v>
      </c>
      <c r="J23" s="5">
        <v>38833</v>
      </c>
      <c r="K23" s="2">
        <v>17125</v>
      </c>
      <c r="L23" s="5">
        <v>23651</v>
      </c>
      <c r="M23" s="5">
        <v>40776</v>
      </c>
      <c r="N23" s="2">
        <v>17982</v>
      </c>
      <c r="O23" s="5">
        <v>24832</v>
      </c>
      <c r="P23" s="5">
        <v>42814</v>
      </c>
      <c r="Q23" s="2">
        <v>0</v>
      </c>
      <c r="R23" s="5">
        <v>0</v>
      </c>
      <c r="S23" s="5">
        <v>0</v>
      </c>
      <c r="T23" s="5">
        <v>0</v>
      </c>
      <c r="U23" s="5">
        <v>0</v>
      </c>
      <c r="V23" s="5">
        <v>0</v>
      </c>
      <c r="W23" s="17">
        <f t="shared" si="1"/>
        <v>72831.540000000008</v>
      </c>
      <c r="X23" s="18">
        <f t="shared" si="2"/>
        <v>100578.45999999999</v>
      </c>
      <c r="Y23" s="18">
        <f t="shared" si="3"/>
        <v>173410</v>
      </c>
      <c r="Z23" s="20" t="s">
        <v>62</v>
      </c>
      <c r="AA23" s="30" t="s">
        <v>54</v>
      </c>
    </row>
    <row r="24" spans="1:27" ht="25.5" x14ac:dyDescent="0.3">
      <c r="A24" s="15" t="s">
        <v>43</v>
      </c>
      <c r="B24" s="2">
        <f>0.42*D24</f>
        <v>1260</v>
      </c>
      <c r="C24" s="2">
        <f>0.58*D24</f>
        <v>1739.9999999999998</v>
      </c>
      <c r="D24" s="39">
        <f>5460*100/42-10000</f>
        <v>3000</v>
      </c>
      <c r="E24" s="2">
        <f>0.42*G24</f>
        <v>9660</v>
      </c>
      <c r="F24" s="2">
        <f>0.58*G24</f>
        <v>13339.999999999998</v>
      </c>
      <c r="G24" s="39">
        <f>5460*100/42+10000</f>
        <v>23000</v>
      </c>
      <c r="H24" s="2">
        <v>5460</v>
      </c>
      <c r="I24" s="2">
        <v>7540</v>
      </c>
      <c r="J24" s="2">
        <f>5460*100/42</f>
        <v>13000</v>
      </c>
      <c r="K24" s="2">
        <v>5460</v>
      </c>
      <c r="L24" s="2">
        <v>7540</v>
      </c>
      <c r="M24" s="2">
        <f>5460*100/42</f>
        <v>13000</v>
      </c>
      <c r="N24" s="2">
        <v>5460</v>
      </c>
      <c r="O24" s="2">
        <v>7540</v>
      </c>
      <c r="P24" s="2">
        <f>5460*100/42</f>
        <v>13000</v>
      </c>
      <c r="Q24" s="2">
        <v>0</v>
      </c>
      <c r="R24" s="2">
        <v>0</v>
      </c>
      <c r="S24" s="2">
        <v>0</v>
      </c>
      <c r="T24" s="2">
        <v>0</v>
      </c>
      <c r="U24" s="2">
        <v>0</v>
      </c>
      <c r="V24" s="2">
        <v>0</v>
      </c>
      <c r="W24" s="17">
        <f t="shared" si="1"/>
        <v>27300</v>
      </c>
      <c r="X24" s="17">
        <f t="shared" si="2"/>
        <v>37700</v>
      </c>
      <c r="Y24" s="17">
        <f t="shared" si="3"/>
        <v>65000</v>
      </c>
      <c r="Z24" s="25" t="s">
        <v>44</v>
      </c>
      <c r="AA24" s="31" t="s">
        <v>55</v>
      </c>
    </row>
    <row r="25" spans="1:27" x14ac:dyDescent="0.3">
      <c r="A25" s="12" t="s">
        <v>0</v>
      </c>
      <c r="B25" s="6">
        <f t="shared" ref="B25:V25" si="6">B5+B19+B21+B24</f>
        <v>29170.260000000002</v>
      </c>
      <c r="C25" s="6">
        <f t="shared" si="6"/>
        <v>40282.74</v>
      </c>
      <c r="D25" s="6">
        <f t="shared" si="6"/>
        <v>69453</v>
      </c>
      <c r="E25" s="6">
        <f t="shared" si="6"/>
        <v>87208.7</v>
      </c>
      <c r="F25" s="6">
        <f t="shared" si="6"/>
        <v>120431.3</v>
      </c>
      <c r="G25" s="6">
        <f t="shared" si="6"/>
        <v>207640</v>
      </c>
      <c r="H25" s="6">
        <f t="shared" si="6"/>
        <v>69580</v>
      </c>
      <c r="I25" s="6">
        <f t="shared" si="6"/>
        <v>96087</v>
      </c>
      <c r="J25" s="6">
        <f t="shared" si="6"/>
        <v>165667</v>
      </c>
      <c r="K25" s="6">
        <f t="shared" si="6"/>
        <v>71352</v>
      </c>
      <c r="L25" s="6">
        <f t="shared" si="6"/>
        <v>98536</v>
      </c>
      <c r="M25" s="6">
        <f t="shared" si="6"/>
        <v>169888</v>
      </c>
      <c r="N25" s="6">
        <f t="shared" si="6"/>
        <v>132688</v>
      </c>
      <c r="O25" s="6">
        <f t="shared" si="6"/>
        <v>183235</v>
      </c>
      <c r="P25" s="6">
        <f t="shared" si="6"/>
        <v>315923</v>
      </c>
      <c r="Q25" s="6">
        <f t="shared" si="6"/>
        <v>0</v>
      </c>
      <c r="R25" s="6">
        <f t="shared" si="6"/>
        <v>0</v>
      </c>
      <c r="S25" s="6">
        <f t="shared" si="6"/>
        <v>0</v>
      </c>
      <c r="T25" s="6">
        <f t="shared" si="6"/>
        <v>0</v>
      </c>
      <c r="U25" s="6">
        <f t="shared" si="6"/>
        <v>0</v>
      </c>
      <c r="V25" s="6">
        <f t="shared" si="6"/>
        <v>0</v>
      </c>
      <c r="W25" s="6">
        <f t="shared" si="1"/>
        <v>389998.95999999996</v>
      </c>
      <c r="X25" s="6">
        <f t="shared" si="2"/>
        <v>538572.04</v>
      </c>
      <c r="Y25" s="6">
        <f t="shared" si="3"/>
        <v>928571</v>
      </c>
      <c r="Z25" s="20"/>
      <c r="AA25" s="31"/>
    </row>
    <row r="30" spans="1:27" x14ac:dyDescent="0.3">
      <c r="C30" s="8"/>
      <c r="D30" s="8"/>
      <c r="F30" s="8"/>
    </row>
    <row r="33" spans="1:6" x14ac:dyDescent="0.3">
      <c r="B33" s="9"/>
      <c r="C33" s="7"/>
      <c r="D33" s="7"/>
      <c r="E33" s="9"/>
      <c r="F33" s="7"/>
    </row>
    <row r="34" spans="1:6" x14ac:dyDescent="0.3">
      <c r="B34" s="9"/>
      <c r="C34" s="7"/>
      <c r="D34" s="7"/>
      <c r="E34" s="9"/>
      <c r="F34" s="7"/>
    </row>
    <row r="35" spans="1:6" x14ac:dyDescent="0.3">
      <c r="B35" s="9"/>
      <c r="C35" s="9"/>
      <c r="D35" s="9"/>
      <c r="E35" s="9"/>
      <c r="F35" s="9"/>
    </row>
    <row r="37" spans="1:6" x14ac:dyDescent="0.3">
      <c r="A37" s="13"/>
    </row>
  </sheetData>
  <mergeCells count="10">
    <mergeCell ref="A2:Y2"/>
    <mergeCell ref="A3:A4"/>
    <mergeCell ref="B3:D3"/>
    <mergeCell ref="E3:G3"/>
    <mergeCell ref="H3:J3"/>
    <mergeCell ref="K3:M3"/>
    <mergeCell ref="N3:P3"/>
    <mergeCell ref="Q3:S3"/>
    <mergeCell ref="T3:V3"/>
    <mergeCell ref="W3:Y3"/>
  </mergeCell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786B-EA1C-4AC8-A9EA-EE00BBBB46F5}">
  <dimension ref="A2:AB37"/>
  <sheetViews>
    <sheetView zoomScale="80" zoomScaleNormal="80" workbookViewId="0">
      <pane xSplit="1" ySplit="4" topLeftCell="B5" activePane="bottomRight" state="frozen"/>
      <selection pane="topRight" activeCell="B1" sqref="B1"/>
      <selection pane="bottomLeft" activeCell="A5" sqref="A5"/>
      <selection pane="bottomRight" activeCell="A2" sqref="A2:Y2"/>
    </sheetView>
  </sheetViews>
  <sheetFormatPr defaultColWidth="9.1796875" defaultRowHeight="13" outlineLevelCol="1" x14ac:dyDescent="0.3"/>
  <cols>
    <col min="1" max="1" width="46" style="4" customWidth="1"/>
    <col min="2" max="2" width="12.81640625" style="8" customWidth="1" outlineLevel="1"/>
    <col min="3" max="4" width="12.81640625" style="1" customWidth="1" outlineLevel="1"/>
    <col min="5" max="5" width="12.81640625" style="8" customWidth="1" outlineLevel="1"/>
    <col min="6" max="7" width="12.81640625" style="1" customWidth="1" outlineLevel="1"/>
    <col min="8" max="8" width="12.81640625" style="8" customWidth="1" outlineLevel="1"/>
    <col min="9" max="10" width="12.81640625" style="1" customWidth="1" outlineLevel="1"/>
    <col min="11" max="11" width="12.81640625" style="8" customWidth="1" outlineLevel="1"/>
    <col min="12" max="13" width="12.81640625" style="1" customWidth="1" outlineLevel="1"/>
    <col min="14" max="14" width="12.81640625" style="8" customWidth="1" outlineLevel="1"/>
    <col min="15" max="16" width="12.81640625" style="1" customWidth="1" outlineLevel="1"/>
    <col min="17" max="17" width="12.81640625" style="8" customWidth="1" outlineLevel="1"/>
    <col min="18" max="22" width="12.81640625" style="1" customWidth="1" outlineLevel="1"/>
    <col min="23" max="23" width="12.81640625" style="8" customWidth="1"/>
    <col min="24" max="25" width="12.81640625" style="1" customWidth="1"/>
    <col min="26" max="26" width="80.453125" style="1" customWidth="1"/>
    <col min="27" max="27" width="70.08984375" style="1" customWidth="1"/>
    <col min="28" max="30" width="9.1796875" style="1"/>
    <col min="31" max="31" width="1.1796875" style="1" customWidth="1"/>
    <col min="32" max="32" width="3.26953125" style="1" customWidth="1"/>
    <col min="33" max="16384" width="9.1796875" style="1"/>
  </cols>
  <sheetData>
    <row r="2" spans="1:28" ht="14.5" x14ac:dyDescent="0.35">
      <c r="A2" s="78" t="s">
        <v>84</v>
      </c>
      <c r="B2" s="79"/>
      <c r="C2" s="79"/>
      <c r="D2" s="79"/>
      <c r="E2" s="79"/>
      <c r="F2" s="79"/>
      <c r="G2" s="79"/>
      <c r="H2" s="79"/>
      <c r="I2" s="79"/>
      <c r="J2" s="79"/>
      <c r="K2" s="79"/>
      <c r="L2" s="79"/>
      <c r="M2" s="79"/>
      <c r="N2" s="79"/>
      <c r="O2" s="79"/>
      <c r="P2" s="79"/>
      <c r="Q2" s="79"/>
      <c r="R2" s="79"/>
      <c r="S2" s="79"/>
      <c r="T2" s="79"/>
      <c r="U2" s="79"/>
      <c r="V2" s="79"/>
      <c r="W2" s="79"/>
      <c r="X2" s="79"/>
      <c r="Y2" s="79"/>
      <c r="Z2" s="42"/>
      <c r="AA2" s="42"/>
    </row>
    <row r="3" spans="1:28" x14ac:dyDescent="0.3">
      <c r="A3" s="89" t="s">
        <v>1</v>
      </c>
      <c r="B3" s="91">
        <v>2023</v>
      </c>
      <c r="C3" s="92"/>
      <c r="D3" s="93"/>
      <c r="E3" s="91">
        <v>2024</v>
      </c>
      <c r="F3" s="92"/>
      <c r="G3" s="93"/>
      <c r="H3" s="91">
        <v>2025</v>
      </c>
      <c r="I3" s="92"/>
      <c r="J3" s="93"/>
      <c r="K3" s="91">
        <v>2026</v>
      </c>
      <c r="L3" s="92"/>
      <c r="M3" s="93"/>
      <c r="N3" s="91">
        <v>2027</v>
      </c>
      <c r="O3" s="92"/>
      <c r="P3" s="93"/>
      <c r="Q3" s="91">
        <v>2028</v>
      </c>
      <c r="R3" s="92"/>
      <c r="S3" s="93"/>
      <c r="T3" s="91">
        <v>2029</v>
      </c>
      <c r="U3" s="92"/>
      <c r="V3" s="93"/>
      <c r="W3" s="94" t="s">
        <v>29</v>
      </c>
      <c r="X3" s="95"/>
      <c r="Y3" s="96"/>
      <c r="Z3" s="43"/>
      <c r="AA3" s="44"/>
    </row>
    <row r="4" spans="1:28" s="4" customFormat="1" ht="35.5" customHeight="1" x14ac:dyDescent="0.3">
      <c r="A4" s="90"/>
      <c r="B4" s="45" t="s">
        <v>7</v>
      </c>
      <c r="C4" s="45" t="s">
        <v>8</v>
      </c>
      <c r="D4" s="45" t="s">
        <v>4</v>
      </c>
      <c r="E4" s="45" t="s">
        <v>7</v>
      </c>
      <c r="F4" s="45" t="s">
        <v>8</v>
      </c>
      <c r="G4" s="45" t="s">
        <v>5</v>
      </c>
      <c r="H4" s="45" t="s">
        <v>7</v>
      </c>
      <c r="I4" s="45" t="s">
        <v>8</v>
      </c>
      <c r="J4" s="45" t="s">
        <v>6</v>
      </c>
      <c r="K4" s="45" t="s">
        <v>7</v>
      </c>
      <c r="L4" s="45" t="s">
        <v>8</v>
      </c>
      <c r="M4" s="45" t="s">
        <v>9</v>
      </c>
      <c r="N4" s="45" t="s">
        <v>7</v>
      </c>
      <c r="O4" s="45" t="s">
        <v>8</v>
      </c>
      <c r="P4" s="45" t="s">
        <v>10</v>
      </c>
      <c r="Q4" s="45" t="s">
        <v>7</v>
      </c>
      <c r="R4" s="45" t="s">
        <v>8</v>
      </c>
      <c r="S4" s="45" t="s">
        <v>12</v>
      </c>
      <c r="T4" s="45" t="s">
        <v>7</v>
      </c>
      <c r="U4" s="45" t="s">
        <v>8</v>
      </c>
      <c r="V4" s="45" t="s">
        <v>13</v>
      </c>
      <c r="W4" s="46" t="s">
        <v>7</v>
      </c>
      <c r="X4" s="46" t="s">
        <v>8</v>
      </c>
      <c r="Y4" s="45" t="s">
        <v>30</v>
      </c>
      <c r="Z4" s="47" t="s">
        <v>26</v>
      </c>
      <c r="AA4" s="48" t="s">
        <v>51</v>
      </c>
    </row>
    <row r="5" spans="1:28" x14ac:dyDescent="0.3">
      <c r="A5" s="48" t="s">
        <v>2</v>
      </c>
      <c r="B5" s="62">
        <f>SUM(B6:B18)</f>
        <v>19740</v>
      </c>
      <c r="C5" s="62">
        <f>SUM(C6:C18)</f>
        <v>27260</v>
      </c>
      <c r="D5" s="62">
        <f>SUM(D6:D18)</f>
        <v>47000</v>
      </c>
      <c r="E5" s="58">
        <f t="shared" ref="E5:V5" si="0">SUM(E6:E18)</f>
        <v>25693.919999999998</v>
      </c>
      <c r="F5" s="58">
        <f t="shared" si="0"/>
        <v>35482.080000000002</v>
      </c>
      <c r="G5" s="58">
        <f t="shared" si="0"/>
        <v>61176</v>
      </c>
      <c r="H5" s="58">
        <f t="shared" si="0"/>
        <v>47323.08</v>
      </c>
      <c r="I5" s="58">
        <f t="shared" si="0"/>
        <v>65350.92</v>
      </c>
      <c r="J5" s="58">
        <f t="shared" si="0"/>
        <v>112674</v>
      </c>
      <c r="K5" s="58">
        <f t="shared" si="0"/>
        <v>40670</v>
      </c>
      <c r="L5" s="58">
        <f t="shared" si="0"/>
        <v>56164</v>
      </c>
      <c r="M5" s="58">
        <f t="shared" si="0"/>
        <v>96834</v>
      </c>
      <c r="N5" s="58">
        <f t="shared" si="0"/>
        <v>100744</v>
      </c>
      <c r="O5" s="58">
        <f t="shared" si="0"/>
        <v>139123</v>
      </c>
      <c r="P5" s="58">
        <f t="shared" si="0"/>
        <v>239867</v>
      </c>
      <c r="Q5" s="58">
        <f t="shared" si="0"/>
        <v>19704.3</v>
      </c>
      <c r="R5" s="58">
        <f t="shared" si="0"/>
        <v>27210.699999999997</v>
      </c>
      <c r="S5" s="58">
        <f t="shared" si="0"/>
        <v>46915</v>
      </c>
      <c r="T5" s="58">
        <f t="shared" si="0"/>
        <v>0</v>
      </c>
      <c r="U5" s="58">
        <f t="shared" si="0"/>
        <v>0</v>
      </c>
      <c r="V5" s="58">
        <f t="shared" si="0"/>
        <v>0</v>
      </c>
      <c r="W5" s="67">
        <f t="shared" ref="W5:X22" si="1">B5+E5+H5+K5+N5+Q5+T5</f>
        <v>253875.3</v>
      </c>
      <c r="X5" s="67">
        <f t="shared" si="1"/>
        <v>350590.7</v>
      </c>
      <c r="Y5" s="67">
        <f>W5+X5</f>
        <v>604466</v>
      </c>
      <c r="Z5" s="35"/>
      <c r="AA5" s="44"/>
    </row>
    <row r="6" spans="1:28" ht="147" customHeight="1" x14ac:dyDescent="0.3">
      <c r="A6" s="49" t="s">
        <v>14</v>
      </c>
      <c r="B6" s="62">
        <f>ROUND(0.42*D6,2)</f>
        <v>2940</v>
      </c>
      <c r="C6" s="63">
        <f>ROUND(0.58*D6,2)</f>
        <v>4060</v>
      </c>
      <c r="D6" s="63">
        <f>7000</f>
        <v>7000</v>
      </c>
      <c r="E6" s="58">
        <f>ROUND(0.42*G6,2)</f>
        <v>1260</v>
      </c>
      <c r="F6" s="59">
        <f>ROUND(0.58*G6,2)</f>
        <v>1740</v>
      </c>
      <c r="G6" s="60">
        <f>13700-10700</f>
        <v>3000</v>
      </c>
      <c r="H6" s="58">
        <f>ROUND(0.42*J6,2)</f>
        <v>12251.4</v>
      </c>
      <c r="I6" s="59">
        <f>ROUND(0.58*J6,2)</f>
        <v>16918.599999999999</v>
      </c>
      <c r="J6" s="60">
        <f>11970+10700+6500</f>
        <v>29170</v>
      </c>
      <c r="K6" s="58">
        <v>3969</v>
      </c>
      <c r="L6" s="59">
        <v>5481</v>
      </c>
      <c r="M6" s="59">
        <v>9450</v>
      </c>
      <c r="N6" s="58">
        <v>5439</v>
      </c>
      <c r="O6" s="59">
        <v>7511</v>
      </c>
      <c r="P6" s="59">
        <v>12950</v>
      </c>
      <c r="Q6" s="58">
        <f>0.42*S6</f>
        <v>0</v>
      </c>
      <c r="R6" s="59">
        <v>0</v>
      </c>
      <c r="S6" s="59">
        <v>0</v>
      </c>
      <c r="T6" s="59">
        <v>0</v>
      </c>
      <c r="U6" s="59">
        <v>0</v>
      </c>
      <c r="V6" s="59">
        <v>0</v>
      </c>
      <c r="W6" s="67">
        <f>B6+E6+H6+K6+N6+Q6+T6</f>
        <v>25859.4</v>
      </c>
      <c r="X6" s="68">
        <f t="shared" si="1"/>
        <v>35710.6</v>
      </c>
      <c r="Y6" s="68">
        <f>W6+X6</f>
        <v>61570</v>
      </c>
      <c r="Z6" s="35" t="s">
        <v>87</v>
      </c>
      <c r="AA6" s="30" t="s">
        <v>88</v>
      </c>
    </row>
    <row r="7" spans="1:28" ht="45" customHeight="1" x14ac:dyDescent="0.3">
      <c r="A7" s="50" t="s">
        <v>71</v>
      </c>
      <c r="B7" s="62">
        <v>0</v>
      </c>
      <c r="C7" s="63">
        <v>0</v>
      </c>
      <c r="D7" s="63">
        <v>0</v>
      </c>
      <c r="E7" s="58">
        <v>0</v>
      </c>
      <c r="F7" s="59">
        <v>0</v>
      </c>
      <c r="G7" s="59">
        <v>0</v>
      </c>
      <c r="H7" s="58">
        <v>0</v>
      </c>
      <c r="I7" s="59">
        <v>0</v>
      </c>
      <c r="J7" s="59">
        <v>0</v>
      </c>
      <c r="K7" s="58">
        <v>0</v>
      </c>
      <c r="L7" s="59">
        <v>0</v>
      </c>
      <c r="M7" s="59">
        <v>0</v>
      </c>
      <c r="N7" s="58">
        <v>0</v>
      </c>
      <c r="O7" s="59">
        <v>0</v>
      </c>
      <c r="P7" s="59">
        <v>0</v>
      </c>
      <c r="Q7" s="58">
        <v>0</v>
      </c>
      <c r="R7" s="59">
        <v>0</v>
      </c>
      <c r="S7" s="59">
        <v>0</v>
      </c>
      <c r="T7" s="59">
        <v>0</v>
      </c>
      <c r="U7" s="59">
        <v>0</v>
      </c>
      <c r="V7" s="59">
        <v>0</v>
      </c>
      <c r="W7" s="67">
        <f t="shared" si="1"/>
        <v>0</v>
      </c>
      <c r="X7" s="68">
        <f t="shared" si="1"/>
        <v>0</v>
      </c>
      <c r="Y7" s="68">
        <f t="shared" ref="Y7:Y22" si="2">W7+X7</f>
        <v>0</v>
      </c>
      <c r="Z7" s="40" t="s">
        <v>59</v>
      </c>
      <c r="AA7" s="32"/>
    </row>
    <row r="8" spans="1:28" ht="23.5" x14ac:dyDescent="0.3">
      <c r="A8" s="51" t="s">
        <v>21</v>
      </c>
      <c r="B8" s="62">
        <v>0</v>
      </c>
      <c r="C8" s="63">
        <v>0</v>
      </c>
      <c r="D8" s="63">
        <v>0</v>
      </c>
      <c r="E8" s="58">
        <v>0</v>
      </c>
      <c r="F8" s="59">
        <v>0</v>
      </c>
      <c r="G8" s="59">
        <v>0</v>
      </c>
      <c r="H8" s="58">
        <v>0</v>
      </c>
      <c r="I8" s="59">
        <v>0</v>
      </c>
      <c r="J8" s="59">
        <v>0</v>
      </c>
      <c r="K8" s="58">
        <v>0</v>
      </c>
      <c r="L8" s="59">
        <v>0</v>
      </c>
      <c r="M8" s="59">
        <v>0</v>
      </c>
      <c r="N8" s="58">
        <v>0</v>
      </c>
      <c r="O8" s="59">
        <v>0</v>
      </c>
      <c r="P8" s="59">
        <v>0</v>
      </c>
      <c r="Q8" s="58">
        <v>0</v>
      </c>
      <c r="R8" s="59">
        <v>0</v>
      </c>
      <c r="S8" s="59">
        <v>0</v>
      </c>
      <c r="T8" s="59">
        <v>0</v>
      </c>
      <c r="U8" s="59">
        <v>0</v>
      </c>
      <c r="V8" s="59">
        <v>0</v>
      </c>
      <c r="W8" s="67">
        <f t="shared" si="1"/>
        <v>0</v>
      </c>
      <c r="X8" s="68">
        <f t="shared" si="1"/>
        <v>0</v>
      </c>
      <c r="Y8" s="68">
        <f t="shared" si="2"/>
        <v>0</v>
      </c>
      <c r="Z8" s="35" t="s">
        <v>52</v>
      </c>
      <c r="AA8" s="32"/>
    </row>
    <row r="9" spans="1:28" ht="182" customHeight="1" x14ac:dyDescent="0.3">
      <c r="A9" s="49" t="s">
        <v>15</v>
      </c>
      <c r="B9" s="62">
        <v>0</v>
      </c>
      <c r="C9" s="63">
        <v>0</v>
      </c>
      <c r="D9" s="63">
        <f>3000-3000</f>
        <v>0</v>
      </c>
      <c r="E9" s="58">
        <f>0.42*G9</f>
        <v>0</v>
      </c>
      <c r="F9" s="59">
        <f>0.58*G9</f>
        <v>0</v>
      </c>
      <c r="G9" s="60">
        <f>6500-6500</f>
        <v>0</v>
      </c>
      <c r="H9" s="58">
        <f>ROUND(0.42*J9,2)</f>
        <v>2826.6</v>
      </c>
      <c r="I9" s="59">
        <f>ROUND(0.58*J9,2)</f>
        <v>3903.4</v>
      </c>
      <c r="J9" s="59">
        <v>6730</v>
      </c>
      <c r="K9" s="58">
        <v>2927</v>
      </c>
      <c r="L9" s="59">
        <v>4043</v>
      </c>
      <c r="M9" s="59">
        <v>6970</v>
      </c>
      <c r="N9" s="58">
        <v>1764</v>
      </c>
      <c r="O9" s="59">
        <v>2436</v>
      </c>
      <c r="P9" s="59">
        <v>4200</v>
      </c>
      <c r="Q9" s="58">
        <v>0</v>
      </c>
      <c r="R9" s="59">
        <v>0</v>
      </c>
      <c r="S9" s="59">
        <v>0</v>
      </c>
      <c r="T9" s="59">
        <v>0</v>
      </c>
      <c r="U9" s="59">
        <v>0</v>
      </c>
      <c r="V9" s="59">
        <v>0</v>
      </c>
      <c r="W9" s="67">
        <f t="shared" si="1"/>
        <v>7517.6</v>
      </c>
      <c r="X9" s="68">
        <f t="shared" si="1"/>
        <v>10382.4</v>
      </c>
      <c r="Y9" s="68">
        <f t="shared" si="2"/>
        <v>17900</v>
      </c>
      <c r="Z9" s="35" t="s">
        <v>82</v>
      </c>
      <c r="AA9" s="30" t="s">
        <v>72</v>
      </c>
    </row>
    <row r="10" spans="1:28" ht="75.5" customHeight="1" x14ac:dyDescent="0.3">
      <c r="A10" s="51" t="s">
        <v>18</v>
      </c>
      <c r="B10" s="62">
        <v>0</v>
      </c>
      <c r="C10" s="63">
        <v>0</v>
      </c>
      <c r="D10" s="63">
        <v>0</v>
      </c>
      <c r="E10" s="58">
        <v>0</v>
      </c>
      <c r="F10" s="59">
        <v>0</v>
      </c>
      <c r="G10" s="59">
        <v>0</v>
      </c>
      <c r="H10" s="58">
        <v>0</v>
      </c>
      <c r="I10" s="59">
        <v>0</v>
      </c>
      <c r="J10" s="59">
        <v>0</v>
      </c>
      <c r="K10" s="58">
        <v>0</v>
      </c>
      <c r="L10" s="59">
        <v>0</v>
      </c>
      <c r="M10" s="59">
        <v>0</v>
      </c>
      <c r="N10" s="58">
        <v>0</v>
      </c>
      <c r="O10" s="59">
        <v>0</v>
      </c>
      <c r="P10" s="59">
        <v>0</v>
      </c>
      <c r="Q10" s="58">
        <v>0</v>
      </c>
      <c r="R10" s="59">
        <v>0</v>
      </c>
      <c r="S10" s="59">
        <v>0</v>
      </c>
      <c r="T10" s="59">
        <v>0</v>
      </c>
      <c r="U10" s="59">
        <v>0</v>
      </c>
      <c r="V10" s="59">
        <v>0</v>
      </c>
      <c r="W10" s="67">
        <f t="shared" si="1"/>
        <v>0</v>
      </c>
      <c r="X10" s="68">
        <f t="shared" si="1"/>
        <v>0</v>
      </c>
      <c r="Y10" s="68">
        <f t="shared" si="2"/>
        <v>0</v>
      </c>
      <c r="Z10" s="35" t="s">
        <v>53</v>
      </c>
      <c r="AA10" s="32"/>
      <c r="AB10" s="4"/>
    </row>
    <row r="11" spans="1:28" ht="75" x14ac:dyDescent="0.3">
      <c r="A11" s="51" t="s">
        <v>19</v>
      </c>
      <c r="B11" s="62">
        <v>0</v>
      </c>
      <c r="C11" s="63">
        <v>0</v>
      </c>
      <c r="D11" s="63">
        <v>0</v>
      </c>
      <c r="E11" s="58">
        <v>0</v>
      </c>
      <c r="F11" s="59">
        <v>0</v>
      </c>
      <c r="G11" s="59">
        <v>0</v>
      </c>
      <c r="H11" s="58">
        <v>0</v>
      </c>
      <c r="I11" s="59">
        <v>0</v>
      </c>
      <c r="J11" s="59">
        <v>0</v>
      </c>
      <c r="K11" s="58">
        <v>0</v>
      </c>
      <c r="L11" s="59">
        <v>0</v>
      </c>
      <c r="M11" s="59">
        <v>0</v>
      </c>
      <c r="N11" s="58">
        <v>0</v>
      </c>
      <c r="O11" s="59">
        <v>0</v>
      </c>
      <c r="P11" s="59">
        <v>0</v>
      </c>
      <c r="Q11" s="58">
        <v>0</v>
      </c>
      <c r="R11" s="59">
        <v>0</v>
      </c>
      <c r="S11" s="59">
        <v>0</v>
      </c>
      <c r="T11" s="59">
        <v>0</v>
      </c>
      <c r="U11" s="59">
        <v>0</v>
      </c>
      <c r="V11" s="59">
        <v>0</v>
      </c>
      <c r="W11" s="67">
        <f t="shared" si="1"/>
        <v>0</v>
      </c>
      <c r="X11" s="68">
        <f t="shared" si="1"/>
        <v>0</v>
      </c>
      <c r="Y11" s="68">
        <f t="shared" si="2"/>
        <v>0</v>
      </c>
      <c r="Z11" s="35" t="s">
        <v>33</v>
      </c>
      <c r="AA11" s="32"/>
    </row>
    <row r="12" spans="1:28" ht="52.5" customHeight="1" x14ac:dyDescent="0.3">
      <c r="A12" s="51" t="s">
        <v>22</v>
      </c>
      <c r="B12" s="62">
        <v>0</v>
      </c>
      <c r="C12" s="63">
        <v>0</v>
      </c>
      <c r="D12" s="63">
        <v>0</v>
      </c>
      <c r="E12" s="58">
        <v>0</v>
      </c>
      <c r="F12" s="59">
        <v>0</v>
      </c>
      <c r="G12" s="59">
        <v>0</v>
      </c>
      <c r="H12" s="58">
        <v>0</v>
      </c>
      <c r="I12" s="59">
        <v>0</v>
      </c>
      <c r="J12" s="59">
        <v>0</v>
      </c>
      <c r="K12" s="58">
        <v>0</v>
      </c>
      <c r="L12" s="59">
        <v>0</v>
      </c>
      <c r="M12" s="59">
        <v>0</v>
      </c>
      <c r="N12" s="58">
        <v>0</v>
      </c>
      <c r="O12" s="59">
        <v>0</v>
      </c>
      <c r="P12" s="59">
        <v>0</v>
      </c>
      <c r="Q12" s="58">
        <v>0</v>
      </c>
      <c r="R12" s="59">
        <v>0</v>
      </c>
      <c r="S12" s="59">
        <v>0</v>
      </c>
      <c r="T12" s="59">
        <v>0</v>
      </c>
      <c r="U12" s="59">
        <v>0</v>
      </c>
      <c r="V12" s="59">
        <v>0</v>
      </c>
      <c r="W12" s="67">
        <f t="shared" si="1"/>
        <v>0</v>
      </c>
      <c r="X12" s="68">
        <f t="shared" si="1"/>
        <v>0</v>
      </c>
      <c r="Y12" s="68">
        <f t="shared" si="2"/>
        <v>0</v>
      </c>
      <c r="Z12" s="35" t="s">
        <v>66</v>
      </c>
      <c r="AA12" s="32"/>
    </row>
    <row r="13" spans="1:28" ht="25" x14ac:dyDescent="0.3">
      <c r="A13" s="49" t="s">
        <v>20</v>
      </c>
      <c r="B13" s="62">
        <v>0</v>
      </c>
      <c r="C13" s="63">
        <v>0</v>
      </c>
      <c r="D13" s="63">
        <v>0</v>
      </c>
      <c r="E13" s="58">
        <v>0</v>
      </c>
      <c r="F13" s="59">
        <v>0</v>
      </c>
      <c r="G13" s="59">
        <v>0</v>
      </c>
      <c r="H13" s="58">
        <v>0</v>
      </c>
      <c r="I13" s="59">
        <v>0</v>
      </c>
      <c r="J13" s="59">
        <v>0</v>
      </c>
      <c r="K13" s="58">
        <v>0</v>
      </c>
      <c r="L13" s="59">
        <v>0</v>
      </c>
      <c r="M13" s="59">
        <v>0</v>
      </c>
      <c r="N13" s="58">
        <f>P13*0.42</f>
        <v>46200</v>
      </c>
      <c r="O13" s="59">
        <f>P13*0.58</f>
        <v>63799.999999999993</v>
      </c>
      <c r="P13" s="59">
        <v>110000</v>
      </c>
      <c r="Q13" s="58">
        <v>0</v>
      </c>
      <c r="R13" s="59">
        <v>0</v>
      </c>
      <c r="S13" s="59">
        <v>0</v>
      </c>
      <c r="T13" s="59">
        <v>0</v>
      </c>
      <c r="U13" s="59">
        <v>0</v>
      </c>
      <c r="V13" s="59">
        <v>0</v>
      </c>
      <c r="W13" s="67">
        <f t="shared" si="1"/>
        <v>46200</v>
      </c>
      <c r="X13" s="68">
        <f t="shared" si="1"/>
        <v>63799.999999999993</v>
      </c>
      <c r="Y13" s="68">
        <f t="shared" si="2"/>
        <v>110000</v>
      </c>
      <c r="Z13" s="35" t="s">
        <v>79</v>
      </c>
      <c r="AA13" s="30" t="s">
        <v>89</v>
      </c>
    </row>
    <row r="14" spans="1:28" ht="78.5" customHeight="1" x14ac:dyDescent="0.3">
      <c r="A14" s="50" t="s">
        <v>23</v>
      </c>
      <c r="B14" s="62">
        <v>0</v>
      </c>
      <c r="C14" s="63">
        <v>0</v>
      </c>
      <c r="D14" s="63">
        <v>0</v>
      </c>
      <c r="E14" s="58">
        <v>0</v>
      </c>
      <c r="F14" s="59">
        <v>0</v>
      </c>
      <c r="G14" s="59">
        <v>0</v>
      </c>
      <c r="H14" s="58">
        <v>0</v>
      </c>
      <c r="I14" s="59">
        <v>0</v>
      </c>
      <c r="J14" s="59">
        <v>0</v>
      </c>
      <c r="K14" s="58">
        <v>0</v>
      </c>
      <c r="L14" s="59">
        <v>0</v>
      </c>
      <c r="M14" s="59">
        <v>0</v>
      </c>
      <c r="N14" s="58">
        <v>0</v>
      </c>
      <c r="O14" s="59">
        <v>0</v>
      </c>
      <c r="P14" s="59">
        <v>0</v>
      </c>
      <c r="Q14" s="58">
        <v>0</v>
      </c>
      <c r="R14" s="59">
        <v>0</v>
      </c>
      <c r="S14" s="59">
        <v>0</v>
      </c>
      <c r="T14" s="59">
        <v>0</v>
      </c>
      <c r="U14" s="59">
        <v>0</v>
      </c>
      <c r="V14" s="59">
        <v>0</v>
      </c>
      <c r="W14" s="67">
        <f t="shared" si="1"/>
        <v>0</v>
      </c>
      <c r="X14" s="68">
        <f t="shared" si="1"/>
        <v>0</v>
      </c>
      <c r="Y14" s="68">
        <f t="shared" si="2"/>
        <v>0</v>
      </c>
      <c r="Z14" s="35" t="s">
        <v>31</v>
      </c>
      <c r="AA14" s="32"/>
    </row>
    <row r="15" spans="1:28" ht="191" customHeight="1" x14ac:dyDescent="0.3">
      <c r="A15" s="49" t="s">
        <v>24</v>
      </c>
      <c r="B15" s="62">
        <f>0.42*D15</f>
        <v>0</v>
      </c>
      <c r="C15" s="63">
        <f>0.58*D15</f>
        <v>0</v>
      </c>
      <c r="D15" s="63">
        <f>15000+2849-17849</f>
        <v>0</v>
      </c>
      <c r="E15" s="58">
        <f>ROUND(0.42*G15,2)</f>
        <v>840</v>
      </c>
      <c r="F15" s="59">
        <f>ROUND(0.58*G15,2)</f>
        <v>1160</v>
      </c>
      <c r="G15" s="60">
        <f>34810-32810</f>
        <v>2000</v>
      </c>
      <c r="H15" s="58">
        <f>ROUND(0.42*J15,2)</f>
        <v>7539.84</v>
      </c>
      <c r="I15" s="59">
        <f>ROUND(0.58*J15,2)</f>
        <v>10412.16</v>
      </c>
      <c r="J15" s="73">
        <f>17952</f>
        <v>17952</v>
      </c>
      <c r="K15" s="58">
        <v>7976</v>
      </c>
      <c r="L15" s="59">
        <v>11015</v>
      </c>
      <c r="M15" s="59">
        <v>18991</v>
      </c>
      <c r="N15" s="58">
        <v>20403</v>
      </c>
      <c r="O15" s="59">
        <v>28176</v>
      </c>
      <c r="P15" s="59">
        <v>48579</v>
      </c>
      <c r="Q15" s="58">
        <f>ROUND(0.42*S15,2)</f>
        <v>13780.2</v>
      </c>
      <c r="R15" s="59">
        <f>ROUND(0.58*S15,2)</f>
        <v>19029.8</v>
      </c>
      <c r="S15" s="60">
        <f>32810</f>
        <v>32810</v>
      </c>
      <c r="T15" s="59">
        <v>0</v>
      </c>
      <c r="U15" s="59">
        <v>0</v>
      </c>
      <c r="V15" s="59">
        <v>0</v>
      </c>
      <c r="W15" s="67">
        <f t="shared" si="1"/>
        <v>50539.039999999994</v>
      </c>
      <c r="X15" s="68">
        <f t="shared" si="1"/>
        <v>69792.960000000006</v>
      </c>
      <c r="Y15" s="68">
        <f t="shared" si="2"/>
        <v>120332</v>
      </c>
      <c r="Z15" s="35" t="s">
        <v>90</v>
      </c>
      <c r="AA15" s="30" t="s">
        <v>76</v>
      </c>
    </row>
    <row r="16" spans="1:28" ht="50" x14ac:dyDescent="0.3">
      <c r="A16" s="49" t="s">
        <v>16</v>
      </c>
      <c r="B16" s="62">
        <v>0</v>
      </c>
      <c r="C16" s="63">
        <v>0</v>
      </c>
      <c r="D16" s="63">
        <v>0</v>
      </c>
      <c r="E16" s="58">
        <f>0.42*G16</f>
        <v>0</v>
      </c>
      <c r="F16" s="59">
        <f>0.58*G16</f>
        <v>0</v>
      </c>
      <c r="G16" s="60">
        <f>4655-4655</f>
        <v>0</v>
      </c>
      <c r="H16" s="58">
        <f>ROUND(0.42*J16,2)</f>
        <v>2024.4</v>
      </c>
      <c r="I16" s="59">
        <f>ROUND(0.58*J16,2)</f>
        <v>2795.6</v>
      </c>
      <c r="J16" s="59">
        <v>4820</v>
      </c>
      <c r="K16" s="58">
        <v>2096</v>
      </c>
      <c r="L16" s="59">
        <v>2894</v>
      </c>
      <c r="M16" s="59">
        <v>4990</v>
      </c>
      <c r="N16" s="58">
        <v>2169</v>
      </c>
      <c r="O16" s="59">
        <v>2996</v>
      </c>
      <c r="P16" s="59">
        <v>5165</v>
      </c>
      <c r="Q16" s="58">
        <v>0</v>
      </c>
      <c r="R16" s="59">
        <v>0</v>
      </c>
      <c r="S16" s="59">
        <v>0</v>
      </c>
      <c r="T16" s="59">
        <v>0</v>
      </c>
      <c r="U16" s="59">
        <v>0</v>
      </c>
      <c r="V16" s="59">
        <v>0</v>
      </c>
      <c r="W16" s="67">
        <f t="shared" si="1"/>
        <v>6289.4</v>
      </c>
      <c r="X16" s="68">
        <f t="shared" si="1"/>
        <v>8685.6</v>
      </c>
      <c r="Y16" s="68">
        <f t="shared" si="2"/>
        <v>14975</v>
      </c>
      <c r="Z16" s="35" t="s">
        <v>64</v>
      </c>
      <c r="AA16" s="30" t="s">
        <v>73</v>
      </c>
    </row>
    <row r="17" spans="1:27" ht="75" x14ac:dyDescent="0.3">
      <c r="A17" s="50" t="s">
        <v>25</v>
      </c>
      <c r="B17" s="62">
        <v>0</v>
      </c>
      <c r="C17" s="63">
        <v>0</v>
      </c>
      <c r="D17" s="63">
        <v>0</v>
      </c>
      <c r="E17" s="58">
        <v>0</v>
      </c>
      <c r="F17" s="59">
        <v>0</v>
      </c>
      <c r="G17" s="59">
        <v>0</v>
      </c>
      <c r="H17" s="58">
        <v>0</v>
      </c>
      <c r="I17" s="59">
        <v>0</v>
      </c>
      <c r="J17" s="59">
        <v>0</v>
      </c>
      <c r="K17" s="58">
        <v>0</v>
      </c>
      <c r="L17" s="59">
        <v>0</v>
      </c>
      <c r="M17" s="59">
        <v>0</v>
      </c>
      <c r="N17" s="58">
        <v>0</v>
      </c>
      <c r="O17" s="59">
        <v>0</v>
      </c>
      <c r="P17" s="59">
        <v>0</v>
      </c>
      <c r="Q17" s="58">
        <v>0</v>
      </c>
      <c r="R17" s="59">
        <v>0</v>
      </c>
      <c r="S17" s="59">
        <v>0</v>
      </c>
      <c r="T17" s="59">
        <v>0</v>
      </c>
      <c r="U17" s="59">
        <v>0</v>
      </c>
      <c r="V17" s="59">
        <v>0</v>
      </c>
      <c r="W17" s="67">
        <f t="shared" si="1"/>
        <v>0</v>
      </c>
      <c r="X17" s="68">
        <f t="shared" si="1"/>
        <v>0</v>
      </c>
      <c r="Y17" s="68">
        <f t="shared" si="2"/>
        <v>0</v>
      </c>
      <c r="Z17" s="35" t="s">
        <v>32</v>
      </c>
      <c r="AA17" s="32"/>
    </row>
    <row r="18" spans="1:27" ht="221.5" customHeight="1" x14ac:dyDescent="0.3">
      <c r="A18" s="49" t="s">
        <v>17</v>
      </c>
      <c r="B18" s="62">
        <f>ROUND(0.42*D18,2)</f>
        <v>16800</v>
      </c>
      <c r="C18" s="63">
        <f>ROUND(0.58*D18,2)</f>
        <v>23200</v>
      </c>
      <c r="D18" s="64">
        <f>49450-9450</f>
        <v>40000</v>
      </c>
      <c r="E18" s="58">
        <f>ROUND(0.42*G18,2)</f>
        <v>23593.919999999998</v>
      </c>
      <c r="F18" s="59">
        <f>ROUND(0.58*G18,2)</f>
        <v>32582.080000000002</v>
      </c>
      <c r="G18" s="59">
        <f>56176</f>
        <v>56176</v>
      </c>
      <c r="H18" s="58">
        <f>ROUND(0.42*J18,2)</f>
        <v>22680.84</v>
      </c>
      <c r="I18" s="59">
        <f>ROUND(0.58*J18,2)</f>
        <v>31321.16</v>
      </c>
      <c r="J18" s="59">
        <v>54002</v>
      </c>
      <c r="K18" s="58">
        <v>23702</v>
      </c>
      <c r="L18" s="59">
        <v>32731</v>
      </c>
      <c r="M18" s="59">
        <v>56433</v>
      </c>
      <c r="N18" s="58">
        <v>24769</v>
      </c>
      <c r="O18" s="59">
        <v>34204</v>
      </c>
      <c r="P18" s="59">
        <v>58973</v>
      </c>
      <c r="Q18" s="58">
        <f>0.42*S18</f>
        <v>5924.0999999999995</v>
      </c>
      <c r="R18" s="59">
        <f>0.58*S18</f>
        <v>8180.9</v>
      </c>
      <c r="S18" s="60">
        <f>9450+4655</f>
        <v>14105</v>
      </c>
      <c r="T18" s="59">
        <v>0</v>
      </c>
      <c r="U18" s="59">
        <v>0</v>
      </c>
      <c r="V18" s="59">
        <v>0</v>
      </c>
      <c r="W18" s="67">
        <f t="shared" si="1"/>
        <v>117469.86</v>
      </c>
      <c r="X18" s="68">
        <f t="shared" si="1"/>
        <v>162219.13999999998</v>
      </c>
      <c r="Y18" s="68">
        <f t="shared" si="2"/>
        <v>279689</v>
      </c>
      <c r="Z18" s="35" t="s">
        <v>91</v>
      </c>
      <c r="AA18" s="30" t="s">
        <v>74</v>
      </c>
    </row>
    <row r="19" spans="1:27" x14ac:dyDescent="0.3">
      <c r="A19" s="52" t="s">
        <v>11</v>
      </c>
      <c r="B19" s="62">
        <f>SUM(B20)</f>
        <v>0</v>
      </c>
      <c r="C19" s="62">
        <f t="shared" ref="C19:V19" si="3">SUM(C20)</f>
        <v>0</v>
      </c>
      <c r="D19" s="62">
        <f t="shared" si="3"/>
        <v>0</v>
      </c>
      <c r="E19" s="58">
        <f t="shared" si="3"/>
        <v>5460</v>
      </c>
      <c r="F19" s="58">
        <f t="shared" si="3"/>
        <v>7540</v>
      </c>
      <c r="G19" s="58">
        <f t="shared" si="3"/>
        <v>13000</v>
      </c>
      <c r="H19" s="58">
        <f t="shared" si="3"/>
        <v>7711.2</v>
      </c>
      <c r="I19" s="58">
        <f t="shared" si="3"/>
        <v>10648.8</v>
      </c>
      <c r="J19" s="58">
        <f t="shared" si="3"/>
        <v>18360</v>
      </c>
      <c r="K19" s="58">
        <f t="shared" si="3"/>
        <v>8097</v>
      </c>
      <c r="L19" s="58">
        <f t="shared" si="3"/>
        <v>11181</v>
      </c>
      <c r="M19" s="58">
        <f t="shared" si="3"/>
        <v>19278</v>
      </c>
      <c r="N19" s="58">
        <f t="shared" si="3"/>
        <v>8502</v>
      </c>
      <c r="O19" s="58">
        <f t="shared" si="3"/>
        <v>11740</v>
      </c>
      <c r="P19" s="58">
        <f t="shared" si="3"/>
        <v>20242</v>
      </c>
      <c r="Q19" s="58">
        <f t="shared" si="3"/>
        <v>5382.3</v>
      </c>
      <c r="R19" s="58">
        <f t="shared" si="3"/>
        <v>7432.7</v>
      </c>
      <c r="S19" s="58">
        <f t="shared" si="3"/>
        <v>12815</v>
      </c>
      <c r="T19" s="58">
        <f t="shared" si="3"/>
        <v>0</v>
      </c>
      <c r="U19" s="58">
        <f t="shared" si="3"/>
        <v>0</v>
      </c>
      <c r="V19" s="58">
        <f t="shared" si="3"/>
        <v>0</v>
      </c>
      <c r="W19" s="67">
        <f t="shared" si="1"/>
        <v>35152.5</v>
      </c>
      <c r="X19" s="67">
        <f t="shared" si="1"/>
        <v>48542.5</v>
      </c>
      <c r="Y19" s="67">
        <f t="shared" si="2"/>
        <v>83695</v>
      </c>
      <c r="Z19" s="35"/>
      <c r="AA19" s="32"/>
    </row>
    <row r="20" spans="1:27" ht="87.5" x14ac:dyDescent="0.3">
      <c r="A20" s="49" t="s">
        <v>27</v>
      </c>
      <c r="B20" s="62">
        <f>0.42*D20</f>
        <v>0</v>
      </c>
      <c r="C20" s="63">
        <f>0.58*D20</f>
        <v>0</v>
      </c>
      <c r="D20" s="63">
        <f>8330-8330</f>
        <v>0</v>
      </c>
      <c r="E20" s="58">
        <f>ROUND(0.42*G20,2)</f>
        <v>5460</v>
      </c>
      <c r="F20" s="59">
        <f>ROUND(0.58*G20,2)</f>
        <v>7540</v>
      </c>
      <c r="G20" s="60">
        <f>25815-12815</f>
        <v>13000</v>
      </c>
      <c r="H20" s="58">
        <f>ROUND(0.42*J20,2)</f>
        <v>7711.2</v>
      </c>
      <c r="I20" s="59">
        <f>ROUND(0.58*J20,2)</f>
        <v>10648.8</v>
      </c>
      <c r="J20" s="59">
        <v>18360</v>
      </c>
      <c r="K20" s="58">
        <v>8097</v>
      </c>
      <c r="L20" s="59">
        <v>11181</v>
      </c>
      <c r="M20" s="59">
        <v>19278</v>
      </c>
      <c r="N20" s="58">
        <v>8502</v>
      </c>
      <c r="O20" s="59">
        <v>11740</v>
      </c>
      <c r="P20" s="59">
        <v>20242</v>
      </c>
      <c r="Q20" s="58">
        <f>0.42*S20</f>
        <v>5382.3</v>
      </c>
      <c r="R20" s="59">
        <f>0.58*S20</f>
        <v>7432.7</v>
      </c>
      <c r="S20" s="60">
        <f>12815</f>
        <v>12815</v>
      </c>
      <c r="T20" s="59">
        <v>0</v>
      </c>
      <c r="U20" s="59">
        <v>0</v>
      </c>
      <c r="V20" s="59">
        <v>0</v>
      </c>
      <c r="W20" s="67">
        <f>B20+E20+H20+K20+N20+Q20+T20</f>
        <v>35152.5</v>
      </c>
      <c r="X20" s="67">
        <f>C20+F20+I20+L20+O20+R20+U20</f>
        <v>48542.5</v>
      </c>
      <c r="Y20" s="67">
        <f>W20+X20</f>
        <v>83695</v>
      </c>
      <c r="Z20" s="35" t="s">
        <v>80</v>
      </c>
      <c r="AA20" s="32" t="s">
        <v>75</v>
      </c>
    </row>
    <row r="21" spans="1:27" x14ac:dyDescent="0.3">
      <c r="A21" s="53" t="s">
        <v>3</v>
      </c>
      <c r="B21" s="62">
        <f>SUM(B22:B23)</f>
        <v>1890</v>
      </c>
      <c r="C21" s="62">
        <f t="shared" ref="C21:L21" si="4">SUM(C22:C23)</f>
        <v>2610</v>
      </c>
      <c r="D21" s="62">
        <f t="shared" si="4"/>
        <v>4500</v>
      </c>
      <c r="E21" s="58">
        <f t="shared" si="4"/>
        <v>18053.28</v>
      </c>
      <c r="F21" s="58">
        <f t="shared" si="4"/>
        <v>24930.720000000001</v>
      </c>
      <c r="G21" s="58">
        <f t="shared" si="4"/>
        <v>42984</v>
      </c>
      <c r="H21" s="58">
        <f t="shared" si="4"/>
        <v>18621.12</v>
      </c>
      <c r="I21" s="58">
        <f t="shared" si="4"/>
        <v>25714.880000000001</v>
      </c>
      <c r="J21" s="58">
        <f t="shared" si="4"/>
        <v>44336</v>
      </c>
      <c r="K21" s="58">
        <f t="shared" si="4"/>
        <v>17125</v>
      </c>
      <c r="L21" s="58">
        <f t="shared" si="4"/>
        <v>23651</v>
      </c>
      <c r="M21" s="58">
        <f>SUM(M22:M23)</f>
        <v>40776</v>
      </c>
      <c r="N21" s="58">
        <f t="shared" ref="N21" si="5">SUM(N22:N23)</f>
        <v>17982</v>
      </c>
      <c r="O21" s="58">
        <f t="shared" ref="O21" si="6">SUM(O22:O23)</f>
        <v>24832</v>
      </c>
      <c r="P21" s="58">
        <f>SUM(P22:P23)</f>
        <v>42814</v>
      </c>
      <c r="Q21" s="58">
        <f t="shared" ref="Q21" si="7">SUM(Q22:Q23)</f>
        <v>0</v>
      </c>
      <c r="R21" s="58">
        <f t="shared" ref="R21" si="8">SUM(R22:R23)</f>
        <v>0</v>
      </c>
      <c r="S21" s="58">
        <f t="shared" ref="S21" si="9">SUM(S22:S23)</f>
        <v>0</v>
      </c>
      <c r="T21" s="58">
        <f t="shared" ref="T21" si="10">SUM(T22:T23)</f>
        <v>0</v>
      </c>
      <c r="U21" s="58">
        <f t="shared" ref="U21" si="11">SUM(U22:U23)</f>
        <v>0</v>
      </c>
      <c r="V21" s="58">
        <f t="shared" ref="V21" si="12">SUM(V22:V23)</f>
        <v>0</v>
      </c>
      <c r="W21" s="67">
        <f t="shared" si="1"/>
        <v>73671.399999999994</v>
      </c>
      <c r="X21" s="67">
        <f t="shared" si="1"/>
        <v>101738.6</v>
      </c>
      <c r="Y21" s="67">
        <f t="shared" si="2"/>
        <v>175410</v>
      </c>
      <c r="Z21" s="35"/>
      <c r="AA21" s="32"/>
    </row>
    <row r="22" spans="1:27" ht="143.5" customHeight="1" x14ac:dyDescent="0.3">
      <c r="A22" s="54" t="s">
        <v>45</v>
      </c>
      <c r="B22" s="62">
        <f>0.42*D22</f>
        <v>0</v>
      </c>
      <c r="C22" s="62">
        <f>0.58*D22</f>
        <v>0</v>
      </c>
      <c r="D22" s="62">
        <v>0</v>
      </c>
      <c r="E22" s="58">
        <f>ROUND(0.42*G22,2)</f>
        <v>840</v>
      </c>
      <c r="F22" s="59">
        <f>ROUND(0.58*G22,2)</f>
        <v>1160</v>
      </c>
      <c r="G22" s="59">
        <v>2000</v>
      </c>
      <c r="H22" s="58">
        <f>ROUND(0.42*J22,2)</f>
        <v>840</v>
      </c>
      <c r="I22" s="59">
        <f>ROUND(0.58*J22,2)</f>
        <v>1160</v>
      </c>
      <c r="J22" s="60">
        <f>2000</f>
        <v>2000</v>
      </c>
      <c r="K22" s="58">
        <f>0.42*M22</f>
        <v>0</v>
      </c>
      <c r="L22" s="59">
        <f>0.58*M22</f>
        <v>0</v>
      </c>
      <c r="M22" s="59">
        <v>0</v>
      </c>
      <c r="N22" s="58">
        <f>0.42*P22</f>
        <v>0</v>
      </c>
      <c r="O22" s="59">
        <f>0.58*P22</f>
        <v>0</v>
      </c>
      <c r="P22" s="59">
        <v>0</v>
      </c>
      <c r="Q22" s="58">
        <f>0.42*S22</f>
        <v>0</v>
      </c>
      <c r="R22" s="59">
        <f>0.58*S22</f>
        <v>0</v>
      </c>
      <c r="S22" s="59">
        <v>0</v>
      </c>
      <c r="T22" s="58">
        <f>0.42*V22</f>
        <v>0</v>
      </c>
      <c r="U22" s="59">
        <f>0.58*V22</f>
        <v>0</v>
      </c>
      <c r="V22" s="59">
        <v>0</v>
      </c>
      <c r="W22" s="67">
        <f t="shared" si="1"/>
        <v>1680</v>
      </c>
      <c r="X22" s="67">
        <f t="shared" si="1"/>
        <v>2320</v>
      </c>
      <c r="Y22" s="67">
        <f t="shared" si="2"/>
        <v>4000</v>
      </c>
      <c r="Z22" s="40" t="s">
        <v>69</v>
      </c>
      <c r="AA22" s="30" t="s">
        <v>77</v>
      </c>
    </row>
    <row r="23" spans="1:27" ht="104" customHeight="1" x14ac:dyDescent="0.3">
      <c r="A23" s="49" t="s">
        <v>28</v>
      </c>
      <c r="B23" s="62">
        <f>ROUND(0.42*D23,2)</f>
        <v>1890</v>
      </c>
      <c r="C23" s="63">
        <f>ROUND(0.58*D23,2)</f>
        <v>2610</v>
      </c>
      <c r="D23" s="64">
        <f>10003-5503</f>
        <v>4500</v>
      </c>
      <c r="E23" s="58">
        <f>ROUND(0.42*G23,2)</f>
        <v>17213.28</v>
      </c>
      <c r="F23" s="59">
        <f>ROUND(0.58*G23,2)</f>
        <v>23770.720000000001</v>
      </c>
      <c r="G23" s="59">
        <f>40984</f>
        <v>40984</v>
      </c>
      <c r="H23" s="58">
        <f>ROUND(0.42*J23,2)</f>
        <v>17781.12</v>
      </c>
      <c r="I23" s="59">
        <f>ROUND(0.58*J23,2)</f>
        <v>24554.880000000001</v>
      </c>
      <c r="J23" s="60">
        <f>38833+3503</f>
        <v>42336</v>
      </c>
      <c r="K23" s="58">
        <v>17125</v>
      </c>
      <c r="L23" s="59">
        <v>23651</v>
      </c>
      <c r="M23" s="59">
        <v>40776</v>
      </c>
      <c r="N23" s="58">
        <v>17982</v>
      </c>
      <c r="O23" s="59">
        <v>24832</v>
      </c>
      <c r="P23" s="59">
        <v>42814</v>
      </c>
      <c r="Q23" s="58">
        <v>0</v>
      </c>
      <c r="R23" s="59">
        <v>0</v>
      </c>
      <c r="S23" s="59">
        <v>0</v>
      </c>
      <c r="T23" s="59">
        <v>0</v>
      </c>
      <c r="U23" s="59">
        <v>0</v>
      </c>
      <c r="V23" s="59">
        <v>0</v>
      </c>
      <c r="W23" s="69">
        <f>B23+E23+H23+K23+N23+Q23+T23</f>
        <v>71991.399999999994</v>
      </c>
      <c r="X23" s="70">
        <f>C23+F23+I23+L23+O23+R23+U23</f>
        <v>99418.6</v>
      </c>
      <c r="Y23" s="70">
        <f>W23+X23</f>
        <v>171410</v>
      </c>
      <c r="Z23" s="35" t="s">
        <v>81</v>
      </c>
      <c r="AA23" s="30" t="s">
        <v>86</v>
      </c>
    </row>
    <row r="24" spans="1:27" ht="25.5" x14ac:dyDescent="0.3">
      <c r="A24" s="52" t="s">
        <v>43</v>
      </c>
      <c r="B24" s="62">
        <f>ROUND(0.42*D24,2)</f>
        <v>420</v>
      </c>
      <c r="C24" s="62">
        <f>ROUND(0.58*D24,2)</f>
        <v>580</v>
      </c>
      <c r="D24" s="65">
        <f>3000-2000</f>
        <v>1000</v>
      </c>
      <c r="E24" s="58">
        <f>ROUND(0.42*G24,2)</f>
        <v>5460</v>
      </c>
      <c r="F24" s="58">
        <f>ROUND(0.58*G24,2)</f>
        <v>7540</v>
      </c>
      <c r="G24" s="74">
        <f>23000-10000</f>
        <v>13000</v>
      </c>
      <c r="H24" s="58">
        <f>ROUND(0.42*J24,2)</f>
        <v>9660</v>
      </c>
      <c r="I24" s="59">
        <f>ROUND(0.58*J24,2)</f>
        <v>13340</v>
      </c>
      <c r="J24" s="74">
        <f>ROUND(5460*100/42+10000,2)</f>
        <v>23000</v>
      </c>
      <c r="K24" s="58">
        <v>5460</v>
      </c>
      <c r="L24" s="58">
        <v>7540</v>
      </c>
      <c r="M24" s="58">
        <f>5460*100/42</f>
        <v>13000</v>
      </c>
      <c r="N24" s="58">
        <v>5460</v>
      </c>
      <c r="O24" s="58">
        <v>7540</v>
      </c>
      <c r="P24" s="58">
        <f>5460*100/42</f>
        <v>13000</v>
      </c>
      <c r="Q24" s="58">
        <f>ROUND(0.42*S24,2)</f>
        <v>840</v>
      </c>
      <c r="R24" s="58">
        <f>ROUND(0.58*S24,2)</f>
        <v>1160</v>
      </c>
      <c r="S24" s="58">
        <v>2000</v>
      </c>
      <c r="T24" s="58">
        <v>0</v>
      </c>
      <c r="U24" s="58">
        <v>0</v>
      </c>
      <c r="V24" s="58">
        <v>0</v>
      </c>
      <c r="W24" s="69">
        <f>B24+E24+H24+K24+N24+Q24+T24</f>
        <v>27300</v>
      </c>
      <c r="X24" s="69">
        <f t="shared" ref="X24:X25" si="13">C24+F24+I24+L24+O24+R24+U24</f>
        <v>37700</v>
      </c>
      <c r="Y24" s="69">
        <f t="shared" ref="Y24:Y25" si="14">W24+X24</f>
        <v>65000</v>
      </c>
      <c r="Z24" s="55" t="s">
        <v>44</v>
      </c>
      <c r="AA24" s="30" t="s">
        <v>92</v>
      </c>
    </row>
    <row r="25" spans="1:27" x14ac:dyDescent="0.3">
      <c r="A25" s="57" t="s">
        <v>0</v>
      </c>
      <c r="B25" s="66">
        <f t="shared" ref="B25:I25" si="15">ROUND(B5+B19+B21+B24,2)</f>
        <v>22050</v>
      </c>
      <c r="C25" s="66">
        <f t="shared" si="15"/>
        <v>30450</v>
      </c>
      <c r="D25" s="66">
        <f t="shared" si="15"/>
        <v>52500</v>
      </c>
      <c r="E25" s="61">
        <f t="shared" si="15"/>
        <v>54667.199999999997</v>
      </c>
      <c r="F25" s="61">
        <f t="shared" si="15"/>
        <v>75492.800000000003</v>
      </c>
      <c r="G25" s="61">
        <f t="shared" si="15"/>
        <v>130160</v>
      </c>
      <c r="H25" s="61">
        <f t="shared" si="15"/>
        <v>83315.399999999994</v>
      </c>
      <c r="I25" s="61">
        <f t="shared" si="15"/>
        <v>115054.6</v>
      </c>
      <c r="J25" s="61">
        <f t="shared" ref="J25:V25" si="16">J5+J19+J21+J24</f>
        <v>198370</v>
      </c>
      <c r="K25" s="61">
        <f t="shared" si="16"/>
        <v>71352</v>
      </c>
      <c r="L25" s="61">
        <f t="shared" si="16"/>
        <v>98536</v>
      </c>
      <c r="M25" s="61">
        <f t="shared" si="16"/>
        <v>169888</v>
      </c>
      <c r="N25" s="61">
        <f t="shared" si="16"/>
        <v>132688</v>
      </c>
      <c r="O25" s="61">
        <f t="shared" si="16"/>
        <v>183235</v>
      </c>
      <c r="P25" s="61">
        <f>P5+P19+P21+P24</f>
        <v>315923</v>
      </c>
      <c r="Q25" s="61">
        <f t="shared" si="16"/>
        <v>25926.6</v>
      </c>
      <c r="R25" s="61">
        <f t="shared" si="16"/>
        <v>35803.399999999994</v>
      </c>
      <c r="S25" s="61">
        <f t="shared" si="16"/>
        <v>61730</v>
      </c>
      <c r="T25" s="61">
        <f t="shared" si="16"/>
        <v>0</v>
      </c>
      <c r="U25" s="61">
        <f t="shared" si="16"/>
        <v>0</v>
      </c>
      <c r="V25" s="61">
        <f t="shared" si="16"/>
        <v>0</v>
      </c>
      <c r="W25" s="61">
        <f>B25+E25+H25+K25+N25+Q25+T25</f>
        <v>389999.19999999995</v>
      </c>
      <c r="X25" s="61">
        <f t="shared" si="13"/>
        <v>538571.80000000005</v>
      </c>
      <c r="Y25" s="61">
        <f t="shared" si="14"/>
        <v>928571</v>
      </c>
      <c r="Z25" s="24"/>
      <c r="AA25" s="56"/>
    </row>
    <row r="27" spans="1:27" x14ac:dyDescent="0.3">
      <c r="Y27" s="7"/>
    </row>
    <row r="28" spans="1:27" x14ac:dyDescent="0.3">
      <c r="Y28" s="71"/>
    </row>
    <row r="30" spans="1:27" x14ac:dyDescent="0.3">
      <c r="C30" s="8"/>
      <c r="D30" s="8"/>
      <c r="F30" s="8"/>
    </row>
    <row r="33" spans="1:6" x14ac:dyDescent="0.3">
      <c r="B33" s="9"/>
      <c r="C33" s="7"/>
      <c r="D33" s="7"/>
      <c r="E33" s="9"/>
      <c r="F33" s="7"/>
    </row>
    <row r="34" spans="1:6" x14ac:dyDescent="0.3">
      <c r="B34" s="9"/>
      <c r="C34" s="7"/>
      <c r="D34" s="7"/>
      <c r="E34" s="9"/>
      <c r="F34" s="7"/>
    </row>
    <row r="35" spans="1:6" x14ac:dyDescent="0.3">
      <c r="B35" s="9"/>
      <c r="C35" s="9"/>
      <c r="D35" s="9"/>
      <c r="E35" s="9"/>
      <c r="F35" s="9"/>
    </row>
    <row r="37" spans="1:6" x14ac:dyDescent="0.3">
      <c r="A37" s="13"/>
    </row>
  </sheetData>
  <mergeCells count="10">
    <mergeCell ref="A2:Y2"/>
    <mergeCell ref="A3:A4"/>
    <mergeCell ref="B3:D3"/>
    <mergeCell ref="E3:G3"/>
    <mergeCell ref="H3:J3"/>
    <mergeCell ref="K3:M3"/>
    <mergeCell ref="N3:P3"/>
    <mergeCell ref="Q3:S3"/>
    <mergeCell ref="T3:V3"/>
    <mergeCell ref="W3:Y3"/>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C7C21-C5BC-4745-A9D1-0EE780C90520}">
  <dimension ref="A2:AB37"/>
  <sheetViews>
    <sheetView zoomScale="90" zoomScaleNormal="90" workbookViewId="0">
      <pane xSplit="1" ySplit="4" topLeftCell="K5" activePane="bottomRight" state="frozen"/>
      <selection pane="topRight" activeCell="B1" sqref="B1"/>
      <selection pane="bottomLeft" activeCell="A5" sqref="A5"/>
      <selection pane="bottomRight" activeCell="Z20" sqref="Z20"/>
    </sheetView>
  </sheetViews>
  <sheetFormatPr defaultColWidth="9.1796875" defaultRowHeight="13" outlineLevelCol="1" x14ac:dyDescent="0.3"/>
  <cols>
    <col min="1" max="1" width="46" style="4" customWidth="1"/>
    <col min="2" max="2" width="12.81640625" style="8" customWidth="1" outlineLevel="1"/>
    <col min="3" max="4" width="12.81640625" style="1" customWidth="1" outlineLevel="1"/>
    <col min="5" max="5" width="12.81640625" style="8" customWidth="1" outlineLevel="1"/>
    <col min="6" max="7" width="12.81640625" style="1" customWidth="1" outlineLevel="1"/>
    <col min="8" max="8" width="12.81640625" style="8" customWidth="1" outlineLevel="1"/>
    <col min="9" max="10" width="12.81640625" style="1" customWidth="1" outlineLevel="1"/>
    <col min="11" max="11" width="12.81640625" style="8" customWidth="1" outlineLevel="1"/>
    <col min="12" max="13" width="12.81640625" style="1" customWidth="1" outlineLevel="1"/>
    <col min="14" max="14" width="12.81640625" style="8" customWidth="1" outlineLevel="1"/>
    <col min="15" max="16" width="12.81640625" style="1" customWidth="1" outlineLevel="1"/>
    <col min="17" max="17" width="12.81640625" style="8" customWidth="1" outlineLevel="1"/>
    <col min="18" max="22" width="12.81640625" style="1" customWidth="1" outlineLevel="1"/>
    <col min="23" max="23" width="12.81640625" style="8" customWidth="1"/>
    <col min="24" max="25" width="12.81640625" style="1" customWidth="1"/>
    <col min="26" max="27" width="80.453125" style="1" customWidth="1"/>
    <col min="28" max="28" width="49" style="1" customWidth="1"/>
    <col min="29" max="30" width="9.1796875" style="1"/>
    <col min="31" max="31" width="1.1796875" style="1" customWidth="1"/>
    <col min="32" max="32" width="3.26953125" style="1" customWidth="1"/>
    <col min="33" max="16384" width="9.1796875" style="1"/>
  </cols>
  <sheetData>
    <row r="2" spans="1:28" ht="14.5" x14ac:dyDescent="0.35">
      <c r="A2" s="78" t="s">
        <v>112</v>
      </c>
      <c r="B2" s="79"/>
      <c r="C2" s="79"/>
      <c r="D2" s="79"/>
      <c r="E2" s="79"/>
      <c r="F2" s="79"/>
      <c r="G2" s="79"/>
      <c r="H2" s="79"/>
      <c r="I2" s="79"/>
      <c r="J2" s="79"/>
      <c r="K2" s="79"/>
      <c r="L2" s="79"/>
      <c r="M2" s="79"/>
      <c r="N2" s="79"/>
      <c r="O2" s="79"/>
      <c r="P2" s="79"/>
      <c r="Q2" s="79"/>
      <c r="R2" s="79"/>
      <c r="S2" s="79"/>
      <c r="T2" s="79"/>
      <c r="U2" s="79"/>
      <c r="V2" s="79"/>
      <c r="W2" s="79"/>
      <c r="X2" s="79"/>
      <c r="Y2" s="79"/>
      <c r="Z2" s="42"/>
      <c r="AA2" s="42"/>
    </row>
    <row r="3" spans="1:28" x14ac:dyDescent="0.3">
      <c r="A3" s="89" t="s">
        <v>1</v>
      </c>
      <c r="B3" s="91">
        <v>2023</v>
      </c>
      <c r="C3" s="92"/>
      <c r="D3" s="93"/>
      <c r="E3" s="91">
        <v>2024</v>
      </c>
      <c r="F3" s="92"/>
      <c r="G3" s="93"/>
      <c r="H3" s="91">
        <v>2025</v>
      </c>
      <c r="I3" s="92"/>
      <c r="J3" s="93"/>
      <c r="K3" s="91">
        <v>2026</v>
      </c>
      <c r="L3" s="92"/>
      <c r="M3" s="93"/>
      <c r="N3" s="91">
        <v>2027</v>
      </c>
      <c r="O3" s="92"/>
      <c r="P3" s="93"/>
      <c r="Q3" s="91">
        <v>2028</v>
      </c>
      <c r="R3" s="92"/>
      <c r="S3" s="93"/>
      <c r="T3" s="91">
        <v>2029</v>
      </c>
      <c r="U3" s="92"/>
      <c r="V3" s="93"/>
      <c r="W3" s="94" t="s">
        <v>29</v>
      </c>
      <c r="X3" s="95"/>
      <c r="Y3" s="96"/>
      <c r="Z3" s="43"/>
      <c r="AA3" s="43"/>
    </row>
    <row r="4" spans="1:28" s="4" customFormat="1" ht="35.5" customHeight="1" x14ac:dyDescent="0.3">
      <c r="A4" s="90"/>
      <c r="B4" s="45" t="s">
        <v>7</v>
      </c>
      <c r="C4" s="45" t="s">
        <v>8</v>
      </c>
      <c r="D4" s="45" t="s">
        <v>4</v>
      </c>
      <c r="E4" s="45" t="s">
        <v>7</v>
      </c>
      <c r="F4" s="45" t="s">
        <v>8</v>
      </c>
      <c r="G4" s="45" t="s">
        <v>5</v>
      </c>
      <c r="H4" s="45" t="s">
        <v>7</v>
      </c>
      <c r="I4" s="45" t="s">
        <v>8</v>
      </c>
      <c r="J4" s="45" t="s">
        <v>6</v>
      </c>
      <c r="K4" s="45" t="s">
        <v>7</v>
      </c>
      <c r="L4" s="45" t="s">
        <v>8</v>
      </c>
      <c r="M4" s="45" t="s">
        <v>9</v>
      </c>
      <c r="N4" s="45" t="s">
        <v>7</v>
      </c>
      <c r="O4" s="45" t="s">
        <v>8</v>
      </c>
      <c r="P4" s="45" t="s">
        <v>10</v>
      </c>
      <c r="Q4" s="45" t="s">
        <v>7</v>
      </c>
      <c r="R4" s="45" t="s">
        <v>8</v>
      </c>
      <c r="S4" s="45" t="s">
        <v>12</v>
      </c>
      <c r="T4" s="45" t="s">
        <v>7</v>
      </c>
      <c r="U4" s="45" t="s">
        <v>8</v>
      </c>
      <c r="V4" s="45" t="s">
        <v>13</v>
      </c>
      <c r="W4" s="46" t="s">
        <v>7</v>
      </c>
      <c r="X4" s="46" t="s">
        <v>8</v>
      </c>
      <c r="Y4" s="45" t="s">
        <v>30</v>
      </c>
      <c r="Z4" s="47" t="s">
        <v>26</v>
      </c>
      <c r="AA4" s="47" t="s">
        <v>51</v>
      </c>
    </row>
    <row r="5" spans="1:28" x14ac:dyDescent="0.3">
      <c r="A5" s="48" t="s">
        <v>2</v>
      </c>
      <c r="B5" s="62">
        <f>SUM(B6:B18)</f>
        <v>17066.48</v>
      </c>
      <c r="C5" s="62">
        <f>SUM(C6:C18)</f>
        <v>23568.010000000002</v>
      </c>
      <c r="D5" s="62">
        <f>SUM(D6:D18)</f>
        <v>40634.49</v>
      </c>
      <c r="E5" s="58">
        <f t="shared" ref="E5:V5" si="0">SUM(E6:E18)</f>
        <v>20550.350000000002</v>
      </c>
      <c r="F5" s="58">
        <f t="shared" si="0"/>
        <v>28379.07</v>
      </c>
      <c r="G5" s="58">
        <f t="shared" si="0"/>
        <v>48929.42</v>
      </c>
      <c r="H5" s="58">
        <f t="shared" si="0"/>
        <v>35987.279999999999</v>
      </c>
      <c r="I5" s="58">
        <f t="shared" si="0"/>
        <v>49696.72</v>
      </c>
      <c r="J5" s="58">
        <f t="shared" si="0"/>
        <v>85684</v>
      </c>
      <c r="K5" s="58">
        <f t="shared" si="0"/>
        <v>50396.259999999995</v>
      </c>
      <c r="L5" s="58">
        <f t="shared" si="0"/>
        <v>69594.84</v>
      </c>
      <c r="M5" s="58">
        <f t="shared" si="0"/>
        <v>119991.1</v>
      </c>
      <c r="N5" s="58">
        <f t="shared" si="0"/>
        <v>100744.14</v>
      </c>
      <c r="O5" s="58">
        <f t="shared" si="0"/>
        <v>139122.85999999999</v>
      </c>
      <c r="P5" s="58">
        <f t="shared" si="0"/>
        <v>239867</v>
      </c>
      <c r="Q5" s="58">
        <f t="shared" si="0"/>
        <v>29131.195799999998</v>
      </c>
      <c r="R5" s="58">
        <f t="shared" si="0"/>
        <v>40228.79</v>
      </c>
      <c r="S5" s="58">
        <f t="shared" si="0"/>
        <v>69359.989999999991</v>
      </c>
      <c r="T5" s="58">
        <f t="shared" si="0"/>
        <v>0</v>
      </c>
      <c r="U5" s="58">
        <f t="shared" si="0"/>
        <v>0</v>
      </c>
      <c r="V5" s="58">
        <f t="shared" si="0"/>
        <v>0</v>
      </c>
      <c r="W5" s="67">
        <f t="shared" ref="W5:X22" si="1">B5+E5+H5+K5+N5+Q5+T5</f>
        <v>253875.7058</v>
      </c>
      <c r="X5" s="67">
        <f t="shared" si="1"/>
        <v>350590.29</v>
      </c>
      <c r="Y5" s="67">
        <f>W5+X5</f>
        <v>604465.99579999992</v>
      </c>
      <c r="Z5" s="35"/>
      <c r="AA5" s="35"/>
    </row>
    <row r="6" spans="1:28" ht="153.5" customHeight="1" x14ac:dyDescent="0.25">
      <c r="A6" s="112" t="s">
        <v>14</v>
      </c>
      <c r="B6" s="97">
        <f>ROUND(0.42*D6,2)</f>
        <v>2546.75</v>
      </c>
      <c r="C6" s="98">
        <f>ROUND(0.58*D6,2)</f>
        <v>3516.95</v>
      </c>
      <c r="D6" s="105">
        <f>7000-936.3</f>
        <v>6063.7</v>
      </c>
      <c r="E6" s="99">
        <f>ROUND(0.42*G6,2)</f>
        <v>566.98</v>
      </c>
      <c r="F6" s="100">
        <f>ROUND(0.58*G6,2)</f>
        <v>782.98</v>
      </c>
      <c r="G6" s="101">
        <f>3000-1650.04</f>
        <v>1349.96</v>
      </c>
      <c r="H6" s="99">
        <f>ROUND(0.42*J6,2)</f>
        <v>4200</v>
      </c>
      <c r="I6" s="100">
        <f>ROUND(0.58*J6,2)</f>
        <v>5800</v>
      </c>
      <c r="J6" s="101">
        <f>29170-19170</f>
        <v>10000</v>
      </c>
      <c r="K6" s="99">
        <f>ROUND(0.42*M6,2)</f>
        <v>13106.66</v>
      </c>
      <c r="L6" s="100">
        <f>ROUND(0.58*M6,2)</f>
        <v>18099.68</v>
      </c>
      <c r="M6" s="101">
        <f>9450+936.3+1650.04+19170</f>
        <v>31206.34</v>
      </c>
      <c r="N6" s="99">
        <f>ROUND(0.42*P6,2)</f>
        <v>5439</v>
      </c>
      <c r="O6" s="100">
        <f>ROUND(0.58*P6,2)</f>
        <v>7511</v>
      </c>
      <c r="P6" s="100">
        <v>12950</v>
      </c>
      <c r="Q6" s="99">
        <f>0.42*S6</f>
        <v>0</v>
      </c>
      <c r="R6" s="100">
        <f>ROUND(0.58*S6,2)</f>
        <v>0</v>
      </c>
      <c r="S6" s="100">
        <v>0</v>
      </c>
      <c r="T6" s="100">
        <v>0</v>
      </c>
      <c r="U6" s="100">
        <v>0</v>
      </c>
      <c r="V6" s="100">
        <v>0</v>
      </c>
      <c r="W6" s="67">
        <f>B6+E6+H6+K6+N6+Q6+T6</f>
        <v>25859.39</v>
      </c>
      <c r="X6" s="68">
        <f t="shared" si="1"/>
        <v>35710.61</v>
      </c>
      <c r="Y6" s="68">
        <f>W6+X6</f>
        <v>61570</v>
      </c>
      <c r="Z6" s="35" t="s">
        <v>103</v>
      </c>
      <c r="AA6" s="35" t="s">
        <v>102</v>
      </c>
    </row>
    <row r="7" spans="1:28" ht="45" hidden="1" customHeight="1" x14ac:dyDescent="0.3">
      <c r="A7" s="50" t="s">
        <v>71</v>
      </c>
      <c r="B7" s="62">
        <v>0</v>
      </c>
      <c r="C7" s="63">
        <v>0</v>
      </c>
      <c r="D7" s="63">
        <v>0</v>
      </c>
      <c r="E7" s="58">
        <v>0</v>
      </c>
      <c r="F7" s="59">
        <v>0</v>
      </c>
      <c r="G7" s="59">
        <v>0</v>
      </c>
      <c r="H7" s="58">
        <v>0</v>
      </c>
      <c r="I7" s="59">
        <v>0</v>
      </c>
      <c r="J7" s="59">
        <v>0</v>
      </c>
      <c r="K7" s="58">
        <f t="shared" ref="K7:K18" si="2">ROUND(0.42*M7,2)</f>
        <v>0</v>
      </c>
      <c r="L7" s="59">
        <f t="shared" ref="L7:L17" si="3">ROUND(0.58*M7,2)</f>
        <v>0</v>
      </c>
      <c r="M7" s="59">
        <v>0</v>
      </c>
      <c r="N7" s="58">
        <f t="shared" ref="N7:N18" si="4">ROUND(0.42*P7,2)</f>
        <v>0</v>
      </c>
      <c r="O7" s="59">
        <f t="shared" ref="O7:O12" si="5">ROUND(0.58*P7,2)</f>
        <v>0</v>
      </c>
      <c r="P7" s="59">
        <v>0</v>
      </c>
      <c r="Q7" s="58">
        <f t="shared" ref="Q7:Q18" si="6">0.42*S7</f>
        <v>0</v>
      </c>
      <c r="R7" s="59">
        <f t="shared" ref="R7:R18" si="7">ROUND(0.58*S7,2)</f>
        <v>0</v>
      </c>
      <c r="S7" s="59">
        <v>0</v>
      </c>
      <c r="T7" s="59">
        <v>0</v>
      </c>
      <c r="U7" s="59">
        <v>0</v>
      </c>
      <c r="V7" s="59">
        <v>0</v>
      </c>
      <c r="W7" s="69">
        <f t="shared" si="1"/>
        <v>0</v>
      </c>
      <c r="X7" s="70">
        <f t="shared" si="1"/>
        <v>0</v>
      </c>
      <c r="Y7" s="70">
        <f t="shared" ref="Y7:Y22" si="8">W7+X7</f>
        <v>0</v>
      </c>
      <c r="Z7" s="40" t="s">
        <v>59</v>
      </c>
      <c r="AA7" s="40"/>
    </row>
    <row r="8" spans="1:28" ht="4" hidden="1" customHeight="1" x14ac:dyDescent="0.3">
      <c r="A8" s="51" t="s">
        <v>21</v>
      </c>
      <c r="B8" s="62">
        <v>0</v>
      </c>
      <c r="C8" s="63">
        <v>0</v>
      </c>
      <c r="D8" s="63">
        <v>0</v>
      </c>
      <c r="E8" s="58">
        <v>0</v>
      </c>
      <c r="F8" s="59">
        <v>0</v>
      </c>
      <c r="G8" s="59">
        <v>0</v>
      </c>
      <c r="H8" s="58">
        <v>0</v>
      </c>
      <c r="I8" s="59">
        <v>0</v>
      </c>
      <c r="J8" s="59">
        <v>0</v>
      </c>
      <c r="K8" s="58">
        <f t="shared" si="2"/>
        <v>0</v>
      </c>
      <c r="L8" s="59">
        <f t="shared" si="3"/>
        <v>0</v>
      </c>
      <c r="M8" s="59">
        <v>0</v>
      </c>
      <c r="N8" s="58">
        <f t="shared" si="4"/>
        <v>0</v>
      </c>
      <c r="O8" s="59">
        <f t="shared" si="5"/>
        <v>0</v>
      </c>
      <c r="P8" s="59">
        <v>0</v>
      </c>
      <c r="Q8" s="58">
        <f t="shared" si="6"/>
        <v>0</v>
      </c>
      <c r="R8" s="59">
        <f t="shared" si="7"/>
        <v>0</v>
      </c>
      <c r="S8" s="59">
        <v>0</v>
      </c>
      <c r="T8" s="59">
        <v>0</v>
      </c>
      <c r="U8" s="59">
        <v>0</v>
      </c>
      <c r="V8" s="59">
        <v>0</v>
      </c>
      <c r="W8" s="69">
        <f t="shared" si="1"/>
        <v>0</v>
      </c>
      <c r="X8" s="70">
        <f t="shared" si="1"/>
        <v>0</v>
      </c>
      <c r="Y8" s="70">
        <f t="shared" si="8"/>
        <v>0</v>
      </c>
      <c r="Z8" s="35" t="s">
        <v>52</v>
      </c>
      <c r="AA8" s="35"/>
    </row>
    <row r="9" spans="1:28" ht="163.5" customHeight="1" x14ac:dyDescent="0.25">
      <c r="A9" s="112" t="s">
        <v>15</v>
      </c>
      <c r="B9" s="97">
        <v>0</v>
      </c>
      <c r="C9" s="98">
        <v>0</v>
      </c>
      <c r="D9" s="98">
        <f>0</f>
        <v>0</v>
      </c>
      <c r="E9" s="99">
        <f>0.42*G9</f>
        <v>0</v>
      </c>
      <c r="F9" s="100">
        <f>0.58*G9</f>
        <v>0</v>
      </c>
      <c r="G9" s="100">
        <v>0</v>
      </c>
      <c r="H9" s="99">
        <f>ROUND(0.42*J9,2)</f>
        <v>1566.6</v>
      </c>
      <c r="I9" s="100">
        <f>ROUND(0.58*J9,2)</f>
        <v>2163.4</v>
      </c>
      <c r="J9" s="101">
        <f>6730-3000</f>
        <v>3730</v>
      </c>
      <c r="K9" s="99">
        <f t="shared" si="2"/>
        <v>2927.4</v>
      </c>
      <c r="L9" s="100">
        <f t="shared" si="3"/>
        <v>4042.6</v>
      </c>
      <c r="M9" s="100">
        <v>6970</v>
      </c>
      <c r="N9" s="99">
        <f t="shared" si="4"/>
        <v>1764</v>
      </c>
      <c r="O9" s="100">
        <f t="shared" si="5"/>
        <v>2436</v>
      </c>
      <c r="P9" s="100">
        <v>4200</v>
      </c>
      <c r="Q9" s="99">
        <f t="shared" si="6"/>
        <v>1260</v>
      </c>
      <c r="R9" s="100">
        <f t="shared" si="7"/>
        <v>1740</v>
      </c>
      <c r="S9" s="101">
        <v>3000</v>
      </c>
      <c r="T9" s="100">
        <v>0</v>
      </c>
      <c r="U9" s="100">
        <v>0</v>
      </c>
      <c r="V9" s="100">
        <v>0</v>
      </c>
      <c r="W9" s="67">
        <f t="shared" si="1"/>
        <v>7518</v>
      </c>
      <c r="X9" s="68">
        <f t="shared" si="1"/>
        <v>10382</v>
      </c>
      <c r="Y9" s="68">
        <f t="shared" si="8"/>
        <v>17900</v>
      </c>
      <c r="Z9" s="35" t="s">
        <v>83</v>
      </c>
      <c r="AA9" s="35" t="s">
        <v>94</v>
      </c>
    </row>
    <row r="10" spans="1:28" ht="75.5" hidden="1" customHeight="1" x14ac:dyDescent="0.25">
      <c r="A10" s="102" t="s">
        <v>18</v>
      </c>
      <c r="B10" s="97">
        <v>0</v>
      </c>
      <c r="C10" s="98">
        <v>0</v>
      </c>
      <c r="D10" s="98">
        <v>0</v>
      </c>
      <c r="E10" s="99">
        <v>0</v>
      </c>
      <c r="F10" s="100">
        <v>0</v>
      </c>
      <c r="G10" s="100">
        <v>0</v>
      </c>
      <c r="H10" s="99">
        <v>0</v>
      </c>
      <c r="I10" s="100">
        <v>0</v>
      </c>
      <c r="J10" s="100">
        <v>0</v>
      </c>
      <c r="K10" s="99">
        <f t="shared" si="2"/>
        <v>0</v>
      </c>
      <c r="L10" s="100">
        <f t="shared" si="3"/>
        <v>0</v>
      </c>
      <c r="M10" s="100">
        <v>0</v>
      </c>
      <c r="N10" s="99">
        <f t="shared" si="4"/>
        <v>0</v>
      </c>
      <c r="O10" s="100">
        <f t="shared" si="5"/>
        <v>0</v>
      </c>
      <c r="P10" s="100">
        <v>0</v>
      </c>
      <c r="Q10" s="99">
        <f t="shared" si="6"/>
        <v>0</v>
      </c>
      <c r="R10" s="100">
        <f t="shared" si="7"/>
        <v>0</v>
      </c>
      <c r="S10" s="100">
        <v>0</v>
      </c>
      <c r="T10" s="100">
        <v>0</v>
      </c>
      <c r="U10" s="100">
        <v>0</v>
      </c>
      <c r="V10" s="100">
        <v>0</v>
      </c>
      <c r="W10" s="67">
        <f t="shared" si="1"/>
        <v>0</v>
      </c>
      <c r="X10" s="68">
        <f t="shared" si="1"/>
        <v>0</v>
      </c>
      <c r="Y10" s="68">
        <f t="shared" si="8"/>
        <v>0</v>
      </c>
      <c r="Z10" s="35" t="s">
        <v>53</v>
      </c>
      <c r="AA10" s="35"/>
      <c r="AB10" s="4"/>
    </row>
    <row r="11" spans="1:28" ht="75" hidden="1" x14ac:dyDescent="0.25">
      <c r="A11" s="102" t="s">
        <v>19</v>
      </c>
      <c r="B11" s="97">
        <v>0</v>
      </c>
      <c r="C11" s="98">
        <v>0</v>
      </c>
      <c r="D11" s="98">
        <v>0</v>
      </c>
      <c r="E11" s="99">
        <v>0</v>
      </c>
      <c r="F11" s="100">
        <v>0</v>
      </c>
      <c r="G11" s="100">
        <v>0</v>
      </c>
      <c r="H11" s="99">
        <v>0</v>
      </c>
      <c r="I11" s="100">
        <v>0</v>
      </c>
      <c r="J11" s="100">
        <v>0</v>
      </c>
      <c r="K11" s="99">
        <f t="shared" si="2"/>
        <v>0</v>
      </c>
      <c r="L11" s="100">
        <f t="shared" si="3"/>
        <v>0</v>
      </c>
      <c r="M11" s="100">
        <v>0</v>
      </c>
      <c r="N11" s="99">
        <f t="shared" si="4"/>
        <v>0</v>
      </c>
      <c r="O11" s="100">
        <f t="shared" si="5"/>
        <v>0</v>
      </c>
      <c r="P11" s="100">
        <v>0</v>
      </c>
      <c r="Q11" s="99">
        <f t="shared" si="6"/>
        <v>0</v>
      </c>
      <c r="R11" s="100">
        <f t="shared" si="7"/>
        <v>0</v>
      </c>
      <c r="S11" s="100">
        <v>0</v>
      </c>
      <c r="T11" s="100">
        <v>0</v>
      </c>
      <c r="U11" s="100">
        <v>0</v>
      </c>
      <c r="V11" s="100">
        <v>0</v>
      </c>
      <c r="W11" s="67">
        <f t="shared" si="1"/>
        <v>0</v>
      </c>
      <c r="X11" s="68">
        <f t="shared" si="1"/>
        <v>0</v>
      </c>
      <c r="Y11" s="68">
        <f t="shared" si="8"/>
        <v>0</v>
      </c>
      <c r="Z11" s="35" t="s">
        <v>33</v>
      </c>
      <c r="AA11" s="35"/>
    </row>
    <row r="12" spans="1:28" ht="52.5" hidden="1" customHeight="1" x14ac:dyDescent="0.25">
      <c r="A12" s="102" t="s">
        <v>22</v>
      </c>
      <c r="B12" s="97">
        <v>0</v>
      </c>
      <c r="C12" s="98">
        <v>0</v>
      </c>
      <c r="D12" s="98">
        <v>0</v>
      </c>
      <c r="E12" s="99">
        <v>0</v>
      </c>
      <c r="F12" s="100">
        <v>0</v>
      </c>
      <c r="G12" s="100">
        <v>0</v>
      </c>
      <c r="H12" s="99">
        <v>0</v>
      </c>
      <c r="I12" s="100">
        <v>0</v>
      </c>
      <c r="J12" s="100">
        <v>0</v>
      </c>
      <c r="K12" s="99">
        <f t="shared" si="2"/>
        <v>0</v>
      </c>
      <c r="L12" s="100">
        <f t="shared" si="3"/>
        <v>0</v>
      </c>
      <c r="M12" s="100">
        <v>0</v>
      </c>
      <c r="N12" s="99">
        <f t="shared" si="4"/>
        <v>0</v>
      </c>
      <c r="O12" s="100">
        <f t="shared" si="5"/>
        <v>0</v>
      </c>
      <c r="P12" s="100">
        <v>0</v>
      </c>
      <c r="Q12" s="99">
        <f t="shared" si="6"/>
        <v>0</v>
      </c>
      <c r="R12" s="100">
        <f t="shared" si="7"/>
        <v>0</v>
      </c>
      <c r="S12" s="100">
        <v>0</v>
      </c>
      <c r="T12" s="100">
        <v>0</v>
      </c>
      <c r="U12" s="100">
        <v>0</v>
      </c>
      <c r="V12" s="100">
        <v>0</v>
      </c>
      <c r="W12" s="67">
        <f t="shared" si="1"/>
        <v>0</v>
      </c>
      <c r="X12" s="68">
        <f t="shared" si="1"/>
        <v>0</v>
      </c>
      <c r="Y12" s="68">
        <f t="shared" si="8"/>
        <v>0</v>
      </c>
      <c r="Z12" s="35" t="s">
        <v>66</v>
      </c>
      <c r="AA12" s="35"/>
    </row>
    <row r="13" spans="1:28" ht="25" x14ac:dyDescent="0.25">
      <c r="A13" s="112" t="s">
        <v>20</v>
      </c>
      <c r="B13" s="97">
        <v>0</v>
      </c>
      <c r="C13" s="98">
        <v>0</v>
      </c>
      <c r="D13" s="98">
        <v>0</v>
      </c>
      <c r="E13" s="99">
        <v>0</v>
      </c>
      <c r="F13" s="100">
        <v>0</v>
      </c>
      <c r="G13" s="100">
        <v>0</v>
      </c>
      <c r="H13" s="99">
        <v>0</v>
      </c>
      <c r="I13" s="100">
        <v>0</v>
      </c>
      <c r="J13" s="100">
        <v>0</v>
      </c>
      <c r="K13" s="99">
        <f t="shared" si="2"/>
        <v>0</v>
      </c>
      <c r="L13" s="100">
        <f t="shared" si="3"/>
        <v>0</v>
      </c>
      <c r="M13" s="100">
        <v>0</v>
      </c>
      <c r="N13" s="99">
        <f t="shared" si="4"/>
        <v>46200</v>
      </c>
      <c r="O13" s="100">
        <f t="shared" ref="O13:O18" si="9">ROUND(0.58*P13,2)</f>
        <v>63800</v>
      </c>
      <c r="P13" s="100">
        <v>110000</v>
      </c>
      <c r="Q13" s="99">
        <f t="shared" si="6"/>
        <v>0</v>
      </c>
      <c r="R13" s="100">
        <f t="shared" si="7"/>
        <v>0</v>
      </c>
      <c r="S13" s="100">
        <v>0</v>
      </c>
      <c r="T13" s="100">
        <v>0</v>
      </c>
      <c r="U13" s="100">
        <v>0</v>
      </c>
      <c r="V13" s="100">
        <v>0</v>
      </c>
      <c r="W13" s="67">
        <f t="shared" si="1"/>
        <v>46200</v>
      </c>
      <c r="X13" s="68">
        <f t="shared" si="1"/>
        <v>63800</v>
      </c>
      <c r="Y13" s="68">
        <f t="shared" si="8"/>
        <v>110000</v>
      </c>
      <c r="Z13" s="35" t="s">
        <v>78</v>
      </c>
      <c r="AA13" s="35"/>
    </row>
    <row r="14" spans="1:28" ht="78.5" hidden="1" customHeight="1" x14ac:dyDescent="0.25">
      <c r="A14" s="103" t="s">
        <v>23</v>
      </c>
      <c r="B14" s="97">
        <v>0</v>
      </c>
      <c r="C14" s="98">
        <v>0</v>
      </c>
      <c r="D14" s="98">
        <v>0</v>
      </c>
      <c r="E14" s="99">
        <v>0</v>
      </c>
      <c r="F14" s="100">
        <v>0</v>
      </c>
      <c r="G14" s="100">
        <v>0</v>
      </c>
      <c r="H14" s="99">
        <v>0</v>
      </c>
      <c r="I14" s="100">
        <v>0</v>
      </c>
      <c r="J14" s="100">
        <v>0</v>
      </c>
      <c r="K14" s="99">
        <f t="shared" si="2"/>
        <v>0</v>
      </c>
      <c r="L14" s="100">
        <f t="shared" si="3"/>
        <v>0</v>
      </c>
      <c r="M14" s="100">
        <v>0</v>
      </c>
      <c r="N14" s="99">
        <f t="shared" si="4"/>
        <v>0</v>
      </c>
      <c r="O14" s="100">
        <f t="shared" si="9"/>
        <v>0</v>
      </c>
      <c r="P14" s="100">
        <v>0</v>
      </c>
      <c r="Q14" s="99">
        <f t="shared" si="6"/>
        <v>0</v>
      </c>
      <c r="R14" s="100">
        <f t="shared" si="7"/>
        <v>0</v>
      </c>
      <c r="S14" s="100">
        <v>0</v>
      </c>
      <c r="T14" s="100">
        <v>0</v>
      </c>
      <c r="U14" s="100">
        <v>0</v>
      </c>
      <c r="V14" s="100">
        <v>0</v>
      </c>
      <c r="W14" s="67">
        <f t="shared" si="1"/>
        <v>0</v>
      </c>
      <c r="X14" s="68">
        <f t="shared" si="1"/>
        <v>0</v>
      </c>
      <c r="Y14" s="68">
        <f t="shared" si="8"/>
        <v>0</v>
      </c>
      <c r="Z14" s="35" t="s">
        <v>31</v>
      </c>
      <c r="AA14" s="35"/>
    </row>
    <row r="15" spans="1:28" ht="157.5" customHeight="1" x14ac:dyDescent="0.25">
      <c r="A15" s="112" t="s">
        <v>24</v>
      </c>
      <c r="B15" s="97">
        <f>0.42*D15</f>
        <v>0</v>
      </c>
      <c r="C15" s="98">
        <f>0.58*D15</f>
        <v>0</v>
      </c>
      <c r="D15" s="98">
        <f>0</f>
        <v>0</v>
      </c>
      <c r="E15" s="99">
        <f>ROUND(0.42*G15,2)</f>
        <v>436.15</v>
      </c>
      <c r="F15" s="100">
        <f>ROUND(0.58*G15,2)</f>
        <v>602.29999999999995</v>
      </c>
      <c r="G15" s="101">
        <f>2000-961.55</f>
        <v>1038.45</v>
      </c>
      <c r="H15" s="99">
        <f>ROUND(0.42*J15,2)</f>
        <v>7539.84</v>
      </c>
      <c r="I15" s="100">
        <f>ROUND(0.58*J15,2)</f>
        <v>10412.16</v>
      </c>
      <c r="J15" s="104">
        <f>17952</f>
        <v>17952</v>
      </c>
      <c r="K15" s="99">
        <f t="shared" si="2"/>
        <v>8380.07</v>
      </c>
      <c r="L15" s="100">
        <f t="shared" si="3"/>
        <v>11572.48</v>
      </c>
      <c r="M15" s="101">
        <f>18991+961.55</f>
        <v>19952.55</v>
      </c>
      <c r="N15" s="99">
        <f t="shared" si="4"/>
        <v>20403.18</v>
      </c>
      <c r="O15" s="100">
        <f t="shared" si="9"/>
        <v>28175.82</v>
      </c>
      <c r="P15" s="100">
        <v>48579</v>
      </c>
      <c r="Q15" s="99">
        <f t="shared" si="6"/>
        <v>13780.199999999999</v>
      </c>
      <c r="R15" s="100">
        <f t="shared" si="7"/>
        <v>19029.8</v>
      </c>
      <c r="S15" s="100">
        <f>32810</f>
        <v>32810</v>
      </c>
      <c r="T15" s="100">
        <v>0</v>
      </c>
      <c r="U15" s="100">
        <v>0</v>
      </c>
      <c r="V15" s="100">
        <v>0</v>
      </c>
      <c r="W15" s="67">
        <f t="shared" si="1"/>
        <v>50539.439999999995</v>
      </c>
      <c r="X15" s="68">
        <f t="shared" si="1"/>
        <v>69792.56</v>
      </c>
      <c r="Y15" s="68">
        <f t="shared" si="8"/>
        <v>120332</v>
      </c>
      <c r="Z15" s="35" t="s">
        <v>95</v>
      </c>
      <c r="AA15" s="35" t="s">
        <v>96</v>
      </c>
    </row>
    <row r="16" spans="1:28" ht="62" customHeight="1" x14ac:dyDescent="0.25">
      <c r="A16" s="112" t="s">
        <v>16</v>
      </c>
      <c r="B16" s="97">
        <v>0</v>
      </c>
      <c r="C16" s="98">
        <v>0</v>
      </c>
      <c r="D16" s="98">
        <v>0</v>
      </c>
      <c r="E16" s="99">
        <f>0.42*G16</f>
        <v>0</v>
      </c>
      <c r="F16" s="100">
        <f>0.58*G16</f>
        <v>0</v>
      </c>
      <c r="G16" s="100">
        <v>0</v>
      </c>
      <c r="H16" s="99">
        <f>ROUND(0.42*J16,2)</f>
        <v>0</v>
      </c>
      <c r="I16" s="100">
        <f>ROUND(0.58*J16,2)</f>
        <v>0</v>
      </c>
      <c r="J16" s="101">
        <f>4820-4820</f>
        <v>0</v>
      </c>
      <c r="K16" s="99">
        <f t="shared" si="2"/>
        <v>0</v>
      </c>
      <c r="L16" s="100">
        <f t="shared" si="3"/>
        <v>0</v>
      </c>
      <c r="M16" s="101">
        <f>4990-4990</f>
        <v>0</v>
      </c>
      <c r="N16" s="99">
        <f t="shared" si="4"/>
        <v>2169.3000000000002</v>
      </c>
      <c r="O16" s="100">
        <f t="shared" si="9"/>
        <v>2995.7</v>
      </c>
      <c r="P16" s="100">
        <v>5165</v>
      </c>
      <c r="Q16" s="99">
        <f t="shared" si="6"/>
        <v>0</v>
      </c>
      <c r="R16" s="100">
        <f t="shared" si="7"/>
        <v>0</v>
      </c>
      <c r="S16" s="100">
        <v>0</v>
      </c>
      <c r="T16" s="100">
        <v>0</v>
      </c>
      <c r="U16" s="100">
        <v>0</v>
      </c>
      <c r="V16" s="100">
        <v>0</v>
      </c>
      <c r="W16" s="67">
        <f t="shared" si="1"/>
        <v>2169.3000000000002</v>
      </c>
      <c r="X16" s="68">
        <f t="shared" si="1"/>
        <v>2995.7</v>
      </c>
      <c r="Y16" s="68">
        <f t="shared" si="8"/>
        <v>5165</v>
      </c>
      <c r="Z16" s="35" t="s">
        <v>64</v>
      </c>
      <c r="AA16" s="35" t="s">
        <v>100</v>
      </c>
    </row>
    <row r="17" spans="1:28" ht="75" hidden="1" x14ac:dyDescent="0.25">
      <c r="A17" s="113" t="s">
        <v>25</v>
      </c>
      <c r="B17" s="97">
        <v>0</v>
      </c>
      <c r="C17" s="98">
        <v>0</v>
      </c>
      <c r="D17" s="98">
        <v>0</v>
      </c>
      <c r="E17" s="99">
        <v>0</v>
      </c>
      <c r="F17" s="100">
        <v>0</v>
      </c>
      <c r="G17" s="100">
        <v>0</v>
      </c>
      <c r="H17" s="99">
        <v>0</v>
      </c>
      <c r="I17" s="100">
        <v>0</v>
      </c>
      <c r="J17" s="100">
        <v>0</v>
      </c>
      <c r="K17" s="99">
        <f t="shared" si="2"/>
        <v>0</v>
      </c>
      <c r="L17" s="100">
        <f t="shared" si="3"/>
        <v>0</v>
      </c>
      <c r="M17" s="100">
        <v>0</v>
      </c>
      <c r="N17" s="99">
        <f t="shared" si="4"/>
        <v>0</v>
      </c>
      <c r="O17" s="100">
        <f t="shared" si="9"/>
        <v>0</v>
      </c>
      <c r="P17" s="100">
        <v>0</v>
      </c>
      <c r="Q17" s="99">
        <f t="shared" si="6"/>
        <v>0</v>
      </c>
      <c r="R17" s="100">
        <f t="shared" si="7"/>
        <v>0</v>
      </c>
      <c r="S17" s="100">
        <v>0</v>
      </c>
      <c r="T17" s="100">
        <v>0</v>
      </c>
      <c r="U17" s="100">
        <v>0</v>
      </c>
      <c r="V17" s="100">
        <v>0</v>
      </c>
      <c r="W17" s="67">
        <f t="shared" si="1"/>
        <v>0</v>
      </c>
      <c r="X17" s="68">
        <f t="shared" si="1"/>
        <v>0</v>
      </c>
      <c r="Y17" s="68">
        <f t="shared" si="8"/>
        <v>0</v>
      </c>
      <c r="Z17" s="35" t="s">
        <v>32</v>
      </c>
      <c r="AA17" s="35"/>
    </row>
    <row r="18" spans="1:28" ht="221.5" customHeight="1" x14ac:dyDescent="0.25">
      <c r="A18" s="112" t="s">
        <v>17</v>
      </c>
      <c r="B18" s="97">
        <f>ROUND(0.42*D18,2)</f>
        <v>14519.73</v>
      </c>
      <c r="C18" s="98">
        <f>ROUND(0.58*D18,2)</f>
        <v>20051.060000000001</v>
      </c>
      <c r="D18" s="105">
        <f>40000-5429.21</f>
        <v>34570.79</v>
      </c>
      <c r="E18" s="99">
        <f>ROUND(0.42*G18,2)</f>
        <v>19547.22</v>
      </c>
      <c r="F18" s="100">
        <f>ROUND(0.58*G18,2)</f>
        <v>26993.79</v>
      </c>
      <c r="G18" s="101">
        <f>56176-9634.99</f>
        <v>46541.01</v>
      </c>
      <c r="H18" s="99">
        <f>ROUND(0.42*J18,2)</f>
        <v>22680.84</v>
      </c>
      <c r="I18" s="100">
        <f>ROUND(0.58*J18,2)</f>
        <v>31321.16</v>
      </c>
      <c r="J18" s="100">
        <v>54002</v>
      </c>
      <c r="K18" s="99">
        <f t="shared" si="2"/>
        <v>25982.13</v>
      </c>
      <c r="L18" s="100">
        <f>ROUND(0.58*M18,2)</f>
        <v>35880.080000000002</v>
      </c>
      <c r="M18" s="101">
        <f>56433+5429.21</f>
        <v>61862.21</v>
      </c>
      <c r="N18" s="99">
        <f t="shared" si="4"/>
        <v>24768.66</v>
      </c>
      <c r="O18" s="100">
        <f t="shared" si="9"/>
        <v>34204.339999999997</v>
      </c>
      <c r="P18" s="100">
        <v>58973</v>
      </c>
      <c r="Q18" s="99">
        <f t="shared" si="6"/>
        <v>14090.995799999999</v>
      </c>
      <c r="R18" s="100">
        <f t="shared" si="7"/>
        <v>19458.990000000002</v>
      </c>
      <c r="S18" s="101">
        <f>14105+9634.99+4820+4990</f>
        <v>33549.99</v>
      </c>
      <c r="T18" s="100">
        <v>0</v>
      </c>
      <c r="U18" s="100">
        <v>0</v>
      </c>
      <c r="V18" s="100">
        <v>0</v>
      </c>
      <c r="W18" s="67">
        <f t="shared" si="1"/>
        <v>121589.57580000001</v>
      </c>
      <c r="X18" s="68">
        <f t="shared" si="1"/>
        <v>167909.41999999998</v>
      </c>
      <c r="Y18" s="68">
        <f t="shared" si="8"/>
        <v>289498.99579999998</v>
      </c>
      <c r="Z18" s="35" t="s">
        <v>108</v>
      </c>
      <c r="AA18" s="35" t="s">
        <v>101</v>
      </c>
      <c r="AB18" s="4"/>
    </row>
    <row r="19" spans="1:28" x14ac:dyDescent="0.25">
      <c r="A19" s="106" t="s">
        <v>11</v>
      </c>
      <c r="B19" s="97">
        <f>SUM(B20)</f>
        <v>0</v>
      </c>
      <c r="C19" s="97">
        <f t="shared" ref="C19:V19" si="10">SUM(C20)</f>
        <v>0</v>
      </c>
      <c r="D19" s="97">
        <f t="shared" si="10"/>
        <v>0</v>
      </c>
      <c r="E19" s="99">
        <f t="shared" si="10"/>
        <v>2817.03</v>
      </c>
      <c r="F19" s="99">
        <f t="shared" si="10"/>
        <v>3890.19</v>
      </c>
      <c r="G19" s="99">
        <f t="shared" si="10"/>
        <v>6707.22</v>
      </c>
      <c r="H19" s="99">
        <f t="shared" si="10"/>
        <v>7711.2</v>
      </c>
      <c r="I19" s="99">
        <f t="shared" si="10"/>
        <v>10648.8</v>
      </c>
      <c r="J19" s="99">
        <f t="shared" si="10"/>
        <v>18360</v>
      </c>
      <c r="K19" s="99">
        <f t="shared" si="10"/>
        <v>8096.76</v>
      </c>
      <c r="L19" s="99">
        <f t="shared" si="10"/>
        <v>11181.24</v>
      </c>
      <c r="M19" s="99">
        <f t="shared" si="10"/>
        <v>19278</v>
      </c>
      <c r="N19" s="99">
        <f t="shared" si="10"/>
        <v>8501.64</v>
      </c>
      <c r="O19" s="99">
        <f t="shared" si="10"/>
        <v>11740.36</v>
      </c>
      <c r="P19" s="99">
        <f t="shared" si="10"/>
        <v>20242</v>
      </c>
      <c r="Q19" s="99">
        <f t="shared" si="10"/>
        <v>8025.2675999999992</v>
      </c>
      <c r="R19" s="99">
        <f t="shared" si="10"/>
        <v>11082.51</v>
      </c>
      <c r="S19" s="99">
        <f t="shared" si="10"/>
        <v>19107.78</v>
      </c>
      <c r="T19" s="99">
        <f t="shared" si="10"/>
        <v>0</v>
      </c>
      <c r="U19" s="99">
        <f t="shared" si="10"/>
        <v>0</v>
      </c>
      <c r="V19" s="99">
        <f t="shared" si="10"/>
        <v>0</v>
      </c>
      <c r="W19" s="67">
        <f t="shared" si="1"/>
        <v>35151.897599999997</v>
      </c>
      <c r="X19" s="67">
        <f t="shared" si="1"/>
        <v>48543.1</v>
      </c>
      <c r="Y19" s="67">
        <f t="shared" si="8"/>
        <v>83694.997600000002</v>
      </c>
      <c r="Z19" s="35"/>
      <c r="AA19" s="35"/>
    </row>
    <row r="20" spans="1:28" ht="92.5" customHeight="1" x14ac:dyDescent="0.25">
      <c r="A20" s="112" t="s">
        <v>27</v>
      </c>
      <c r="B20" s="97">
        <f>0.42*D20</f>
        <v>0</v>
      </c>
      <c r="C20" s="98">
        <f>0.58*D20</f>
        <v>0</v>
      </c>
      <c r="D20" s="98">
        <f>0</f>
        <v>0</v>
      </c>
      <c r="E20" s="99">
        <f>ROUND(0.42*G20,2)</f>
        <v>2817.03</v>
      </c>
      <c r="F20" s="100">
        <f>ROUND(0.58*G20,2)</f>
        <v>3890.19</v>
      </c>
      <c r="G20" s="101">
        <f>13000-6292.78</f>
        <v>6707.22</v>
      </c>
      <c r="H20" s="99">
        <f>ROUND(0.42*J20,2)</f>
        <v>7711.2</v>
      </c>
      <c r="I20" s="100">
        <f>ROUND(0.58*J20,2)</f>
        <v>10648.8</v>
      </c>
      <c r="J20" s="100">
        <v>18360</v>
      </c>
      <c r="K20" s="99">
        <f>ROUND(0.42*M20,2)</f>
        <v>8096.76</v>
      </c>
      <c r="L20" s="100">
        <f>ROUND(0.58*M20,2)</f>
        <v>11181.24</v>
      </c>
      <c r="M20" s="100">
        <v>19278</v>
      </c>
      <c r="N20" s="99">
        <f>ROUND(0.42*P20,2)</f>
        <v>8501.64</v>
      </c>
      <c r="O20" s="100">
        <f>ROUND(0.58*P20,2)</f>
        <v>11740.36</v>
      </c>
      <c r="P20" s="100">
        <v>20242</v>
      </c>
      <c r="Q20" s="99">
        <f>0.42*S20</f>
        <v>8025.2675999999992</v>
      </c>
      <c r="R20" s="100">
        <f>ROUND(0.58*S20,2)</f>
        <v>11082.51</v>
      </c>
      <c r="S20" s="101">
        <f>12815+6292.78</f>
        <v>19107.78</v>
      </c>
      <c r="T20" s="100">
        <v>0</v>
      </c>
      <c r="U20" s="100">
        <v>0</v>
      </c>
      <c r="V20" s="100">
        <v>0</v>
      </c>
      <c r="W20" s="67">
        <f>B20+E20+H20+K20+N20+Q20+T20</f>
        <v>35151.897599999997</v>
      </c>
      <c r="X20" s="67">
        <f>C20+F20+I20+L20+O20+R20+U20</f>
        <v>48543.1</v>
      </c>
      <c r="Y20" s="67">
        <f>W20+X20</f>
        <v>83694.997600000002</v>
      </c>
      <c r="Z20" s="35" t="s">
        <v>115</v>
      </c>
      <c r="AA20" s="35" t="s">
        <v>93</v>
      </c>
    </row>
    <row r="21" spans="1:28" x14ac:dyDescent="0.25">
      <c r="A21" s="106" t="s">
        <v>3</v>
      </c>
      <c r="B21" s="97">
        <f>SUM(B22:B23)</f>
        <v>1581.91</v>
      </c>
      <c r="C21" s="97">
        <f t="shared" ref="C21:L21" si="11">SUM(C22:C23)</f>
        <v>2184.54</v>
      </c>
      <c r="D21" s="97">
        <f t="shared" si="11"/>
        <v>3766.45</v>
      </c>
      <c r="E21" s="99">
        <f t="shared" si="11"/>
        <v>4601.8599999999997</v>
      </c>
      <c r="F21" s="99">
        <f t="shared" si="11"/>
        <v>6354.94</v>
      </c>
      <c r="G21" s="99">
        <f t="shared" si="11"/>
        <v>10956.800000000001</v>
      </c>
      <c r="H21" s="99">
        <f t="shared" si="11"/>
        <v>18509.91</v>
      </c>
      <c r="I21" s="99">
        <f t="shared" si="11"/>
        <v>25561.31</v>
      </c>
      <c r="J21" s="99">
        <f t="shared" si="11"/>
        <v>44071.22</v>
      </c>
      <c r="K21" s="99">
        <f t="shared" si="11"/>
        <v>17965.919999999998</v>
      </c>
      <c r="L21" s="99">
        <f t="shared" si="11"/>
        <v>24810.080000000002</v>
      </c>
      <c r="M21" s="99">
        <f>SUM(M22:M23)</f>
        <v>42776</v>
      </c>
      <c r="N21" s="99">
        <f t="shared" ref="N21:O21" si="12">SUM(N22:N23)</f>
        <v>17981.88</v>
      </c>
      <c r="O21" s="99">
        <f t="shared" si="12"/>
        <v>24832</v>
      </c>
      <c r="P21" s="99">
        <f>SUM(P22:P23)</f>
        <v>42814</v>
      </c>
      <c r="Q21" s="99">
        <f t="shared" ref="Q21:V21" si="13">SUM(Q22:Q23)</f>
        <v>13030.722599999999</v>
      </c>
      <c r="R21" s="99">
        <f t="shared" si="13"/>
        <v>17994.810000000001</v>
      </c>
      <c r="S21" s="99">
        <f t="shared" si="13"/>
        <v>31025.53</v>
      </c>
      <c r="T21" s="99">
        <f t="shared" si="13"/>
        <v>0</v>
      </c>
      <c r="U21" s="99">
        <f t="shared" si="13"/>
        <v>0</v>
      </c>
      <c r="V21" s="99">
        <f t="shared" si="13"/>
        <v>0</v>
      </c>
      <c r="W21" s="67">
        <f t="shared" si="1"/>
        <v>73672.20259999999</v>
      </c>
      <c r="X21" s="67">
        <f t="shared" si="1"/>
        <v>101737.68</v>
      </c>
      <c r="Y21" s="67">
        <f t="shared" si="8"/>
        <v>175409.88259999998</v>
      </c>
      <c r="Z21" s="35"/>
      <c r="AA21" s="35"/>
    </row>
    <row r="22" spans="1:28" ht="79.5" customHeight="1" x14ac:dyDescent="0.25">
      <c r="A22" s="112" t="s">
        <v>45</v>
      </c>
      <c r="B22" s="97">
        <f>0.42*D22</f>
        <v>0</v>
      </c>
      <c r="C22" s="97">
        <f>0.58*D22</f>
        <v>0</v>
      </c>
      <c r="D22" s="97">
        <v>0</v>
      </c>
      <c r="E22" s="99">
        <f>ROUND(0.42*G22,2)</f>
        <v>111.21</v>
      </c>
      <c r="F22" s="100">
        <f>ROUND(0.58*G22,2)</f>
        <v>153.57</v>
      </c>
      <c r="G22" s="101">
        <f>2000-1735.22</f>
        <v>264.77999999999997</v>
      </c>
      <c r="H22" s="99">
        <f>ROUND(0.42*J22,2)</f>
        <v>840</v>
      </c>
      <c r="I22" s="100">
        <f>ROUND(0.58*J22,2)</f>
        <v>1160</v>
      </c>
      <c r="J22" s="100">
        <f>2000</f>
        <v>2000</v>
      </c>
      <c r="K22" s="99">
        <f>ROUND(0.42*M22,2)</f>
        <v>840</v>
      </c>
      <c r="L22" s="100">
        <f t="shared" ref="L22:L24" si="14">ROUND(0.58*M22,2)</f>
        <v>1160</v>
      </c>
      <c r="M22" s="101">
        <f>1735.22+264.78</f>
        <v>2000</v>
      </c>
      <c r="N22" s="99">
        <f>ROUND(0.42*P22,2)</f>
        <v>0</v>
      </c>
      <c r="O22" s="100">
        <f>0.58*P22</f>
        <v>0</v>
      </c>
      <c r="P22" s="100">
        <v>0</v>
      </c>
      <c r="Q22" s="99">
        <f>0.42*S22</f>
        <v>0</v>
      </c>
      <c r="R22" s="100">
        <f t="shared" ref="R22:R24" si="15">ROUND(0.58*S22,2)</f>
        <v>0</v>
      </c>
      <c r="S22" s="100">
        <v>0</v>
      </c>
      <c r="T22" s="99">
        <f>0.42*V22</f>
        <v>0</v>
      </c>
      <c r="U22" s="100">
        <f>0.58*V22</f>
        <v>0</v>
      </c>
      <c r="V22" s="100">
        <v>0</v>
      </c>
      <c r="W22" s="67">
        <f t="shared" si="1"/>
        <v>1791.21</v>
      </c>
      <c r="X22" s="67">
        <f t="shared" si="1"/>
        <v>2473.5699999999997</v>
      </c>
      <c r="Y22" s="67">
        <f t="shared" si="8"/>
        <v>4264.78</v>
      </c>
      <c r="Z22" s="40" t="s">
        <v>69</v>
      </c>
      <c r="AA22" s="35" t="s">
        <v>98</v>
      </c>
    </row>
    <row r="23" spans="1:28" ht="104" customHeight="1" x14ac:dyDescent="0.25">
      <c r="A23" s="112" t="s">
        <v>28</v>
      </c>
      <c r="B23" s="97">
        <f>ROUND(0.42*D23,2)</f>
        <v>1581.91</v>
      </c>
      <c r="C23" s="98">
        <f>ROUND(0.58*D23,2)</f>
        <v>2184.54</v>
      </c>
      <c r="D23" s="105">
        <f>4500-733.55</f>
        <v>3766.45</v>
      </c>
      <c r="E23" s="99">
        <f>ROUND(0.42*G23,2)</f>
        <v>4490.6499999999996</v>
      </c>
      <c r="F23" s="100">
        <f>ROUND(0.58*G23,2)</f>
        <v>6201.37</v>
      </c>
      <c r="G23" s="101">
        <f>40984-30291.98</f>
        <v>10692.02</v>
      </c>
      <c r="H23" s="99">
        <f>ROUND(0.42*J23,2)</f>
        <v>17669.91</v>
      </c>
      <c r="I23" s="100">
        <f>ROUND(0.58*J23,2)</f>
        <v>24401.31</v>
      </c>
      <c r="J23" s="101">
        <f>42336-264.78</f>
        <v>42071.22</v>
      </c>
      <c r="K23" s="99">
        <f>ROUND(0.42*M23,2)</f>
        <v>17125.919999999998</v>
      </c>
      <c r="L23" s="100">
        <f t="shared" si="14"/>
        <v>23650.080000000002</v>
      </c>
      <c r="M23" s="100">
        <v>40776</v>
      </c>
      <c r="N23" s="99">
        <f t="shared" ref="N23:N24" si="16">ROUND(0.42*P23,2)</f>
        <v>17981.88</v>
      </c>
      <c r="O23" s="100">
        <v>24832</v>
      </c>
      <c r="P23" s="100">
        <v>42814</v>
      </c>
      <c r="Q23" s="99">
        <f t="shared" ref="Q23:Q24" si="17">0.42*S23</f>
        <v>13030.722599999999</v>
      </c>
      <c r="R23" s="100">
        <f t="shared" si="15"/>
        <v>17994.810000000001</v>
      </c>
      <c r="S23" s="101">
        <f>733.55+30291.98</f>
        <v>31025.53</v>
      </c>
      <c r="T23" s="100">
        <v>0</v>
      </c>
      <c r="U23" s="100">
        <v>0</v>
      </c>
      <c r="V23" s="100">
        <v>0</v>
      </c>
      <c r="W23" s="67">
        <f>B23+E23+H23+K23+N23+Q23+T23</f>
        <v>71880.992599999998</v>
      </c>
      <c r="X23" s="68">
        <f>C23+F23+I23+L23+O23+R23+U23</f>
        <v>99264.11</v>
      </c>
      <c r="Y23" s="68">
        <f>W23+X23</f>
        <v>171145.10259999998</v>
      </c>
      <c r="Z23" s="35" t="s">
        <v>109</v>
      </c>
      <c r="AA23" s="75" t="s">
        <v>97</v>
      </c>
    </row>
    <row r="24" spans="1:28" ht="37.5" x14ac:dyDescent="0.25">
      <c r="A24" s="106" t="s">
        <v>43</v>
      </c>
      <c r="B24" s="97">
        <f>ROUND(0.42*D24,2)</f>
        <v>214.96</v>
      </c>
      <c r="C24" s="97">
        <f>ROUND(0.58*D24,2)</f>
        <v>296.86</v>
      </c>
      <c r="D24" s="107">
        <f>1000-488.18</f>
        <v>511.82</v>
      </c>
      <c r="E24" s="99">
        <f>ROUND(0.42*G24,2)</f>
        <v>3585.03</v>
      </c>
      <c r="F24" s="99">
        <f>ROUND(0.58*G24,2)</f>
        <v>4950.75</v>
      </c>
      <c r="G24" s="108">
        <f>13000-4464.22</f>
        <v>8535.7799999999988</v>
      </c>
      <c r="H24" s="99">
        <f>ROUND(0.42*J24,2)</f>
        <v>2100</v>
      </c>
      <c r="I24" s="100">
        <f>ROUND(0.58*J24,2)</f>
        <v>2900</v>
      </c>
      <c r="J24" s="108">
        <f>23000-18000</f>
        <v>5000</v>
      </c>
      <c r="K24" s="99">
        <f>ROUND(0.42*M24,2)</f>
        <v>5460</v>
      </c>
      <c r="L24" s="100">
        <f t="shared" si="14"/>
        <v>7540</v>
      </c>
      <c r="M24" s="99">
        <f>5460*100/42</f>
        <v>13000</v>
      </c>
      <c r="N24" s="99">
        <f t="shared" si="16"/>
        <v>5460</v>
      </c>
      <c r="O24" s="99">
        <v>7540</v>
      </c>
      <c r="P24" s="99">
        <f>5460*100/42</f>
        <v>13000</v>
      </c>
      <c r="Q24" s="99">
        <f t="shared" si="17"/>
        <v>10480.008</v>
      </c>
      <c r="R24" s="100">
        <f t="shared" si="15"/>
        <v>14472.39</v>
      </c>
      <c r="S24" s="108">
        <f>2000+488.18+4464.22+18000</f>
        <v>24952.400000000001</v>
      </c>
      <c r="T24" s="99">
        <v>0</v>
      </c>
      <c r="U24" s="99">
        <v>0</v>
      </c>
      <c r="V24" s="99">
        <v>0</v>
      </c>
      <c r="W24" s="67">
        <f>B24+E24+H24+K24+N24+Q24+T24</f>
        <v>27299.998</v>
      </c>
      <c r="X24" s="67">
        <f t="shared" ref="X24:X25" si="18">C24+F24+I24+L24+O24+R24+U24</f>
        <v>37700</v>
      </c>
      <c r="Y24" s="67">
        <f t="shared" ref="Y24:Y25" si="19">W24+X24</f>
        <v>64999.998</v>
      </c>
      <c r="Z24" s="75" t="s">
        <v>44</v>
      </c>
      <c r="AA24" s="35" t="s">
        <v>99</v>
      </c>
    </row>
    <row r="25" spans="1:28" x14ac:dyDescent="0.25">
      <c r="A25" s="109" t="s">
        <v>0</v>
      </c>
      <c r="B25" s="110">
        <f t="shared" ref="B25:S25" si="20">ROUND(B5+B19+B21+B24,2)</f>
        <v>18863.349999999999</v>
      </c>
      <c r="C25" s="110">
        <f t="shared" si="20"/>
        <v>26049.41</v>
      </c>
      <c r="D25" s="110">
        <f t="shared" si="20"/>
        <v>44912.76</v>
      </c>
      <c r="E25" s="111">
        <f t="shared" si="20"/>
        <v>31554.27</v>
      </c>
      <c r="F25" s="111">
        <f t="shared" si="20"/>
        <v>43574.95</v>
      </c>
      <c r="G25" s="111">
        <f t="shared" si="20"/>
        <v>75129.22</v>
      </c>
      <c r="H25" s="111">
        <f t="shared" si="20"/>
        <v>64308.39</v>
      </c>
      <c r="I25" s="111">
        <f t="shared" si="20"/>
        <v>88806.83</v>
      </c>
      <c r="J25" s="111">
        <f t="shared" si="20"/>
        <v>153115.22</v>
      </c>
      <c r="K25" s="111">
        <f t="shared" si="20"/>
        <v>81918.94</v>
      </c>
      <c r="L25" s="111">
        <f t="shared" si="20"/>
        <v>113126.16</v>
      </c>
      <c r="M25" s="111">
        <f t="shared" si="20"/>
        <v>195045.1</v>
      </c>
      <c r="N25" s="111">
        <f t="shared" si="20"/>
        <v>132687.66</v>
      </c>
      <c r="O25" s="111">
        <f t="shared" si="20"/>
        <v>183235.22</v>
      </c>
      <c r="P25" s="111">
        <f t="shared" si="20"/>
        <v>315923</v>
      </c>
      <c r="Q25" s="111">
        <f t="shared" si="20"/>
        <v>60667.19</v>
      </c>
      <c r="R25" s="111">
        <f t="shared" si="20"/>
        <v>83778.5</v>
      </c>
      <c r="S25" s="111">
        <f t="shared" si="20"/>
        <v>144445.70000000001</v>
      </c>
      <c r="T25" s="111">
        <f t="shared" ref="T25:V25" si="21">T5+T19+T21+T24</f>
        <v>0</v>
      </c>
      <c r="U25" s="111">
        <f t="shared" si="21"/>
        <v>0</v>
      </c>
      <c r="V25" s="111">
        <f t="shared" si="21"/>
        <v>0</v>
      </c>
      <c r="W25" s="111">
        <f>B25+E25+H25+K25+N25+Q25+T25</f>
        <v>389999.8</v>
      </c>
      <c r="X25" s="111">
        <f t="shared" si="18"/>
        <v>538571.06999999995</v>
      </c>
      <c r="Y25" s="111">
        <f t="shared" si="19"/>
        <v>928570.86999999988</v>
      </c>
      <c r="Z25" s="35"/>
      <c r="AA25" s="35"/>
    </row>
    <row r="27" spans="1:28" x14ac:dyDescent="0.3">
      <c r="A27" s="4" t="s">
        <v>107</v>
      </c>
      <c r="D27" s="8">
        <f>936.3+5429.21+733.55+488.18</f>
        <v>7587.2400000000007</v>
      </c>
      <c r="G27" s="8">
        <f>1650.04+961.55+9634.99+6292.78+1735.22+30291.98+4464.22</f>
        <v>55030.78</v>
      </c>
      <c r="J27" s="8">
        <f>19170+3000+4820+264.78+18000</f>
        <v>45254.78</v>
      </c>
      <c r="M27" s="76">
        <f>936.3+1650.04+19170+961.55+4990+5429.21+1735.22+264.78</f>
        <v>35137.1</v>
      </c>
      <c r="S27" s="77">
        <f>3000+9634.99+4820+4990+6292.78+733.55+30291.98+488.18+4464.22+18000</f>
        <v>82715.7</v>
      </c>
      <c r="Y27" s="7"/>
    </row>
    <row r="28" spans="1:28" x14ac:dyDescent="0.3">
      <c r="D28" s="72"/>
      <c r="M28" s="71"/>
      <c r="Y28" s="71"/>
    </row>
    <row r="29" spans="1:28" x14ac:dyDescent="0.3">
      <c r="A29" s="4" t="s">
        <v>104</v>
      </c>
      <c r="D29" s="1">
        <v>52500</v>
      </c>
      <c r="G29" s="1">
        <v>130160</v>
      </c>
      <c r="J29" s="1">
        <v>198370</v>
      </c>
      <c r="M29" s="1">
        <v>169888</v>
      </c>
      <c r="S29" s="71">
        <v>61730</v>
      </c>
      <c r="Y29" s="71"/>
    </row>
    <row r="30" spans="1:28" x14ac:dyDescent="0.3">
      <c r="A30" s="4" t="s">
        <v>105</v>
      </c>
      <c r="C30" s="8"/>
      <c r="D30" s="72">
        <f>D25</f>
        <v>44912.76</v>
      </c>
      <c r="F30" s="8"/>
      <c r="G30" s="71">
        <f>G25</f>
        <v>75129.22</v>
      </c>
      <c r="J30" s="71">
        <f>J25</f>
        <v>153115.22</v>
      </c>
      <c r="M30" s="71">
        <f>M25</f>
        <v>195045.1</v>
      </c>
      <c r="S30" s="71">
        <f>S25</f>
        <v>144445.70000000001</v>
      </c>
    </row>
    <row r="31" spans="1:28" x14ac:dyDescent="0.3">
      <c r="A31" s="4" t="s">
        <v>106</v>
      </c>
      <c r="D31" s="1">
        <f>D29-D30</f>
        <v>7587.239999999998</v>
      </c>
      <c r="G31" s="1">
        <f>G29-G30</f>
        <v>55030.78</v>
      </c>
      <c r="J31" s="1">
        <f>J29-J30</f>
        <v>45254.78</v>
      </c>
      <c r="M31" s="72">
        <f>M30-M29</f>
        <v>25157.100000000006</v>
      </c>
      <c r="S31" s="72">
        <f>S30-S29</f>
        <v>82715.700000000012</v>
      </c>
    </row>
    <row r="33" spans="1:19" x14ac:dyDescent="0.3">
      <c r="B33" s="9"/>
      <c r="C33" s="7"/>
      <c r="D33" s="7"/>
      <c r="E33" s="9"/>
      <c r="F33" s="7"/>
      <c r="S33" s="71"/>
    </row>
    <row r="34" spans="1:19" x14ac:dyDescent="0.3">
      <c r="B34" s="9"/>
      <c r="C34" s="7"/>
      <c r="D34" s="7"/>
      <c r="E34" s="9"/>
      <c r="F34" s="7"/>
    </row>
    <row r="35" spans="1:19" x14ac:dyDescent="0.3">
      <c r="B35" s="9"/>
      <c r="C35" s="9"/>
      <c r="D35" s="9"/>
      <c r="E35" s="9"/>
      <c r="F35" s="9"/>
    </row>
    <row r="37" spans="1:19" x14ac:dyDescent="0.3">
      <c r="A37" s="13"/>
    </row>
  </sheetData>
  <mergeCells count="10">
    <mergeCell ref="A2:Y2"/>
    <mergeCell ref="A3:A4"/>
    <mergeCell ref="B3:D3"/>
    <mergeCell ref="E3:G3"/>
    <mergeCell ref="H3:J3"/>
    <mergeCell ref="K3:M3"/>
    <mergeCell ref="N3:P3"/>
    <mergeCell ref="Q3:S3"/>
    <mergeCell ref="T3:V3"/>
    <mergeCell ref="W3:Y3"/>
  </mergeCells>
  <pageMargins left="0.25" right="0.25"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a7807b-8415-478d-b0e9-6c2b2f1cf8a7">
      <Terms xmlns="http://schemas.microsoft.com/office/infopath/2007/PartnerControls"/>
    </lcf76f155ced4ddcb4097134ff3c332f>
    <TaxCatchAll xmlns="b8a1d2b4-14fc-4346-bc33-b5e3ce352a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FFF6E86522884A86C267A294F8C3F8" ma:contentTypeVersion="19" ma:contentTypeDescription="Create a new document." ma:contentTypeScope="" ma:versionID="9395af05b64b5da655199664912ff7c2">
  <xsd:schema xmlns:xsd="http://www.w3.org/2001/XMLSchema" xmlns:xs="http://www.w3.org/2001/XMLSchema" xmlns:p="http://schemas.microsoft.com/office/2006/metadata/properties" xmlns:ns2="7da7807b-8415-478d-b0e9-6c2b2f1cf8a7" xmlns:ns3="b8a1d2b4-14fc-4346-bc33-b5e3ce352a93" targetNamespace="http://schemas.microsoft.com/office/2006/metadata/properties" ma:root="true" ma:fieldsID="7ab13f489bfe53cf7c0d380a24019806" ns2:_="" ns3:_="">
    <xsd:import namespace="7da7807b-8415-478d-b0e9-6c2b2f1cf8a7"/>
    <xsd:import namespace="b8a1d2b4-14fc-4346-bc33-b5e3ce352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7807b-8415-478d-b0e9-6c2b2f1cf8a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BillingMetadata" ma:index="8"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a1d2b4-14fc-4346-bc33-b5e3ce352a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c8847eb-0e91-4b25-b6dc-50997dc52add}" ma:internalName="TaxCatchAll" ma:showField="CatchAllData" ma:web="b8a1d2b4-14fc-4346-bc33-b5e3ce352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E01B2D-4EE7-46E8-AABE-62C87DF73B91}">
  <ds:schemaRefs>
    <ds:schemaRef ds:uri="http://purl.org/dc/terms/"/>
    <ds:schemaRef ds:uri="http://www.w3.org/XML/1998/namespace"/>
    <ds:schemaRef ds:uri="http://schemas.microsoft.com/office/2006/documentManagement/types"/>
    <ds:schemaRef ds:uri="http://schemas.microsoft.com/office/infopath/2007/PartnerControls"/>
    <ds:schemaRef ds:uri="7da7807b-8415-478d-b0e9-6c2b2f1cf8a7"/>
    <ds:schemaRef ds:uri="http://purl.org/dc/elements/1.1/"/>
    <ds:schemaRef ds:uri="http://schemas.openxmlformats.org/package/2006/metadata/core-properties"/>
    <ds:schemaRef ds:uri="b8a1d2b4-14fc-4346-bc33-b5e3ce352a9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2166D65-E687-46DA-8F8F-9BDEE6A8B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7807b-8415-478d-b0e9-6c2b2f1cf8a7"/>
    <ds:schemaRef ds:uri="b8a1d2b4-14fc-4346-bc33-b5e3ce352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D692CF-CEC2-4256-B2A6-301E63E7D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Budget 2026</vt:lpstr>
      <vt:lpstr>TA original budget</vt:lpstr>
      <vt:lpstr>Modifications_2023</vt:lpstr>
      <vt:lpstr>Modifications_2024</vt:lpstr>
      <vt:lpstr>Modifications_2025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Pille Penk</dc:creator>
  <cp:lastModifiedBy>Helena Musthallik - RTK</cp:lastModifiedBy>
  <cp:lastPrinted>2023-10-31T10:45:09Z</cp:lastPrinted>
  <dcterms:created xsi:type="dcterms:W3CDTF">2022-10-25T07:59:56Z</dcterms:created>
  <dcterms:modified xsi:type="dcterms:W3CDTF">2025-10-29T13:18:20Z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0x0101003EFFF6E86522884A86C267A294F8C3F8</vt:lpwstr>
  </property>
  <property fmtid="{D5CDD505-2E9C-101B-9397-08002B2CF9AE}" pid="3" name="Order">
    <vt:r8>149000</vt:r8>
  </property>
  <property fmtid="{D5CDD505-2E9C-101B-9397-08002B2CF9AE}" pid="4" name="_ExtendedDescription">
    <vt:lpwstr/>
  </property>
  <property fmtid="{D5CDD505-2E9C-101B-9397-08002B2CF9AE}" pid="5" name="MSIP_Label_defa4170-0d19-0005-0004-bc88714345d2_Enabled">
    <vt:lpwstr>true</vt:lpwstr>
  </property>
  <property fmtid="{D5CDD505-2E9C-101B-9397-08002B2CF9AE}" pid="6" name="MSIP_Label_defa4170-0d19-0005-0004-bc88714345d2_SetDate">
    <vt:lpwstr>2025-10-21T19:16:01Z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8fe098d2-428d-4bd4-9803-7195fe96f0e2</vt:lpwstr>
  </property>
  <property fmtid="{D5CDD505-2E9C-101B-9397-08002B2CF9AE}" pid="10" name="MSIP_Label_defa4170-0d19-0005-0004-bc88714345d2_ActionId">
    <vt:lpwstr>553f0818-d54d-44b6-b804-03c56bb60d31</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y fmtid="{D5CDD505-2E9C-101B-9397-08002B2CF9AE}" pid="13" name="MediaServiceImageTags">
    <vt:lpwstr/>
  </property>
</Properties>
</file>