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O:\KOV sotsiaalteenuste ja valmisoleku talitus\3. Rändetiim\Vastuvõtutingimused\TAT\Muudatus\30.07.2026\"/>
    </mc:Choice>
  </mc:AlternateContent>
  <xr:revisionPtr revIDLastSave="0" documentId="13_ncr:1_{3519D129-6FF4-4CAC-A66A-B3D814110C61}" xr6:coauthVersionLast="47" xr6:coauthVersionMax="47" xr10:uidLastSave="{00000000-0000-0000-0000-000000000000}"/>
  <bookViews>
    <workbookView xWindow="-28920" yWindow="-120" windowWidth="29040" windowHeight="15720" xr2:uid="{23C30440-8402-4B2C-9455-10841ABFB64F}"/>
  </bookViews>
  <sheets>
    <sheet name="tegevuskava ja eelarve" sheetId="1" r:id="rId1"/>
    <sheet name="Leht2" sheetId="5" r:id="rId2"/>
    <sheet name="maksete prognoos" sheetId="3" state="hidden" r:id="rId3"/>
    <sheet name="Leht1" sheetId="4" state="hidden" r:id="rId4"/>
  </sheets>
  <definedNames>
    <definedName name="_xlnm._FilterDatabase" localSheetId="0" hidden="1">'tegevuskava ja eelarve'!#REF!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50" i="1" l="1"/>
  <c r="H96" i="1"/>
  <c r="G96" i="1"/>
  <c r="F96" i="1"/>
  <c r="J91" i="1"/>
  <c r="I91" i="1"/>
  <c r="H91" i="1"/>
  <c r="K86" i="1"/>
  <c r="J86" i="1"/>
  <c r="I86" i="1"/>
  <c r="H86" i="1"/>
  <c r="G86" i="1"/>
  <c r="F86" i="1"/>
  <c r="H56" i="1"/>
  <c r="H18" i="1" l="1"/>
  <c r="L38" i="1"/>
  <c r="J27" i="1" l="1"/>
  <c r="K46" i="1"/>
  <c r="J46" i="1"/>
  <c r="E46" i="1"/>
  <c r="L47" i="1"/>
  <c r="K37" i="1"/>
  <c r="J37" i="1"/>
  <c r="L48" i="1" l="1"/>
  <c r="L46" i="1" s="1"/>
  <c r="K42" i="1"/>
  <c r="J50" i="1"/>
  <c r="J42" i="1" s="1"/>
  <c r="L29" i="1"/>
  <c r="L28" i="1"/>
  <c r="L20" i="1"/>
  <c r="N20" i="1" s="1"/>
  <c r="L91" i="1"/>
  <c r="G91" i="1"/>
  <c r="Z15" i="3"/>
  <c r="Y15" i="3"/>
  <c r="W15" i="3"/>
  <c r="V15" i="3"/>
  <c r="T15" i="3"/>
  <c r="S15" i="3"/>
  <c r="U15" i="3"/>
  <c r="Q15" i="3"/>
  <c r="P15" i="3"/>
  <c r="N15" i="3"/>
  <c r="M15" i="3"/>
  <c r="Q16" i="3"/>
  <c r="P16" i="3"/>
  <c r="N16" i="3"/>
  <c r="M16" i="3"/>
  <c r="E16" i="3"/>
  <c r="D16" i="3"/>
  <c r="P14" i="3"/>
  <c r="Q14" i="3"/>
  <c r="T14" i="3"/>
  <c r="S14" i="3"/>
  <c r="W14" i="3"/>
  <c r="Z14" i="3"/>
  <c r="V14" i="3"/>
  <c r="Y14" i="3"/>
  <c r="E14" i="3"/>
  <c r="D14" i="3"/>
  <c r="E13" i="3"/>
  <c r="D13" i="3"/>
  <c r="Q13" i="3"/>
  <c r="T13" i="3"/>
  <c r="S13" i="3"/>
  <c r="S17" i="3"/>
  <c r="W13" i="3"/>
  <c r="V13" i="3"/>
  <c r="Z13" i="3"/>
  <c r="Y13" i="3"/>
  <c r="T12" i="3"/>
  <c r="S12" i="3"/>
  <c r="W12" i="3"/>
  <c r="Z12" i="3"/>
  <c r="AB12" i="3"/>
  <c r="AC12" i="3"/>
  <c r="AC17" i="3"/>
  <c r="AF12" i="3"/>
  <c r="AF17" i="3"/>
  <c r="AE12" i="3"/>
  <c r="R17" i="3"/>
  <c r="N12" i="3"/>
  <c r="E12" i="3"/>
  <c r="D12" i="3"/>
  <c r="G37" i="1"/>
  <c r="G20" i="4"/>
  <c r="H20" i="4"/>
  <c r="I20" i="4"/>
  <c r="J20" i="4"/>
  <c r="K20" i="4"/>
  <c r="L20" i="4"/>
  <c r="M20" i="4"/>
  <c r="F20" i="4"/>
  <c r="M49" i="1"/>
  <c r="M46" i="1" s="1"/>
  <c r="I46" i="1"/>
  <c r="I50" i="1" s="1"/>
  <c r="H46" i="1"/>
  <c r="H9" i="4"/>
  <c r="I9" i="4"/>
  <c r="J25" i="4"/>
  <c r="G10" i="4"/>
  <c r="G9" i="4"/>
  <c r="F32" i="4"/>
  <c r="G32" i="4"/>
  <c r="M58" i="1"/>
  <c r="N58" i="1" s="1"/>
  <c r="M57" i="1"/>
  <c r="N57" i="1" s="1"/>
  <c r="L39" i="1"/>
  <c r="L37" i="1" s="1"/>
  <c r="G26" i="4"/>
  <c r="G25" i="4"/>
  <c r="G24" i="4"/>
  <c r="G29" i="4"/>
  <c r="H29" i="4"/>
  <c r="F19" i="4"/>
  <c r="G19" i="4"/>
  <c r="H19" i="4"/>
  <c r="F8" i="4"/>
  <c r="H8" i="4"/>
  <c r="F15" i="1"/>
  <c r="F7" i="4"/>
  <c r="H7" i="4"/>
  <c r="N29" i="1"/>
  <c r="E56" i="1"/>
  <c r="E52" i="1" s="1"/>
  <c r="F56" i="1"/>
  <c r="G56" i="1"/>
  <c r="G52" i="1" s="1"/>
  <c r="H52" i="1"/>
  <c r="I56" i="1"/>
  <c r="I52" i="1" s="1"/>
  <c r="J56" i="1"/>
  <c r="J52" i="1"/>
  <c r="N62" i="1"/>
  <c r="N61" i="1"/>
  <c r="N60" i="1"/>
  <c r="N59" i="1"/>
  <c r="L56" i="1"/>
  <c r="L52" i="1" s="1"/>
  <c r="K56" i="1"/>
  <c r="K52" i="1" s="1"/>
  <c r="D56" i="1"/>
  <c r="D52" i="1" s="1"/>
  <c r="D46" i="1"/>
  <c r="D42" i="1"/>
  <c r="M37" i="1"/>
  <c r="M33" i="1"/>
  <c r="E37" i="1"/>
  <c r="E33" i="1"/>
  <c r="D37" i="1"/>
  <c r="D33" i="1" s="1"/>
  <c r="M27" i="1"/>
  <c r="M23" i="1" s="1"/>
  <c r="K27" i="1"/>
  <c r="K23" i="1" s="1"/>
  <c r="E27" i="1"/>
  <c r="E23" i="1" s="1"/>
  <c r="D27" i="1"/>
  <c r="D23" i="1"/>
  <c r="C17" i="3"/>
  <c r="D17" i="3"/>
  <c r="H17" i="3"/>
  <c r="G17" i="3"/>
  <c r="F13" i="3"/>
  <c r="F14" i="3"/>
  <c r="I14" i="3"/>
  <c r="F15" i="3"/>
  <c r="I15" i="3"/>
  <c r="F16" i="3"/>
  <c r="I16" i="3"/>
  <c r="F12" i="3"/>
  <c r="I12" i="3"/>
  <c r="AE16" i="3"/>
  <c r="AB16" i="3"/>
  <c r="AE15" i="3"/>
  <c r="AB15" i="3"/>
  <c r="AE14" i="3"/>
  <c r="AB14" i="3"/>
  <c r="AE13" i="3"/>
  <c r="AB13" i="3"/>
  <c r="Y16" i="3"/>
  <c r="K17" i="3"/>
  <c r="P13" i="3"/>
  <c r="J17" i="3"/>
  <c r="I13" i="3"/>
  <c r="G8" i="4"/>
  <c r="I19" i="4"/>
  <c r="F27" i="1"/>
  <c r="F31" i="1" s="1"/>
  <c r="I7" i="4"/>
  <c r="J9" i="4"/>
  <c r="I8" i="4"/>
  <c r="H10" i="4"/>
  <c r="I10" i="4"/>
  <c r="J10" i="4"/>
  <c r="K10" i="4"/>
  <c r="L10" i="4"/>
  <c r="M10" i="4"/>
  <c r="G7" i="4"/>
  <c r="H32" i="4"/>
  <c r="I32" i="4"/>
  <c r="F46" i="1"/>
  <c r="F50" i="1" s="1"/>
  <c r="J7" i="4"/>
  <c r="G15" i="1"/>
  <c r="G21" i="1" s="1"/>
  <c r="J8" i="4"/>
  <c r="M18" i="1"/>
  <c r="N18" i="1" s="1"/>
  <c r="K9" i="4"/>
  <c r="F37" i="1"/>
  <c r="N10" i="4"/>
  <c r="J19" i="4"/>
  <c r="L9" i="4"/>
  <c r="K7" i="4"/>
  <c r="K19" i="4"/>
  <c r="K8" i="4"/>
  <c r="J32" i="4"/>
  <c r="K32" i="4"/>
  <c r="M9" i="4"/>
  <c r="L19" i="4"/>
  <c r="M19" i="4"/>
  <c r="L8" i="4"/>
  <c r="L7" i="4"/>
  <c r="N9" i="4"/>
  <c r="M7" i="4"/>
  <c r="M8" i="4"/>
  <c r="N19" i="4"/>
  <c r="N7" i="4"/>
  <c r="L13" i="4"/>
  <c r="N8" i="4"/>
  <c r="L14" i="4"/>
  <c r="N17" i="3"/>
  <c r="I17" i="3"/>
  <c r="M14" i="3"/>
  <c r="F17" i="3"/>
  <c r="M12" i="3"/>
  <c r="Z17" i="3"/>
  <c r="T17" i="3"/>
  <c r="M13" i="3"/>
  <c r="E17" i="3"/>
  <c r="W17" i="3"/>
  <c r="Q12" i="3"/>
  <c r="Q17" i="3"/>
  <c r="P12" i="3"/>
  <c r="P17" i="3"/>
  <c r="AE17" i="3"/>
  <c r="AD17" i="3"/>
  <c r="AA17" i="3"/>
  <c r="AB17" i="3"/>
  <c r="X17" i="3"/>
  <c r="Y12" i="3"/>
  <c r="Y17" i="3"/>
  <c r="V12" i="3"/>
  <c r="V17" i="3"/>
  <c r="U17" i="3"/>
  <c r="O17" i="3"/>
  <c r="L17" i="3"/>
  <c r="M17" i="3"/>
  <c r="G27" i="1"/>
  <c r="G31" i="1" s="1"/>
  <c r="E86" i="1"/>
  <c r="N47" i="1"/>
  <c r="H37" i="1"/>
  <c r="H40" i="1" s="1"/>
  <c r="E15" i="1"/>
  <c r="N28" i="1"/>
  <c r="I37" i="1"/>
  <c r="I40" i="1" s="1"/>
  <c r="N38" i="1"/>
  <c r="I15" i="1"/>
  <c r="I21" i="1" s="1"/>
  <c r="E50" i="1"/>
  <c r="H27" i="1"/>
  <c r="I27" i="1"/>
  <c r="I31" i="1" s="1"/>
  <c r="L16" i="1"/>
  <c r="L15" i="1" s="1"/>
  <c r="G46" i="1"/>
  <c r="G50" i="1" s="1"/>
  <c r="J15" i="1"/>
  <c r="J21" i="1" s="1"/>
  <c r="L30" i="1"/>
  <c r="N30" i="1" s="1"/>
  <c r="K15" i="1"/>
  <c r="K21" i="1" s="1"/>
  <c r="M19" i="1"/>
  <c r="N19" i="1" s="1"/>
  <c r="L40" i="1" l="1"/>
  <c r="N40" i="1" s="1"/>
  <c r="N37" i="1"/>
  <c r="G23" i="1"/>
  <c r="D76" i="1"/>
  <c r="E21" i="1"/>
  <c r="E11" i="1"/>
  <c r="F52" i="1"/>
  <c r="H50" i="1"/>
  <c r="H42" i="1" s="1"/>
  <c r="N39" i="1"/>
  <c r="G40" i="1"/>
  <c r="G33" i="1" s="1"/>
  <c r="F23" i="1"/>
  <c r="L27" i="1"/>
  <c r="N27" i="1" s="1"/>
  <c r="H31" i="1"/>
  <c r="H23" i="1" s="1"/>
  <c r="J11" i="1"/>
  <c r="L21" i="1"/>
  <c r="L11" i="1" s="1"/>
  <c r="K11" i="1"/>
  <c r="N16" i="1"/>
  <c r="F21" i="1"/>
  <c r="F11" i="1"/>
  <c r="N46" i="1"/>
  <c r="N48" i="1"/>
  <c r="I42" i="1"/>
  <c r="E42" i="1"/>
  <c r="H33" i="1"/>
  <c r="F40" i="1"/>
  <c r="F33" i="1" s="1"/>
  <c r="E96" i="1"/>
  <c r="L96" i="1" s="1"/>
  <c r="H15" i="1"/>
  <c r="M50" i="1"/>
  <c r="G11" i="1"/>
  <c r="M56" i="1"/>
  <c r="L33" i="1"/>
  <c r="N33" i="1" s="1"/>
  <c r="I11" i="1"/>
  <c r="I33" i="1"/>
  <c r="E76" i="1"/>
  <c r="G42" i="1"/>
  <c r="N49" i="1"/>
  <c r="I23" i="1"/>
  <c r="L50" i="1"/>
  <c r="M17" i="1"/>
  <c r="F42" i="1"/>
  <c r="I76" i="1" l="1"/>
  <c r="F76" i="1"/>
  <c r="G76" i="1"/>
  <c r="L86" i="1"/>
  <c r="I78" i="1"/>
  <c r="M42" i="1"/>
  <c r="N50" i="1"/>
  <c r="E77" i="1"/>
  <c r="E78" i="1"/>
  <c r="G78" i="1"/>
  <c r="H21" i="1"/>
  <c r="H11" i="1" s="1"/>
  <c r="H76" i="1" s="1"/>
  <c r="N56" i="1"/>
  <c r="M52" i="1"/>
  <c r="N52" i="1" s="1"/>
  <c r="N17" i="1"/>
  <c r="M15" i="1"/>
  <c r="M21" i="1" s="1"/>
  <c r="N21" i="1" s="1"/>
  <c r="L42" i="1"/>
  <c r="G77" i="1" l="1"/>
  <c r="H77" i="1"/>
  <c r="I77" i="1"/>
  <c r="N42" i="1"/>
  <c r="N15" i="1"/>
  <c r="F77" i="1"/>
  <c r="F78" i="1"/>
  <c r="H78" i="1" l="1"/>
  <c r="M11" i="1"/>
  <c r="N11" i="1" s="1"/>
  <c r="J40" i="1" l="1"/>
  <c r="J33" i="1" s="1"/>
  <c r="K40" i="1" l="1"/>
  <c r="K33" i="1" s="1"/>
  <c r="K76" i="1" s="1"/>
  <c r="K77" i="1" l="1"/>
  <c r="K78" i="1"/>
  <c r="J31" i="1"/>
  <c r="J23" i="1" s="1"/>
  <c r="J76" i="1" l="1"/>
  <c r="L76" i="1" s="1"/>
  <c r="L31" i="1"/>
  <c r="N31" i="1" s="1"/>
  <c r="J78" i="1" l="1"/>
  <c r="L78" i="1" s="1"/>
  <c r="J77" i="1"/>
  <c r="L77" i="1" s="1"/>
  <c r="L23" i="1"/>
  <c r="N23" i="1" s="1"/>
  <c r="D6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Aivi Kuivonen</author>
    <author>tc={4FDA17CD-21ED-49DC-BA50-2385A225075A}</author>
    <author>tc={B48443D8-8777-4525-B251-56CFD6B11DF2}</author>
    <author>Ülle Leht</author>
    <author>tc={7B4AE5C5-E4A5-4F84-B7A4-01148F100B95}</author>
    <author>tc={00D1C54F-330B-446E-9741-A367840C9329}</author>
    <author>tc={485AE996-0A54-4753-94D3-080531BDEAC1}</author>
    <author>tc={A984AECC-66AF-42D9-B4F2-6D306F8CDD1D}</author>
  </authors>
  <commentList>
    <comment ref="M10" authorId="0" shapeId="0" xr:uid="{FFBA6612-D602-47CF-8149-56900C9753D1}">
      <text>
        <r>
          <rPr>
            <b/>
            <sz val="9"/>
            <color indexed="81"/>
            <rFont val="Tahoma"/>
            <family val="2"/>
            <charset val="186"/>
          </rPr>
          <t>Aivi Kuivonen:</t>
        </r>
        <r>
          <rPr>
            <sz val="9"/>
            <color indexed="81"/>
            <rFont val="Tahoma"/>
            <family val="2"/>
            <charset val="186"/>
          </rPr>
          <t xml:space="preserve">
Täidetakse siis, kui TAT näeb ette projekti partneri, kellel tekviad kulud</t>
        </r>
      </text>
    </comment>
    <comment ref="B14" authorId="1" shapeId="0" xr:uid="{4FDA17CD-21ED-49DC-BA50-2385A225075A}">
      <text>
        <r>
          <rPr>
            <sz val="10"/>
            <rFont val="Arial"/>
            <charset val="186"/>
          </rPr>
          <t xml:space="preserve">[Threaded comment]
Your version of Excel allows you to read this threaded comment; however, any edits to it will get removed if the file is opened in a newer version of Excel. Learn more: https://go.microsoft.com/fwlink/?linkid=870924
Comment:
    Parandasin sõnastust SFOS-is kirjas oleva projekti eesmärgi alusel. </t>
        </r>
      </text>
    </comment>
    <comment ref="B20" authorId="2" shapeId="0" xr:uid="{B48443D8-8777-4525-B251-56CFD6B11DF2}">
      <text>
        <r>
          <rPr>
            <sz val="10"/>
            <rFont val="Arial"/>
            <charset val="186"/>
          </rPr>
          <t xml:space="preserve">[Threaded comment]
Your version of Excel allows you to read this threaded comment; however, any edits to it will get removed if the file is opened in a newer version of Excel. Learn more: https://go.microsoft.com/fwlink/?linkid=870924
Comment:
    Kas maksekaardi lahendus luuakse või see on juba olemas ja piloteeritakse? Lisasin pikema küsimuse TAT-i tervikteksti faili. </t>
        </r>
      </text>
    </comment>
    <comment ref="B21" authorId="3" shapeId="0" xr:uid="{89F202C2-A25B-42CB-86B9-41B8F02B4543}">
      <text>
        <r>
          <rPr>
            <b/>
            <sz val="9"/>
            <color indexed="81"/>
            <rFont val="Tahoma"/>
            <family val="2"/>
            <charset val="186"/>
          </rPr>
          <t>Ülle Leht:</t>
        </r>
        <r>
          <rPr>
            <sz val="9"/>
            <color indexed="81"/>
            <rFont val="Tahoma"/>
            <family val="2"/>
            <charset val="186"/>
          </rPr>
          <t xml:space="preserve">
Lubatud ainult siis, kui TATis on kaudsed kulud abikõlbliku kuluna märgitud. TATis olev % abikõlblikest otsestest kuludest.
</t>
        </r>
      </text>
    </comment>
    <comment ref="B25" authorId="0" shapeId="0" xr:uid="{FA9FA965-8C30-44B1-8463-26CA113C1FF9}">
      <text>
        <r>
          <rPr>
            <b/>
            <sz val="9"/>
            <color indexed="81"/>
            <rFont val="Tahoma"/>
            <family val="2"/>
          </rPr>
          <t>Aivi Kuivonen:</t>
        </r>
        <r>
          <rPr>
            <sz val="9"/>
            <color indexed="81"/>
            <rFont val="Tahoma"/>
            <family val="2"/>
          </rPr>
          <t xml:space="preserve">
TATis sätestatud projekti abikõlblikkuse periood</t>
        </r>
      </text>
    </comment>
    <comment ref="B26" authorId="4" shapeId="0" xr:uid="{7B4AE5C5-E4A5-4F84-B7A4-01148F100B95}">
      <text>
        <r>
          <rPr>
            <sz val="10"/>
            <rFont val="Arial"/>
            <charset val="186"/>
          </rPr>
          <t xml:space="preserve">[Threaded comment]
Your version of Excel allows you to read this threaded comment; however, any edits to it will get removed if the file is opened in a newer version of Excel. Learn more: https://go.microsoft.com/fwlink/?linkid=870924
Comment:
    Parandasin sõnastust SFOS-is kirjas oleva projekti eesmärgi alusel. </t>
        </r>
      </text>
    </comment>
    <comment ref="B31" authorId="3" shapeId="0" xr:uid="{F122B15F-E269-43A5-9394-CE2AE083EF46}">
      <text>
        <r>
          <rPr>
            <b/>
            <sz val="9"/>
            <color indexed="81"/>
            <rFont val="Tahoma"/>
            <family val="2"/>
            <charset val="186"/>
          </rPr>
          <t>Ülle Leht:</t>
        </r>
        <r>
          <rPr>
            <sz val="9"/>
            <color indexed="81"/>
            <rFont val="Tahoma"/>
            <family val="2"/>
            <charset val="186"/>
          </rPr>
          <t xml:space="preserve">
Lubatud ainult siis, kui TATis on kaudsed kulud abikõlbliku kuluna märgitud. TATis olev % abikõlblikest otsestest kuludest.
</t>
        </r>
      </text>
    </comment>
    <comment ref="B34" authorId="0" shapeId="0" xr:uid="{A3C345AE-54C1-48D8-9D9E-FD7BB1904F90}">
      <text>
        <r>
          <rPr>
            <b/>
            <sz val="9"/>
            <color indexed="81"/>
            <rFont val="Tahoma"/>
            <family val="2"/>
          </rPr>
          <t>Aivi Kuivonen:</t>
        </r>
        <r>
          <rPr>
            <sz val="9"/>
            <color indexed="81"/>
            <rFont val="Tahoma"/>
            <family val="2"/>
          </rPr>
          <t xml:space="preserve">
Tekib siis, kui projekt on e-toetuste keskkonda sisestatud</t>
        </r>
      </text>
    </comment>
    <comment ref="B35" authorId="0" shapeId="0" xr:uid="{73E974A5-56C8-4633-88CB-AE817278D0DC}">
      <text>
        <r>
          <rPr>
            <b/>
            <sz val="9"/>
            <color indexed="81"/>
            <rFont val="Tahoma"/>
            <family val="2"/>
          </rPr>
          <t>Aivi Kuivonen:</t>
        </r>
        <r>
          <rPr>
            <sz val="9"/>
            <color indexed="81"/>
            <rFont val="Tahoma"/>
            <family val="2"/>
          </rPr>
          <t xml:space="preserve">
TATis sätestatud projekti abikõlblikkuse periood</t>
        </r>
      </text>
    </comment>
    <comment ref="B36" authorId="5" shapeId="0" xr:uid="{00D1C54F-330B-446E-9741-A367840C9329}">
      <text>
        <r>
          <rPr>
            <sz val="10"/>
            <rFont val="Arial"/>
            <charset val="186"/>
          </rPr>
          <t xml:space="preserve">[Threaded comment]
Your version of Excel allows you to read this threaded comment; however, any edits to it will get removed if the file is opened in a newer version of Excel. Learn more: https://go.microsoft.com/fwlink/?linkid=870924
Comment:
    Parandasin sõnastust SFOS-is kirjas oleva projekti eesmärgi alusel. Algne tekst oli vigadega. </t>
        </r>
      </text>
    </comment>
    <comment ref="B39" authorId="6" shapeId="0" xr:uid="{485AE996-0A54-4753-94D3-080531BDEAC1}">
      <text>
        <r>
          <rPr>
            <sz val="10"/>
            <rFont val="Arial"/>
            <charset val="186"/>
          </rPr>
          <t xml:space="preserve">[Threaded comment]
Your version of Excel allows you to read this threaded comment; however, any edits to it will get removed if the file is opened in a newer version of Excel. Learn more: https://go.microsoft.com/fwlink/?linkid=870924
Comment:
    TAT-is on praegu 2 eraldi tegevust, siis liidetud 1-ks. Võiks siis ka TAT-is üheks liita. </t>
        </r>
      </text>
    </comment>
    <comment ref="C39" authorId="7" shapeId="0" xr:uid="{A984AECC-66AF-42D9-B4F2-6D306F8CDD1D}">
      <text>
        <r>
          <rPr>
            <sz val="10"/>
            <rFont val="Arial"/>
            <charset val="186"/>
          </rPr>
          <t xml:space="preserve">[Threaded comment]
Your version of Excel allows you to read this threaded comment; however, any edits to it will get removed if the file is opened in a newer version of Excel. Learn more: https://go.microsoft.com/fwlink/?linkid=870924
Comment:
    Praegu on eelarverea kirjeldusest täiesti jäänud välja teenuse tagamisega seotud kulud: Kulu sisaldab endas suulise ja kirjaliku tõlke kulu, mis on vajalik SKA teenuste tagamiseks või teistes sotsiaalvaldkonna asutuste asjaajamiseks (nt KOV, majutuskeskus, tervishoid jne, kus on ettenähtud, et tõlk peab isikul endal kaasas olema). 
Need võiks osaliselt mainitud olla, kuna TAT-i terviktekstis on ka neid mainitud. Pakun oma variandi. </t>
        </r>
      </text>
    </comment>
    <comment ref="B40" authorId="3" shapeId="0" xr:uid="{BEDFA583-B7FB-4DD6-AFB9-F45F5CE07D77}">
      <text>
        <r>
          <rPr>
            <b/>
            <sz val="9"/>
            <color indexed="81"/>
            <rFont val="Tahoma"/>
            <family val="2"/>
            <charset val="186"/>
          </rPr>
          <t>Ülle Leht:</t>
        </r>
        <r>
          <rPr>
            <sz val="9"/>
            <color indexed="81"/>
            <rFont val="Tahoma"/>
            <family val="2"/>
            <charset val="186"/>
          </rPr>
          <t xml:space="preserve">
Lubatud ainult siis, kui TATis on kaudsed kulud abikõlbliku kuluna märgitud. TATis olev % abikõlblikest otsestest kuludest.
</t>
        </r>
      </text>
    </comment>
    <comment ref="B43" authorId="0" shapeId="0" xr:uid="{20C391DD-7656-49AA-89BD-045D5C7793BD}">
      <text>
        <r>
          <rPr>
            <b/>
            <sz val="9"/>
            <color indexed="81"/>
            <rFont val="Tahoma"/>
            <family val="2"/>
          </rPr>
          <t>Aivi Kuivonen:</t>
        </r>
        <r>
          <rPr>
            <sz val="9"/>
            <color indexed="81"/>
            <rFont val="Tahoma"/>
            <family val="2"/>
          </rPr>
          <t xml:space="preserve">
Tekib siis, kui projekt on e-toetuste keskkonda sisestatud</t>
        </r>
      </text>
    </comment>
    <comment ref="B44" authorId="0" shapeId="0" xr:uid="{D4BC65FA-3F26-4F76-80E5-B76734A6F5F0}">
      <text>
        <r>
          <rPr>
            <b/>
            <sz val="9"/>
            <color indexed="81"/>
            <rFont val="Tahoma"/>
            <family val="2"/>
          </rPr>
          <t>Aivi Kuivonen:</t>
        </r>
        <r>
          <rPr>
            <sz val="9"/>
            <color indexed="81"/>
            <rFont val="Tahoma"/>
            <family val="2"/>
          </rPr>
          <t xml:space="preserve">
TATis sätestatud projekti abikõlblikkuse periood</t>
        </r>
      </text>
    </comment>
    <comment ref="B50" authorId="3" shapeId="0" xr:uid="{5AE49A32-6A5B-4A05-B108-C393C571F846}">
      <text>
        <r>
          <rPr>
            <b/>
            <sz val="9"/>
            <color indexed="81"/>
            <rFont val="Tahoma"/>
            <family val="2"/>
            <charset val="186"/>
          </rPr>
          <t>Ülle Leht:</t>
        </r>
        <r>
          <rPr>
            <sz val="9"/>
            <color indexed="81"/>
            <rFont val="Tahoma"/>
            <family val="2"/>
            <charset val="186"/>
          </rPr>
          <t xml:space="preserve">
Lubatud ainult siis, kui TATis on kaudsed kulud abikõlbliku kuluna märgitud. TATis olev % abikõlblikest otsestest kuludest.
</t>
        </r>
      </text>
    </comment>
    <comment ref="B53" authorId="0" shapeId="0" xr:uid="{3C1194EF-355D-4AC7-B2E6-EEC7680AD7B0}">
      <text>
        <r>
          <rPr>
            <b/>
            <sz val="9"/>
            <color indexed="81"/>
            <rFont val="Tahoma"/>
            <family val="2"/>
          </rPr>
          <t>Aivi Kuivonen:</t>
        </r>
        <r>
          <rPr>
            <sz val="9"/>
            <color indexed="81"/>
            <rFont val="Tahoma"/>
            <family val="2"/>
          </rPr>
          <t xml:space="preserve">
Tekib siis, kui projekt on e-toetuste keskkonda sisestatud</t>
        </r>
      </text>
    </comment>
    <comment ref="B62" authorId="3" shapeId="0" xr:uid="{F9913264-183D-4A9A-A5DF-DAC6EFB848E6}">
      <text>
        <r>
          <rPr>
            <b/>
            <sz val="9"/>
            <color indexed="81"/>
            <rFont val="Tahoma"/>
            <family val="2"/>
            <charset val="186"/>
          </rPr>
          <t>Ülle Leht:</t>
        </r>
        <r>
          <rPr>
            <sz val="9"/>
            <color indexed="81"/>
            <rFont val="Tahoma"/>
            <family val="2"/>
            <charset val="186"/>
          </rPr>
          <t xml:space="preserve">
Lubatud ainult siis, kui TATis on kaudsed kulud abikõlbliku kuluna märgitud. TATis olev % abikõlblikest otsestest kuludest.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Ülle Leht</author>
  </authors>
  <commentList>
    <comment ref="A9" authorId="0" shapeId="0" xr:uid="{C13AE599-1D3D-481D-8DB4-3ED782440E79}">
      <text>
        <r>
          <rPr>
            <b/>
            <sz val="9"/>
            <color indexed="81"/>
            <rFont val="Tahoma"/>
            <family val="2"/>
            <charset val="186"/>
          </rPr>
          <t>Ülle Leht:</t>
        </r>
        <r>
          <rPr>
            <sz val="9"/>
            <color indexed="81"/>
            <rFont val="Tahoma"/>
            <family val="2"/>
            <charset val="186"/>
          </rPr>
          <t xml:space="preserve">
Projekti number TATis</t>
        </r>
      </text>
    </comment>
    <comment ref="C9" authorId="0" shapeId="0" xr:uid="{2D4932A9-DE77-4575-8D9B-99606D57FCFE}">
      <text>
        <r>
          <rPr>
            <b/>
            <sz val="9"/>
            <color indexed="81"/>
            <rFont val="Tahoma"/>
            <family val="2"/>
            <charset val="186"/>
          </rPr>
          <t>Ülle Leht:</t>
        </r>
        <r>
          <rPr>
            <sz val="9"/>
            <color indexed="81"/>
            <rFont val="Tahoma"/>
            <family val="2"/>
            <charset val="186"/>
          </rPr>
          <t xml:space="preserve">
TATis toodud projekti eelarve</t>
        </r>
      </text>
    </comment>
  </commentList>
</comments>
</file>

<file path=xl/sharedStrings.xml><?xml version="1.0" encoding="utf-8"?>
<sst xmlns="http://schemas.openxmlformats.org/spreadsheetml/2006/main" count="227" uniqueCount="166">
  <si>
    <t>logo</t>
  </si>
  <si>
    <t>Tegevuskava ja eelarve</t>
  </si>
  <si>
    <t>Esitada allkirjastatult hiljemalt 15 tööpäeva jooksul pärast toetuse andmise tingimuste (TAT) kinnitamist. Tegevuskava ja eelarveridade vahelist jaotust tohib muuta kuni kaks korda aastas (taotlus esitada Siseministeeriumile 15. jaanuariks või 15. juuniks). Tegevuskava ja eelarve muutmist ei ole vaja taotleda järgmistel juhtudel:
- eelarverida suureneb vähem kui 15% kinnitatud eelarvereale plaanitud summast;
- eelarvereale planeeritud summa jaotus muutub aastate lõikes;
- täpsustub tegevuste kulude detailne kirjeldus.</t>
  </si>
  <si>
    <t>Meede 1.2 "Sotsiaalvaldkonnas kolmandate riikide kodanike, sh rahvusvahelise kaitse taotlejate ja kaitse saanute vastuvõtutingimuste tõhustamine"</t>
  </si>
  <si>
    <t>Aasta</t>
  </si>
  <si>
    <t>Kokku</t>
  </si>
  <si>
    <t>Rea nr</t>
  </si>
  <si>
    <t>Projekti tegevused ja kulukohad</t>
  </si>
  <si>
    <t>Kulu detailne kirjeldus</t>
  </si>
  <si>
    <t>Abikõlblik kulu² (EUR)</t>
  </si>
  <si>
    <t>Elluviija abikõlblik kulu (EUR)</t>
  </si>
  <si>
    <t>partneri abikõlblik kulu (EUR)</t>
  </si>
  <si>
    <t>Abikõlblik kulu (elluviija+ partner)</t>
  </si>
  <si>
    <t xml:space="preserve">Projekti nimetus: 1.1 "Tugiteenused rahvusvahelise kaitse taotlejate ja saajate majutuskohtades" </t>
  </si>
  <si>
    <t>SFOSi kood: AMIF.1.01.23-0006</t>
  </si>
  <si>
    <t>Abikõlblikkuse periood: 01.07.2023–30.06.29</t>
  </si>
  <si>
    <t>Projekti eesmärk: Tagada Sotsiaalkindlustusameti määratud majutuskohtades viibivatele rahvusvahelise kaitse taotlejatele ja saajatele täiendavad iseseisvat toimetulekut toetavad teenused ning tugi esmasel saabumisel Eestisse.</t>
  </si>
  <si>
    <t>1.1.</t>
  </si>
  <si>
    <t>Otsesed kulud</t>
  </si>
  <si>
    <t>1.1.1</t>
  </si>
  <si>
    <t>Projekti  juhtimine (SKA)</t>
  </si>
  <si>
    <t>SKA poolne projektijuhi/eksperdi personalikulu. Projektijuht tagab, et partneri poolt elluviidud tegevused vastavat projekti kirjeldusele, toetab tegevuste rakendusel, veendub aruandluse korrektsuses jms. Hinnanguliselt 10% tööaega keskendub projektijuhtimisele ja 10% sisulisele ekspertpanusele seoses projekti raames osutatavate teenuste ning nende arendamisega. Eelarverida sisaldab ka kommunikatsioonitegevusi.</t>
  </si>
  <si>
    <t>1.1.2</t>
  </si>
  <si>
    <t>Projekti sisuline koordineerimine ja arendamine (partner AS HKT)</t>
  </si>
  <si>
    <t>Partneri poolne projekti eksperdi personalikulu (hinnanguliselt 20% tööaega). Ametikoha ülesandeks on projekti partneri poolt toetada projekti töötajaid ning panustada sisuliste tegevuste arendamisse ja tagada nende rakendus ning tagada korrektne aruandlus. Alates 01.07.2026 on hinnanguliseks koormuseks 50% tööaega.</t>
  </si>
  <si>
    <t>1.1.3</t>
  </si>
  <si>
    <r>
      <rPr>
        <sz val="10"/>
        <color rgb="FF000000"/>
        <rFont val="Arial"/>
      </rPr>
      <t>Sotsiaaltöö ja vabaaja tegevuste arendamine ja pakkumine (partner AS HKT)</t>
    </r>
  </si>
  <si>
    <t>Projektiga seotud sotsiaaltöö koordinaatori  (hinnanguliselt 1,0 ametikoht), vaba-aja tegevuste koordinaatori (hinnanguliselt 1,0 ametikoht) personalikulud ning tegevuste elluviimisega seotud kulu, muuhulgas tõlke- ja transpordikulu. Kulu sisaldab ka kommunikatsioonitegevusi ning majutuskeskusest väljakolimise toetamist esmase stardipaki näol. Stardipakk sisaldab üldjuhul peamisi esmaseid vajaminevaid tarvikuid (nt voodipesu, veekeetja, kööginõud jms)</t>
  </si>
  <si>
    <t>1.1.4</t>
  </si>
  <si>
    <t>Vaimse tervise toe pakkumine (partner AS HKT)</t>
  </si>
  <si>
    <t>Sisaldab psühholoogi ja psühhiaatri ning muu vaimse tervise spetsialisti teenust, sh võib olla hanke korras sissehangitud teenus või visiiditasu põhine. Täiendavalt vajadusel katab transpordikulu ning tõlketeenuse</t>
  </si>
  <si>
    <t>1.1.5</t>
  </si>
  <si>
    <t>Maksekaardi lahenduse loomine rahaliste toetuste tagamiseks (SKA)</t>
  </si>
  <si>
    <t>Eelarverida sisaldab maksekaardi süsteemi piloteerimise ja kasutuselevõtuga seotud kulusid, sh maksekaardi infosüsteemi arendused, maksekaardi rakenduse arendused ja/või kaarditoorikute soetamine jms. Eelarverida ei sisalda rahalist tuge ennast, kuna see kaetakse riigieelarvest.</t>
  </si>
  <si>
    <t>1.1.6</t>
  </si>
  <si>
    <r>
      <rPr>
        <b/>
        <i/>
        <sz val="10"/>
        <color indexed="62"/>
        <rFont val="Arial"/>
        <family val="2"/>
        <charset val="186"/>
      </rPr>
      <t xml:space="preserve">Kaudsed kulud </t>
    </r>
    <r>
      <rPr>
        <i/>
        <u/>
        <sz val="10"/>
        <color indexed="12"/>
        <rFont val="Arial"/>
        <family val="2"/>
        <charset val="186"/>
      </rPr>
      <t>(sh halduskulud ja projekti rakendamist toetavad tegevused nt hanskespetsialist jm - vt ÜM § 21 lg 4-6)</t>
    </r>
  </si>
  <si>
    <t>Projekti nimetus: 1.2 "Valdkondlik võimekuste arendamine koolitustegevuse kaudu"</t>
  </si>
  <si>
    <t>SFOSi kood: AMIF.1.01.23-0007</t>
  </si>
  <si>
    <r>
      <t>Abikõlblikkuse periood: 01.01.2024–</t>
    </r>
    <r>
      <rPr>
        <b/>
        <sz val="10"/>
        <color rgb="FF00B050"/>
        <rFont val="Arial"/>
        <family val="2"/>
      </rPr>
      <t>30.06.2029</t>
    </r>
  </si>
  <si>
    <t xml:space="preserve">Projekti eesmärk: Rahvusvahelise kaitse (RVK) teemadega sotsiaalvaldkonnas tegutsevate ametnike professionaalsuse ja teenuste kvaliteedi tagamine läbi pideva enesetäienduse. </t>
  </si>
  <si>
    <t>2.1.</t>
  </si>
  <si>
    <t>2.1.1</t>
  </si>
  <si>
    <t>Projekti koordineerimine</t>
  </si>
  <si>
    <t xml:space="preserve">SKA poolse projekti SKA poolne projektijuhi/eksperdi personalikulu.  personalikulu.  Hinnanguliselt 10% tööajast kuulub projekti tehnilise juhtimise tegevusele ning 40% sisuliste tegevuste rakendamisele, sh koolituskava, eksperdid, tagasiside analüüs jms.  </t>
  </si>
  <si>
    <t>2.1.2</t>
  </si>
  <si>
    <t>Koolitusprogrammi rakendamine</t>
  </si>
  <si>
    <t>Iga-aastaselt viiakse läbi vähemalt üks koolitustegevus, mis kaasab vajalikke osapooli Eestis ning vajadusel väliseksperte. Eelarverida sisaldab kulusid koolituste korraldamiseks, sh materjalide koostamine, tõlketugi, konverentsiteenus, ruumide rent, toitlustus, koolitajate töötasu, koolitajate ja osalejate lähetus- ja majutuskulu jms.  Eelarverida sisaldab ka e-koolituste loomisega seotud kulusid, sh arendused, audio ja visuaalsed lahendused, Digiriigi Akadeemia platvormil kättesaadavaks tegemine jms seonduvad kulud.</t>
  </si>
  <si>
    <t>2.1.3</t>
  </si>
  <si>
    <t>Õppevisiitide korraldamine</t>
  </si>
  <si>
    <t>Õppevisiitidega seotud lähetuskulud SOM-i, SKA, KOV-ide töötajatele ja RVK majutukeskuse spetsialistidele, sh sõidukulu, majutus, kindlustus, päevarahad jms.</t>
  </si>
  <si>
    <t>2.1.6</t>
  </si>
  <si>
    <r>
      <rPr>
        <b/>
        <i/>
        <sz val="10"/>
        <color indexed="10"/>
        <rFont val="Arial"/>
        <family val="2"/>
        <charset val="186"/>
      </rPr>
      <t xml:space="preserve">Kaudsed kulud </t>
    </r>
    <r>
      <rPr>
        <i/>
        <u/>
        <sz val="10"/>
        <color indexed="10"/>
        <rFont val="Arial"/>
        <family val="2"/>
        <charset val="186"/>
      </rPr>
      <t>(sh halduskulud ja projekti rakendamist toetavad tegevused nt hanskespetsialist jm - vt ÜM § 21 lg 4-6)</t>
    </r>
  </si>
  <si>
    <t xml:space="preserve">Projekti nimetus: 1.3 "Tõlketeenuse pakkumise arendamine" </t>
  </si>
  <si>
    <t>SFOSi kood: AMIF.1.01.23-0010</t>
  </si>
  <si>
    <t xml:space="preserve">Abikõlblikkuse periood: 01.01.2024–30.06.2029. </t>
  </si>
  <si>
    <t>Projekti eesmärk: Tõlketeenuse korraldamisel on oluline tagada uussisserändajatele, sh rahvusvahelise kaitse taotlejatele ja saajatele ning nendega kokkupuutuvatele sotsiaalvaldkonna võrgustiku liikmetele operatiivne kaugtõlke kättesaadavus
erinevate olukordades üle riigi.</t>
  </si>
  <si>
    <t>3.1.</t>
  </si>
  <si>
    <t>3.1.1</t>
  </si>
  <si>
    <r>
      <rPr>
        <i/>
        <sz val="10"/>
        <color rgb="FF000000"/>
        <rFont val="Arial"/>
      </rPr>
      <t xml:space="preserve">SKA projekti koordinaatori personalikulu. Hinnanguliselt 10% tööaega panustab projekti juhtimisse ja 70% tööaga panustab projekti sisulistesse tegevustesse, mh  panustab kaugtõlketeenuse kontseptsiooni väljatöötamisse, toetab arendustegevusi, tagab vajalike tööriistade, juhendite jms olemasolu ning teenuse kättesaadavuse isikutele ja asjaomastele osapooltele </t>
    </r>
    <r>
      <rPr>
        <i/>
        <strike/>
        <sz val="10"/>
        <color rgb="FF000000"/>
        <rFont val="Arial"/>
      </rPr>
      <t>jms</t>
    </r>
    <r>
      <rPr>
        <i/>
        <sz val="10"/>
        <color rgb="FF000000"/>
        <rFont val="Arial"/>
      </rPr>
      <t xml:space="preserve">. Alates 01.09 on hinnanguline tööaeg kuni 50% nii projekti juhtimise kui sisuliste tegevuste vaates. </t>
    </r>
  </si>
  <si>
    <t>3.1.2</t>
  </si>
  <si>
    <r>
      <rPr>
        <sz val="10"/>
        <color rgb="FF000000"/>
        <rFont val="Arial"/>
      </rPr>
      <t xml:space="preserve">Kaugtõlke korraldamiseks vajaliku kontseptsiooni, lahenduste </t>
    </r>
    <r>
      <rPr>
        <sz val="10"/>
        <color rgb="FFFF0000"/>
        <rFont val="Arial"/>
      </rPr>
      <t xml:space="preserve">ja toe </t>
    </r>
    <r>
      <rPr>
        <sz val="10"/>
        <color rgb="FF000000"/>
        <rFont val="Arial"/>
      </rPr>
      <t>tagamine</t>
    </r>
  </si>
  <si>
    <t>Eelarverida sisaldab eelkõige kaugtõlke teenuse kontseptsiooni väljatöötamist, sh liidestamist olemasolevate lahendustega (nt viipekeele kaugtõlketeenus), infotehnoloogliste lahenduste hankimist, platvormiga seotud arendustööde kulusid ning kasutajatuge, sh juhendite ning materjalide koostamine ja nõustamine tõlketeenuse kasutamisega seonduvalt, jms kulud. Eelarverida sisaldab ka projekti tegevuste kommunikatsioonikulu, suulise ja kirjaliku tõlke kulu.</t>
  </si>
  <si>
    <t>3.1.6</t>
  </si>
  <si>
    <t>4.</t>
  </si>
  <si>
    <t>Projekti nimetus: 1.4 "RVK majutuskeskuse töö tõhustamine, sh valmisolek massiliseks sisserändeks"</t>
  </si>
  <si>
    <t>SFOSi kood: AMIF.1.01.23-0009</t>
  </si>
  <si>
    <t>Abikõlblikkuse periood: 01.07.2023–30.06.2029</t>
  </si>
  <si>
    <t xml:space="preserve">Projekti eesmärk: RVK teemadega sotsiaalvaldkonnas tegutsevate ametnike professionaalsuse tõstmine valmisolekuks
massilise sisserände korral. </t>
  </si>
  <si>
    <t>4.1.</t>
  </si>
  <si>
    <t>4.1.1</t>
  </si>
  <si>
    <t>Projekti koordineerimine (SKA)</t>
  </si>
  <si>
    <t xml:space="preserve">SKA koordinaatori ja STAR arenduste peakasutaja personalikulu. Hinnanguliselt kuni 10% tööajast panustab projekti tehnilisse juhtimisse, sh aruandluse koostamine, andmete korrektsuse tagamine jms.  Hinnanguliselt kuni 70% tööajast panustab sisulistesse tegevustesse, mh hangete läbiviimine, infosüsteemide arenduste lähteülesannete koostamine, ärianalüüs ja arendustegevusse panustamine, sh testimine jms, tööprotsesside kirjeldusse panutamine, koostööpartneritege suhtlemine ja infovahetuse tagamine,  teenusevõimekuse aredamiseks sisumaterjalide koostamine ja/või sisendite andmine materjalidesse. Peakasutaja hinnanguliselt 50% tööaega alates 2027 aastal, kes vastutab põgenike mooduli tehnilise arenduse ja testimise jms tehnilist iseloomu funktsioonidega. </t>
  </si>
  <si>
    <t>4.1.2</t>
  </si>
  <si>
    <t>Majutuskeskuse ja -kohtade teenusvõimekuse tõstmine  (SKA)</t>
  </si>
  <si>
    <t>Eelarverida sisaldab majutuskeskuse teenuse tööprotsesside kirjelduse välja töötamisega seotud kulusid, sh teenusdisaini vms teenuse sisseostmine. Samuti sisaldab eelarverida tööprotsesside baasilt koolituste ja koolitusmaterjalide loomise ning koolituste läbiviimise kulu, sh massilise sisserände olukorras SKA rolli ja tegevusi selgitava koolituse e-õppe mooduli välja töötamine ja loomine. Eelarverida sisaldab ka projekti tegevuste avalikustamisega seonduvaid kulusid.</t>
  </si>
  <si>
    <t>4.1.3</t>
  </si>
  <si>
    <t>STAR andmeregistriga seotud IT arendused (TEHIK)</t>
  </si>
  <si>
    <t xml:space="preserve">Eelarverida sisaldab STAR-2 andmerigistris IT lahenduste loomise kulusid, mis võimaldavad korraldada rahvusvahelise kaitse taotlejate ja saajate majutust üle Eestiliselt ning massilise sisserände kontekstis inimesi identifitseerida. Kulud sisaldavad mh infosüsteemide lähteülesande koostamise, ärianalüüsi ja arenduste teostamise kulu ja arenduste kasutajate koolitamise kulu jms. Eelarverida sisaldab ka eeltooduks vajalikke partneri personalikulusid, sh 10% projektijuhtimiseks, ning projekti avalikustamisega seotud kulusid jms. </t>
  </si>
  <si>
    <t>4.1.6</t>
  </si>
  <si>
    <t xml:space="preserve">5. </t>
  </si>
  <si>
    <t>Projekti nimetus: 1.5 "Vastuvõtuks vajaliku infrastruktuuri parendamine ja täiendavate majutuskohtade valmiduse
loomine"</t>
  </si>
  <si>
    <t xml:space="preserve">SFOSi kood: AMIF.1.01.23-0008 </t>
  </si>
  <si>
    <r>
      <rPr>
        <b/>
        <sz val="10"/>
        <color rgb="FFFF0000"/>
        <rFont val="Arial"/>
        <family val="2"/>
      </rPr>
      <t>Abikõlblikkuse periood: 01.07.2023–</t>
    </r>
    <r>
      <rPr>
        <b/>
        <sz val="10"/>
        <color rgb="FF00B050"/>
        <rFont val="Arial"/>
        <family val="2"/>
      </rPr>
      <t>31.12.2027</t>
    </r>
  </si>
  <si>
    <t xml:space="preserve">Projekti eesmärk: Majutuskeskuse elamistingimuste parendamine ja inventari uuendamine. </t>
  </si>
  <si>
    <t>5.1.</t>
  </si>
  <si>
    <t>5.1.1</t>
  </si>
  <si>
    <t>Ligipäästeavuse nõuete ja elamistingimuste parendamine SKA määratud majutuskohtades</t>
  </si>
  <si>
    <t>5.1.2</t>
  </si>
  <si>
    <t>Täiendava RVK majutusvõimekuse loomine</t>
  </si>
  <si>
    <t>5.1.3</t>
  </si>
  <si>
    <t>5.1.4</t>
  </si>
  <si>
    <t>g</t>
  </si>
  <si>
    <t>5.1.5</t>
  </si>
  <si>
    <t>Eelarve kokku (2022-2029)</t>
  </si>
  <si>
    <t>Osa 2: Projektide finantsplaan</t>
  </si>
  <si>
    <t>Finantsallikate jaotus</t>
  </si>
  <si>
    <t>Summa</t>
  </si>
  <si>
    <t>Toetatavate projektide eelarve kokku aastate lõikes (rida 2 + rida 3)</t>
  </si>
  <si>
    <t xml:space="preserve">Toetus kokku </t>
  </si>
  <si>
    <t>2.1</t>
  </si>
  <si>
    <t>sh ISFi/AMIFi/BMVI osalus</t>
  </si>
  <si>
    <t>2.2</t>
  </si>
  <si>
    <t xml:space="preserve">sh riiklik kaasfinantseering </t>
  </si>
  <si>
    <r>
      <t>Osa 3: Partnerite kulud</t>
    </r>
    <r>
      <rPr>
        <sz val="10"/>
        <rFont val="Arial"/>
        <family val="2"/>
        <charset val="186"/>
      </rPr>
      <t>⁴</t>
    </r>
  </si>
  <si>
    <t>Projekti 1.1 partnerite abikõlblikud kulud</t>
  </si>
  <si>
    <t>Jrk nr</t>
  </si>
  <si>
    <t>Partner</t>
  </si>
  <si>
    <t>1</t>
  </si>
  <si>
    <t>Partner 1, AS Hoolekandeteenused</t>
  </si>
  <si>
    <t>Projekti 1.4 partnerite abikõlblikud kulud</t>
  </si>
  <si>
    <t>Tehik</t>
  </si>
  <si>
    <t>Projekti 1.5 partnerite abikõlblikud kulud</t>
  </si>
  <si>
    <t>AS Hoolekandeteenused</t>
  </si>
  <si>
    <t>LOGO</t>
  </si>
  <si>
    <t>Maksete prognoos (esitada 15 tööpäeva jooksul pärast TATi kinnitamist ja iga aasta 15. juuniks ning 15. jaanuariks.)</t>
  </si>
  <si>
    <t xml:space="preserve">Kõik summad sisaldavad nii elluviija kui partnerite (prognoositavaid) kulusid </t>
  </si>
  <si>
    <t>Projekti nr</t>
  </si>
  <si>
    <t>projekti nimi ja SFOSi koood</t>
  </si>
  <si>
    <t>Projekti eelarve</t>
  </si>
  <si>
    <t>Väljamakstud projekti kulud</t>
  </si>
  <si>
    <t>Maksete prognoos 2022</t>
  </si>
  <si>
    <t>Maksete prognoos 2023</t>
  </si>
  <si>
    <t>Maksete prognoos 2024</t>
  </si>
  <si>
    <t>Maksete prognoos 2025</t>
  </si>
  <si>
    <t>Maksete prognoos 2026</t>
  </si>
  <si>
    <t>Maksete prognoos 2027</t>
  </si>
  <si>
    <t>Maksete prognoos 2028</t>
  </si>
  <si>
    <t>Maksete prognoos 2029</t>
  </si>
  <si>
    <t>Projekti eelarve (100%)</t>
  </si>
  <si>
    <t xml:space="preserve">ISF/AMIF/BMVI toetus </t>
  </si>
  <si>
    <t xml:space="preserve">Riiklik kaasfinantseering </t>
  </si>
  <si>
    <t>Kasutatud eelarve kokku</t>
  </si>
  <si>
    <r>
      <t xml:space="preserve">Projekti eelarve kokku </t>
    </r>
    <r>
      <rPr>
        <sz val="9"/>
        <rFont val="Times New Roman"/>
        <family val="1"/>
      </rPr>
      <t>(100%)</t>
    </r>
  </si>
  <si>
    <t xml:space="preserve">Riiklik kaas-finantseering </t>
  </si>
  <si>
    <t>ISF/AMIF/BMVI toetus</t>
  </si>
  <si>
    <t>Riiklik kaas-finantseering</t>
  </si>
  <si>
    <t>Täiendavad tugiteenused rahvusvahelise kaitse taotlejatele ja saanutele majutuskeskustes
või SKA poolt määratud majutuskohas</t>
  </si>
  <si>
    <t>Valdkondlik võimekuste arendamine koolitustegevuse kaudu</t>
  </si>
  <si>
    <t>Tõlketeenuse pakkumise arendamine</t>
  </si>
  <si>
    <t>Valmisolek massiliseks sisserändeks</t>
  </si>
  <si>
    <t>Vastuvõtuks vajaliku infrastruktuuri parendamine ja täiendavate majutuskohtade valmiduse loomine</t>
  </si>
  <si>
    <t>KOKKU EUR</t>
  </si>
  <si>
    <t>Palga nominaalkasv</t>
  </si>
  <si>
    <t>THI muutus</t>
  </si>
  <si>
    <t xml:space="preserve">1.1. </t>
  </si>
  <si>
    <t>bruto</t>
  </si>
  <si>
    <t>Kuus</t>
  </si>
  <si>
    <t>projekti juht SKA</t>
  </si>
  <si>
    <t>valemiviga?</t>
  </si>
  <si>
    <t>Projekti juht HTK</t>
  </si>
  <si>
    <t>vabaaja koordinaator</t>
  </si>
  <si>
    <t>sotsiaaltöö koordinaator</t>
  </si>
  <si>
    <t>Elluviija kulu</t>
  </si>
  <si>
    <t>Partneri kulu</t>
  </si>
  <si>
    <t>kulu</t>
  </si>
  <si>
    <t>detail</t>
  </si>
  <si>
    <t>ühik</t>
  </si>
  <si>
    <t>ühikute arv</t>
  </si>
  <si>
    <t>ühikuhind</t>
  </si>
  <si>
    <t>Koolitus 1</t>
  </si>
  <si>
    <t>4*20 osalejage koolitust aastas</t>
  </si>
  <si>
    <t>Koolitus 2</t>
  </si>
  <si>
    <t>2*30 osalejat</t>
  </si>
  <si>
    <t>väliseskpert</t>
  </si>
  <si>
    <t>Vajalike ehitus- ja parendustöödega tekkivad kulud, sh kulumaterjalid ja muud vahendid ja inventar ning avalikustamisega seonduvad tegevused</t>
  </si>
  <si>
    <t>Vajalike ehitus ja parendustöödega tekkivad kulud, sh kulumaterjalid ja muud materiaalsed vahendid ning avalikustamisega seonduvad tegevused.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</si>
</sst>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_-* #,##0.00\ &quot;kr&quot;_-;\-* #,##0.00\ &quot;kr&quot;_-;_-* &quot;-&quot;??\ &quot;kr&quot;_-;_-@_-"/>
    <numFmt numFmtId="166" formatCode="_-* #,##0.00\ _k_r_-;\-* #,##0.00\ _k_r_-;_-* &quot;-&quot;??\ _k_r_-;_-@_-"/>
    <numFmt numFmtId="167" formatCode="&quot; &quot;#,##0.00&quot; &quot;;&quot; (&quot;#,##0.00&quot;)&quot;;&quot; -&quot;00&quot; &quot;;&quot; &quot;@&quot; &quot;"/>
    <numFmt numFmtId="168" formatCode="0.0000"/>
    <numFmt numFmtId="169" formatCode="_-* #,##0.00\ [$€-425]_-;\-* #,##0.00\ [$€-425]_-;_-* &quot;-&quot;??\ [$€-425]_-;_-@_-"/>
    <numFmt numFmtId="170" formatCode="_-[$€-2]\ * #,##0.00_-;\-[$€-2]\ * #,##0.00_-;_-[$€-2]\ * &quot;-&quot;??_-;_-@_-"/>
  </numFmts>
  <fonts count="52">
    <font>
      <sz val="10"/>
      <name val="Arial"/>
      <charset val="186"/>
    </font>
    <font>
      <sz val="11"/>
      <color theme="1"/>
      <name val="Calibri"/>
      <family val="2"/>
      <charset val="186"/>
      <scheme val="minor"/>
    </font>
    <font>
      <sz val="10"/>
      <name val="Arial"/>
      <family val="2"/>
    </font>
    <font>
      <u/>
      <sz val="10"/>
      <color indexed="12"/>
      <name val="Arial"/>
      <family val="2"/>
      <charset val="186"/>
    </font>
    <font>
      <sz val="8"/>
      <name val="Arial"/>
      <family val="2"/>
      <charset val="186"/>
    </font>
    <font>
      <sz val="10"/>
      <name val="Arial"/>
      <family val="2"/>
      <charset val="186"/>
    </font>
    <font>
      <b/>
      <sz val="10"/>
      <name val="Arial"/>
      <family val="2"/>
      <charset val="186"/>
    </font>
    <font>
      <b/>
      <i/>
      <sz val="10"/>
      <name val="Arial"/>
      <family val="2"/>
      <charset val="186"/>
    </font>
    <font>
      <sz val="10"/>
      <name val="Helv"/>
    </font>
    <font>
      <sz val="10"/>
      <name val="Arial"/>
      <family val="2"/>
      <charset val="186"/>
    </font>
    <font>
      <sz val="9"/>
      <color indexed="81"/>
      <name val="Tahoma"/>
      <family val="2"/>
      <charset val="186"/>
    </font>
    <font>
      <b/>
      <sz val="9"/>
      <color indexed="81"/>
      <name val="Tahoma"/>
      <family val="2"/>
      <charset val="186"/>
    </font>
    <font>
      <b/>
      <sz val="10"/>
      <name val="Times New Roman"/>
      <family val="1"/>
    </font>
    <font>
      <sz val="10"/>
      <name val="Times New Roman"/>
      <family val="1"/>
    </font>
    <font>
      <sz val="9"/>
      <color indexed="81"/>
      <name val="Tahoma"/>
      <family val="2"/>
    </font>
    <font>
      <b/>
      <sz val="9"/>
      <color indexed="81"/>
      <name val="Tahoma"/>
      <family val="2"/>
    </font>
    <font>
      <b/>
      <sz val="9"/>
      <name val="Arial"/>
      <family val="2"/>
      <charset val="186"/>
    </font>
    <font>
      <b/>
      <sz val="9"/>
      <name val="Times New Roman"/>
      <family val="1"/>
    </font>
    <font>
      <sz val="9"/>
      <name val="Times New Roman"/>
      <family val="1"/>
    </font>
    <font>
      <i/>
      <sz val="10"/>
      <name val="Arial"/>
      <family val="2"/>
      <charset val="186"/>
    </font>
    <font>
      <sz val="10"/>
      <name val="Times New Roman"/>
      <family val="1"/>
      <charset val="186"/>
    </font>
    <font>
      <i/>
      <sz val="10"/>
      <name val="Times New Roman"/>
      <family val="1"/>
      <charset val="186"/>
    </font>
    <font>
      <b/>
      <i/>
      <sz val="10"/>
      <color indexed="62"/>
      <name val="Arial"/>
      <family val="2"/>
      <charset val="186"/>
    </font>
    <font>
      <i/>
      <u/>
      <sz val="10"/>
      <color indexed="12"/>
      <name val="Arial"/>
      <family val="2"/>
      <charset val="186"/>
    </font>
    <font>
      <i/>
      <u/>
      <sz val="10"/>
      <color indexed="10"/>
      <name val="Arial"/>
      <family val="2"/>
      <charset val="186"/>
    </font>
    <font>
      <b/>
      <i/>
      <sz val="10"/>
      <color indexed="10"/>
      <name val="Arial"/>
      <family val="2"/>
      <charset val="186"/>
    </font>
    <font>
      <sz val="11"/>
      <color theme="1"/>
      <name val="Calibri"/>
      <family val="2"/>
      <charset val="186"/>
      <scheme val="minor"/>
    </font>
    <font>
      <sz val="10"/>
      <color rgb="FF000000"/>
      <name val="Arial"/>
      <family val="2"/>
      <charset val="186"/>
    </font>
    <font>
      <b/>
      <sz val="11"/>
      <color theme="1"/>
      <name val="Calibri"/>
      <family val="2"/>
      <charset val="186"/>
      <scheme val="minor"/>
    </font>
    <font>
      <sz val="11"/>
      <color rgb="FF000000"/>
      <name val="Calibri"/>
      <family val="2"/>
      <charset val="186"/>
    </font>
    <font>
      <sz val="10"/>
      <color rgb="FF000000"/>
      <name val="Helv"/>
      <charset val="186"/>
    </font>
    <font>
      <sz val="10"/>
      <color theme="1"/>
      <name val="Arial"/>
      <family val="2"/>
      <charset val="186"/>
    </font>
    <font>
      <sz val="10"/>
      <color rgb="FFFF0000"/>
      <name val="Arial"/>
      <family val="2"/>
      <charset val="186"/>
    </font>
    <font>
      <b/>
      <sz val="11"/>
      <color theme="1"/>
      <name val="Times New Roman"/>
      <family val="1"/>
    </font>
    <font>
      <b/>
      <sz val="10"/>
      <color theme="4"/>
      <name val="Arial"/>
      <family val="2"/>
      <charset val="186"/>
    </font>
    <font>
      <sz val="10"/>
      <color theme="4"/>
      <name val="Arial"/>
      <family val="2"/>
      <charset val="186"/>
    </font>
    <font>
      <sz val="10"/>
      <color theme="0" tint="-0.14999847407452621"/>
      <name val="Arial"/>
      <family val="2"/>
      <charset val="186"/>
    </font>
    <font>
      <sz val="10"/>
      <color theme="3"/>
      <name val="Arial"/>
      <family val="2"/>
      <charset val="186"/>
    </font>
    <font>
      <b/>
      <sz val="10"/>
      <color theme="3"/>
      <name val="Arial"/>
      <family val="2"/>
      <charset val="186"/>
    </font>
    <font>
      <b/>
      <sz val="10"/>
      <color rgb="FFFF0000"/>
      <name val="Arial"/>
      <family val="2"/>
      <charset val="186"/>
    </font>
    <font>
      <b/>
      <i/>
      <sz val="10"/>
      <color theme="3" tint="0.39997558519241921"/>
      <name val="Arial"/>
      <family val="2"/>
      <charset val="186"/>
    </font>
    <font>
      <i/>
      <u/>
      <sz val="10"/>
      <color rgb="FFFF0000"/>
      <name val="Arial"/>
      <family val="2"/>
      <charset val="186"/>
    </font>
    <font>
      <i/>
      <sz val="10"/>
      <name val="Arial"/>
      <family val="2"/>
    </font>
    <font>
      <b/>
      <sz val="10"/>
      <color rgb="FFFF0000"/>
      <name val="Arial"/>
      <family val="2"/>
    </font>
    <font>
      <b/>
      <sz val="10"/>
      <color rgb="FF00B050"/>
      <name val="Arial"/>
      <family val="2"/>
    </font>
    <font>
      <b/>
      <sz val="10"/>
      <name val="Arial"/>
      <family val="2"/>
    </font>
    <font>
      <i/>
      <sz val="10"/>
      <color rgb="FF000000"/>
      <name val="Arial"/>
    </font>
    <font>
      <i/>
      <strike/>
      <sz val="10"/>
      <color rgb="FF000000"/>
      <name val="Arial"/>
    </font>
    <font>
      <i/>
      <sz val="10"/>
      <name val="Arial"/>
    </font>
    <font>
      <sz val="10"/>
      <color rgb="FF000000"/>
      <name val="Arial"/>
    </font>
    <font>
      <sz val="10"/>
      <color rgb="FFFF0000"/>
      <name val="Arial"/>
    </font>
    <font>
      <sz val="10"/>
      <name val="Arial"/>
    </font>
  </fonts>
  <fills count="9">
    <fill>
      <patternFill patternType="none"/>
    </fill>
    <fill>
      <patternFill patternType="gray125"/>
    </fill>
    <fill>
      <patternFill patternType="solid">
        <fgColor theme="9" tint="0.79998168889431442"/>
        <bgColor indexed="65"/>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bgColor indexed="64"/>
      </patternFill>
    </fill>
    <fill>
      <patternFill patternType="solid">
        <fgColor rgb="FFFFFF00"/>
        <bgColor indexed="64"/>
      </patternFill>
    </fill>
    <fill>
      <patternFill patternType="solid">
        <fgColor theme="6" tint="0.79998168889431442"/>
        <bgColor indexed="64"/>
      </patternFill>
    </fill>
  </fills>
  <borders count="6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right style="thin">
        <color indexed="64"/>
      </right>
      <top/>
      <bottom/>
      <diagonal/>
    </border>
  </borders>
  <cellStyleXfs count="87">
    <xf numFmtId="0" fontId="0" fillId="0" borderId="0"/>
    <xf numFmtId="0" fontId="26" fillId="2" borderId="0" applyNumberFormat="0" applyBorder="0" applyAlignment="0" applyProtection="0"/>
    <xf numFmtId="166" fontId="2" fillId="0" borderId="0" applyFont="0" applyFill="0" applyBorder="0" applyAlignment="0" applyProtection="0"/>
    <xf numFmtId="167" fontId="27" fillId="0" borderId="0" applyFont="0" applyFill="0" applyBorder="0" applyAlignment="0" applyProtection="0"/>
    <xf numFmtId="164" fontId="7" fillId="0" borderId="0" applyFont="0" applyFill="0" applyBorder="0" applyAlignment="0" applyProtection="0"/>
    <xf numFmtId="166" fontId="9" fillId="0" borderId="0" applyFont="0" applyFill="0" applyBorder="0" applyAlignment="0" applyProtection="0"/>
    <xf numFmtId="166" fontId="5" fillId="0" borderId="0" applyFont="0" applyFill="0" applyBorder="0" applyAlignment="0" applyProtection="0"/>
    <xf numFmtId="165" fontId="2" fillId="0" borderId="0" applyFont="0" applyFill="0" applyBorder="0" applyAlignment="0" applyProtection="0"/>
    <xf numFmtId="0" fontId="3" fillId="0" borderId="0" applyNumberFormat="0" applyFill="0" applyBorder="0" applyAlignment="0" applyProtection="0">
      <alignment vertical="top"/>
      <protection locked="0"/>
    </xf>
    <xf numFmtId="0" fontId="5" fillId="0" borderId="0"/>
    <xf numFmtId="0" fontId="5" fillId="0" borderId="0"/>
    <xf numFmtId="0" fontId="26" fillId="0" borderId="0"/>
    <xf numFmtId="0" fontId="5" fillId="0" borderId="0"/>
    <xf numFmtId="0" fontId="27" fillId="0" borderId="0" applyNumberFormat="0" applyFont="0" applyBorder="0" applyProtection="0"/>
    <xf numFmtId="0" fontId="5" fillId="0" borderId="0"/>
    <xf numFmtId="0" fontId="27" fillId="0" borderId="0" applyNumberFormat="0" applyFont="0" applyBorder="0" applyProtection="0"/>
    <xf numFmtId="0" fontId="26" fillId="0" borderId="0"/>
    <xf numFmtId="0" fontId="29" fillId="0" borderId="0" applyNumberFormat="0" applyBorder="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5" fillId="0" borderId="0" applyFont="0" applyFill="0" applyAlignment="0" applyProtection="0"/>
    <xf numFmtId="9" fontId="27" fillId="0" borderId="0" applyFont="0" applyFill="0" applyBorder="0" applyAlignment="0" applyProtection="0"/>
    <xf numFmtId="9" fontId="26" fillId="0" borderId="0" applyFont="0" applyFill="0" applyBorder="0" applyAlignment="0" applyProtection="0"/>
    <xf numFmtId="9" fontId="27"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7" fillId="0" borderId="0" applyFont="0" applyFill="0" applyBorder="0" applyAlignment="0" applyProtection="0"/>
    <xf numFmtId="0" fontId="8" fillId="0" borderId="0"/>
    <xf numFmtId="0" fontId="30" fillId="0" borderId="0" applyNumberFormat="0" applyBorder="0" applyProtection="0"/>
    <xf numFmtId="43" fontId="7" fillId="0" borderId="0" applyFont="0" applyFill="0" applyBorder="0" applyAlignment="0" applyProtection="0"/>
    <xf numFmtId="166"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278">
    <xf numFmtId="0" fontId="0" fillId="0" borderId="0" xfId="0"/>
    <xf numFmtId="0" fontId="5" fillId="0" borderId="0" xfId="0" applyFont="1"/>
    <xf numFmtId="0" fontId="6" fillId="0" borderId="0" xfId="0" applyFont="1"/>
    <xf numFmtId="0" fontId="5" fillId="0" borderId="1" xfId="0" applyFont="1" applyBorder="1" applyAlignment="1">
      <alignment horizontal="left" vertical="top" wrapText="1"/>
    </xf>
    <xf numFmtId="0" fontId="5" fillId="0" borderId="0" xfId="0" applyFont="1" applyAlignment="1">
      <alignment wrapText="1"/>
    </xf>
    <xf numFmtId="0" fontId="6" fillId="0" borderId="1" xfId="0" applyFont="1" applyBorder="1" applyAlignment="1">
      <alignment horizontal="left" vertical="top" wrapText="1"/>
    </xf>
    <xf numFmtId="49" fontId="6" fillId="0" borderId="0" xfId="0" applyNumberFormat="1" applyFont="1" applyAlignment="1">
      <alignment horizontal="left" vertical="top"/>
    </xf>
    <xf numFmtId="0" fontId="6" fillId="0" borderId="0" xfId="0" applyFont="1" applyAlignment="1">
      <alignment horizontal="left"/>
    </xf>
    <xf numFmtId="0" fontId="6" fillId="0" borderId="0" xfId="0" applyFont="1" applyAlignment="1">
      <alignment wrapText="1"/>
    </xf>
    <xf numFmtId="0" fontId="6" fillId="0" borderId="2" xfId="0" applyFont="1" applyBorder="1" applyAlignment="1">
      <alignment wrapText="1"/>
    </xf>
    <xf numFmtId="3" fontId="5" fillId="0" borderId="0" xfId="0" applyNumberFormat="1" applyFont="1" applyAlignment="1">
      <alignment horizontal="right"/>
    </xf>
    <xf numFmtId="0" fontId="5" fillId="0" borderId="0" xfId="0" applyFont="1" applyAlignment="1">
      <alignment horizontal="center" vertical="center" wrapText="1"/>
    </xf>
    <xf numFmtId="0" fontId="5" fillId="0" borderId="0" xfId="0" applyFont="1" applyAlignment="1">
      <alignment horizontal="center"/>
    </xf>
    <xf numFmtId="0" fontId="6" fillId="0" borderId="2" xfId="0" applyFont="1" applyBorder="1" applyAlignment="1">
      <alignment horizontal="center" wrapText="1"/>
    </xf>
    <xf numFmtId="3" fontId="5" fillId="0" borderId="0" xfId="0" applyNumberFormat="1" applyFont="1"/>
    <xf numFmtId="3" fontId="6" fillId="0" borderId="0" xfId="0" applyNumberFormat="1" applyFont="1" applyAlignment="1">
      <alignment horizontal="right" vertical="center"/>
    </xf>
    <xf numFmtId="0" fontId="6" fillId="0" borderId="2" xfId="0" applyFont="1" applyBorder="1" applyAlignment="1">
      <alignment horizontal="left" vertical="center" wrapText="1"/>
    </xf>
    <xf numFmtId="0" fontId="6" fillId="0" borderId="0" xfId="0" applyFont="1" applyAlignment="1">
      <alignment horizontal="left" wrapText="1"/>
    </xf>
    <xf numFmtId="0" fontId="6" fillId="0" borderId="1" xfId="2" applyNumberFormat="1" applyFont="1" applyBorder="1" applyAlignment="1">
      <alignment horizontal="center"/>
    </xf>
    <xf numFmtId="1" fontId="6" fillId="0" borderId="0" xfId="0" applyNumberFormat="1" applyFont="1" applyAlignment="1">
      <alignment horizontal="left"/>
    </xf>
    <xf numFmtId="1" fontId="5" fillId="0" borderId="0" xfId="0" applyNumberFormat="1" applyFont="1"/>
    <xf numFmtId="49" fontId="5" fillId="0" borderId="0" xfId="0" applyNumberFormat="1" applyFont="1" applyAlignment="1">
      <alignment horizontal="left" vertical="center"/>
    </xf>
    <xf numFmtId="0" fontId="5" fillId="0" borderId="0" xfId="0" applyFont="1" applyAlignment="1">
      <alignment horizontal="left" vertical="top" wrapText="1" indent="1"/>
    </xf>
    <xf numFmtId="10" fontId="5" fillId="0" borderId="0" xfId="0" applyNumberFormat="1" applyFont="1" applyAlignment="1">
      <alignment horizontal="center"/>
    </xf>
    <xf numFmtId="49" fontId="5" fillId="0" borderId="2" xfId="0" applyNumberFormat="1" applyFont="1" applyBorder="1" applyAlignment="1">
      <alignment horizontal="left"/>
    </xf>
    <xf numFmtId="0" fontId="5" fillId="0" borderId="2" xfId="0" applyFont="1" applyBorder="1" applyAlignment="1">
      <alignment horizontal="left" vertical="top" wrapText="1" indent="1" shrinkToFit="1"/>
    </xf>
    <xf numFmtId="0" fontId="5" fillId="0" borderId="2" xfId="0" applyFont="1" applyBorder="1" applyAlignment="1">
      <alignment horizontal="left" vertical="top" wrapText="1" indent="1"/>
    </xf>
    <xf numFmtId="0" fontId="6" fillId="0" borderId="2" xfId="0" applyFont="1" applyBorder="1" applyAlignment="1">
      <alignment horizontal="left" vertical="top" wrapText="1" shrinkToFit="1"/>
    </xf>
    <xf numFmtId="0" fontId="6" fillId="0" borderId="2" xfId="0" applyFont="1" applyBorder="1" applyAlignment="1">
      <alignment horizontal="right" vertical="top" wrapText="1"/>
    </xf>
    <xf numFmtId="0" fontId="6" fillId="0" borderId="1" xfId="0" applyFont="1" applyBorder="1" applyAlignment="1">
      <alignment horizontal="center" wrapText="1"/>
    </xf>
    <xf numFmtId="0" fontId="6" fillId="0" borderId="2" xfId="0" applyFont="1" applyBorder="1" applyAlignment="1">
      <alignment horizontal="left"/>
    </xf>
    <xf numFmtId="0" fontId="6" fillId="0" borderId="2" xfId="0" applyFont="1" applyBorder="1" applyAlignment="1">
      <alignment vertical="top" wrapText="1"/>
    </xf>
    <xf numFmtId="0" fontId="0" fillId="0" borderId="2" xfId="0" applyBorder="1" applyAlignment="1">
      <alignment wrapText="1"/>
    </xf>
    <xf numFmtId="49" fontId="6" fillId="0" borderId="0" xfId="0" applyNumberFormat="1" applyFont="1"/>
    <xf numFmtId="0" fontId="5" fillId="0" borderId="2" xfId="0" applyFont="1" applyBorder="1" applyAlignment="1">
      <alignment wrapText="1"/>
    </xf>
    <xf numFmtId="49" fontId="5" fillId="0" borderId="2" xfId="0" applyNumberFormat="1" applyFont="1" applyBorder="1"/>
    <xf numFmtId="49" fontId="5" fillId="0" borderId="2" xfId="10" applyNumberFormat="1" applyBorder="1" applyAlignment="1">
      <alignment horizontal="left" vertical="top"/>
    </xf>
    <xf numFmtId="49" fontId="6" fillId="0" borderId="0" xfId="10" applyNumberFormat="1" applyFont="1" applyAlignment="1">
      <alignment horizontal="left" vertical="top"/>
    </xf>
    <xf numFmtId="0" fontId="6" fillId="0" borderId="2" xfId="10" applyFont="1" applyBorder="1" applyAlignment="1">
      <alignment horizontal="left" vertical="center" wrapText="1"/>
    </xf>
    <xf numFmtId="0" fontId="5" fillId="0" borderId="2" xfId="10" applyBorder="1" applyAlignment="1">
      <alignment horizontal="left" vertical="top" wrapText="1"/>
    </xf>
    <xf numFmtId="0" fontId="5" fillId="0" borderId="0" xfId="10" applyAlignment="1">
      <alignment horizontal="left"/>
    </xf>
    <xf numFmtId="0" fontId="5" fillId="0" borderId="0" xfId="10" applyAlignment="1">
      <alignment horizontal="left" vertical="top" wrapText="1"/>
    </xf>
    <xf numFmtId="4" fontId="5" fillId="0" borderId="1" xfId="0" applyNumberFormat="1" applyFont="1" applyBorder="1" applyAlignment="1">
      <alignment horizontal="right" vertical="center"/>
    </xf>
    <xf numFmtId="4" fontId="6" fillId="0" borderId="3" xfId="0" applyNumberFormat="1" applyFont="1" applyBorder="1" applyAlignment="1">
      <alignment horizontal="right" vertical="center"/>
    </xf>
    <xf numFmtId="1" fontId="6" fillId="0" borderId="2" xfId="10" applyNumberFormat="1" applyFont="1" applyBorder="1" applyAlignment="1">
      <alignment horizontal="right"/>
    </xf>
    <xf numFmtId="4" fontId="5" fillId="0" borderId="2" xfId="10" applyNumberFormat="1" applyBorder="1" applyAlignment="1">
      <alignment horizontal="right"/>
    </xf>
    <xf numFmtId="4" fontId="5" fillId="0" borderId="2" xfId="0" applyNumberFormat="1" applyFont="1" applyBorder="1"/>
    <xf numFmtId="3" fontId="5" fillId="0" borderId="0" xfId="10" applyNumberFormat="1" applyAlignment="1">
      <alignment horizontal="right"/>
    </xf>
    <xf numFmtId="0" fontId="6" fillId="0" borderId="2" xfId="2" applyNumberFormat="1" applyFont="1" applyFill="1" applyBorder="1" applyAlignment="1">
      <alignment horizontal="center"/>
    </xf>
    <xf numFmtId="0" fontId="6" fillId="0" borderId="2" xfId="5" applyNumberFormat="1" applyFont="1" applyBorder="1" applyAlignment="1">
      <alignment horizontal="center"/>
    </xf>
    <xf numFmtId="0" fontId="6" fillId="0" borderId="1" xfId="0" applyFont="1" applyBorder="1"/>
    <xf numFmtId="4" fontId="6" fillId="0" borderId="2" xfId="0" applyNumberFormat="1" applyFont="1" applyBorder="1" applyAlignment="1">
      <alignment horizontal="right"/>
    </xf>
    <xf numFmtId="4" fontId="6" fillId="0" borderId="2" xfId="0" applyNumberFormat="1" applyFont="1" applyBorder="1"/>
    <xf numFmtId="4" fontId="31" fillId="0" borderId="2" xfId="11" applyNumberFormat="1" applyFont="1" applyBorder="1" applyAlignment="1">
      <alignment wrapText="1"/>
    </xf>
    <xf numFmtId="0" fontId="13" fillId="0" borderId="4" xfId="0" applyFont="1" applyBorder="1" applyAlignment="1">
      <alignment horizontal="center" vertical="center"/>
    </xf>
    <xf numFmtId="49" fontId="13" fillId="0" borderId="5" xfId="0" applyNumberFormat="1" applyFont="1" applyBorder="1" applyAlignment="1">
      <alignment horizontal="center" vertical="center" wrapText="1"/>
    </xf>
    <xf numFmtId="0" fontId="13" fillId="0" borderId="6" xfId="0" applyFont="1" applyBorder="1" applyAlignment="1">
      <alignment horizontal="center" vertical="center"/>
    </xf>
    <xf numFmtId="49" fontId="13" fillId="0" borderId="7" xfId="0" applyNumberFormat="1" applyFont="1" applyBorder="1" applyAlignment="1">
      <alignment horizontal="center" vertical="center" wrapText="1"/>
    </xf>
    <xf numFmtId="0" fontId="13" fillId="0" borderId="8" xfId="0" applyFont="1" applyBorder="1" applyAlignment="1">
      <alignment horizontal="center" vertical="center"/>
    </xf>
    <xf numFmtId="0" fontId="13" fillId="0" borderId="9" xfId="0" applyFont="1" applyBorder="1" applyAlignment="1">
      <alignment vertical="center"/>
    </xf>
    <xf numFmtId="0" fontId="32" fillId="0" borderId="0" xfId="0" applyFont="1"/>
    <xf numFmtId="0" fontId="6" fillId="0" borderId="1" xfId="0" applyFont="1" applyBorder="1" applyAlignment="1">
      <alignment horizontal="right" vertical="top" wrapText="1"/>
    </xf>
    <xf numFmtId="0" fontId="6" fillId="0" borderId="10" xfId="10" applyFont="1" applyBorder="1" applyAlignment="1">
      <alignment horizontal="left"/>
    </xf>
    <xf numFmtId="1" fontId="6" fillId="0" borderId="3" xfId="10" applyNumberFormat="1" applyFont="1" applyBorder="1" applyAlignment="1">
      <alignment horizontal="center"/>
    </xf>
    <xf numFmtId="1" fontId="6" fillId="0" borderId="10" xfId="10" applyNumberFormat="1" applyFont="1" applyBorder="1" applyAlignment="1">
      <alignment horizontal="center"/>
    </xf>
    <xf numFmtId="1" fontId="6" fillId="0" borderId="0" xfId="10" applyNumberFormat="1" applyFont="1" applyAlignment="1">
      <alignment horizontal="center"/>
    </xf>
    <xf numFmtId="1" fontId="6" fillId="0" borderId="0" xfId="0" applyNumberFormat="1" applyFont="1"/>
    <xf numFmtId="2" fontId="33" fillId="3" borderId="12" xfId="1" applyNumberFormat="1" applyFont="1" applyFill="1" applyBorder="1" applyAlignment="1">
      <alignment horizontal="center" vertical="center"/>
    </xf>
    <xf numFmtId="2" fontId="33" fillId="3" borderId="13" xfId="1" applyNumberFormat="1" applyFont="1" applyFill="1" applyBorder="1" applyAlignment="1">
      <alignment horizontal="center" vertical="center"/>
    </xf>
    <xf numFmtId="0" fontId="19" fillId="0" borderId="1" xfId="0" applyFont="1" applyBorder="1" applyAlignment="1">
      <alignment horizontal="left" vertical="top" wrapText="1"/>
    </xf>
    <xf numFmtId="0" fontId="19" fillId="0" borderId="2" xfId="0" applyFont="1" applyBorder="1" applyAlignment="1">
      <alignment wrapText="1"/>
    </xf>
    <xf numFmtId="4" fontId="33" fillId="3" borderId="14" xfId="1" applyNumberFormat="1" applyFont="1" applyFill="1" applyBorder="1" applyAlignment="1">
      <alignment horizontal="center" vertical="center"/>
    </xf>
    <xf numFmtId="2" fontId="33" fillId="4" borderId="15" xfId="1" applyNumberFormat="1" applyFont="1" applyFill="1" applyBorder="1" applyAlignment="1">
      <alignment horizontal="center" vertical="center"/>
    </xf>
    <xf numFmtId="2" fontId="33" fillId="4" borderId="14" xfId="1" applyNumberFormat="1" applyFont="1" applyFill="1" applyBorder="1" applyAlignment="1">
      <alignment horizontal="center" vertical="center"/>
    </xf>
    <xf numFmtId="2" fontId="33" fillId="4" borderId="13" xfId="1" applyNumberFormat="1" applyFont="1" applyFill="1" applyBorder="1" applyAlignment="1">
      <alignment horizontal="center" vertical="center"/>
    </xf>
    <xf numFmtId="2" fontId="33" fillId="4" borderId="16" xfId="1" applyNumberFormat="1" applyFont="1" applyFill="1" applyBorder="1" applyAlignment="1">
      <alignment horizontal="center" vertical="center"/>
    </xf>
    <xf numFmtId="2" fontId="33" fillId="5" borderId="13" xfId="1" applyNumberFormat="1" applyFont="1" applyFill="1" applyBorder="1" applyAlignment="1">
      <alignment horizontal="center" vertical="center"/>
    </xf>
    <xf numFmtId="2" fontId="33" fillId="3" borderId="17" xfId="1" applyNumberFormat="1" applyFont="1" applyFill="1" applyBorder="1" applyAlignment="1">
      <alignment horizontal="center" vertical="center"/>
    </xf>
    <xf numFmtId="2" fontId="20" fillId="4" borderId="18" xfId="0" applyNumberFormat="1" applyFont="1" applyFill="1" applyBorder="1" applyAlignment="1">
      <alignment horizontal="center" vertical="center" wrapText="1"/>
    </xf>
    <xf numFmtId="2" fontId="20" fillId="4" borderId="19" xfId="0" applyNumberFormat="1" applyFont="1" applyFill="1" applyBorder="1" applyAlignment="1">
      <alignment horizontal="center" vertical="center" wrapText="1"/>
    </xf>
    <xf numFmtId="2" fontId="20" fillId="4" borderId="20" xfId="0" applyNumberFormat="1" applyFont="1" applyFill="1" applyBorder="1" applyAlignment="1">
      <alignment horizontal="center" vertical="center" wrapText="1"/>
    </xf>
    <xf numFmtId="2" fontId="20" fillId="5" borderId="19" xfId="0" applyNumberFormat="1" applyFont="1" applyFill="1" applyBorder="1" applyAlignment="1">
      <alignment horizontal="center" vertical="center" wrapText="1"/>
    </xf>
    <xf numFmtId="2" fontId="20" fillId="4" borderId="21" xfId="0" applyNumberFormat="1" applyFont="1" applyFill="1" applyBorder="1" applyAlignment="1">
      <alignment horizontal="center" vertical="center" wrapText="1"/>
    </xf>
    <xf numFmtId="2" fontId="20" fillId="6" borderId="18" xfId="0" applyNumberFormat="1" applyFont="1" applyFill="1" applyBorder="1" applyAlignment="1">
      <alignment horizontal="center" vertical="center"/>
    </xf>
    <xf numFmtId="2" fontId="20" fillId="3" borderId="22" xfId="0" applyNumberFormat="1" applyFont="1" applyFill="1" applyBorder="1" applyAlignment="1">
      <alignment horizontal="center" vertical="center"/>
    </xf>
    <xf numFmtId="2" fontId="21" fillId="6" borderId="20" xfId="0" applyNumberFormat="1" applyFont="1" applyFill="1" applyBorder="1" applyAlignment="1">
      <alignment horizontal="center" vertical="center"/>
    </xf>
    <xf numFmtId="2" fontId="20" fillId="4" borderId="23" xfId="0" applyNumberFormat="1" applyFont="1" applyFill="1" applyBorder="1" applyAlignment="1">
      <alignment horizontal="center" vertical="center" wrapText="1"/>
    </xf>
    <xf numFmtId="2" fontId="20" fillId="4" borderId="24" xfId="0" applyNumberFormat="1" applyFont="1" applyFill="1" applyBorder="1" applyAlignment="1">
      <alignment horizontal="center" vertical="center" wrapText="1"/>
    </xf>
    <xf numFmtId="2" fontId="20" fillId="4" borderId="25" xfId="0" applyNumberFormat="1" applyFont="1" applyFill="1" applyBorder="1" applyAlignment="1">
      <alignment horizontal="center" vertical="center" wrapText="1"/>
    </xf>
    <xf numFmtId="2" fontId="20" fillId="5" borderId="24" xfId="0" applyNumberFormat="1" applyFont="1" applyFill="1" applyBorder="1" applyAlignment="1">
      <alignment horizontal="center" vertical="center" wrapText="1"/>
    </xf>
    <xf numFmtId="2" fontId="20" fillId="4" borderId="1" xfId="0" applyNumberFormat="1" applyFont="1" applyFill="1" applyBorder="1" applyAlignment="1">
      <alignment horizontal="center" vertical="center" wrapText="1"/>
    </xf>
    <xf numFmtId="2" fontId="20" fillId="6" borderId="23" xfId="0" applyNumberFormat="1" applyFont="1" applyFill="1" applyBorder="1" applyAlignment="1">
      <alignment horizontal="center" vertical="center"/>
    </xf>
    <xf numFmtId="2" fontId="20" fillId="3" borderId="2" xfId="0" applyNumberFormat="1" applyFont="1" applyFill="1" applyBorder="1" applyAlignment="1">
      <alignment horizontal="center" vertical="center"/>
    </xf>
    <xf numFmtId="2" fontId="21" fillId="6" borderId="25" xfId="0" applyNumberFormat="1" applyFont="1" applyFill="1" applyBorder="1" applyAlignment="1">
      <alignment horizontal="center" vertical="center"/>
    </xf>
    <xf numFmtId="49" fontId="6" fillId="0" borderId="2" xfId="0" applyNumberFormat="1" applyFont="1" applyBorder="1" applyAlignment="1">
      <alignment vertical="top"/>
    </xf>
    <xf numFmtId="0" fontId="6" fillId="0" borderId="1" xfId="2" applyNumberFormat="1" applyFont="1" applyFill="1" applyBorder="1" applyAlignment="1">
      <alignment horizontal="center"/>
    </xf>
    <xf numFmtId="0" fontId="6" fillId="3" borderId="2" xfId="0" applyFont="1" applyFill="1" applyBorder="1" applyAlignment="1">
      <alignment horizontal="center" vertical="top" wrapText="1"/>
    </xf>
    <xf numFmtId="4" fontId="5" fillId="3" borderId="2" xfId="0" applyNumberFormat="1" applyFont="1" applyFill="1" applyBorder="1" applyAlignment="1">
      <alignment horizontal="right" vertical="center"/>
    </xf>
    <xf numFmtId="4" fontId="6" fillId="6" borderId="3" xfId="0" applyNumberFormat="1" applyFont="1" applyFill="1" applyBorder="1" applyAlignment="1">
      <alignment horizontal="right" vertical="center"/>
    </xf>
    <xf numFmtId="0" fontId="6" fillId="0" borderId="2" xfId="0" applyFont="1" applyBorder="1"/>
    <xf numFmtId="49" fontId="6" fillId="0" borderId="26" xfId="0" applyNumberFormat="1" applyFont="1" applyBorder="1" applyAlignment="1">
      <alignment horizontal="center" vertical="center" wrapText="1"/>
    </xf>
    <xf numFmtId="0" fontId="6" fillId="7" borderId="26" xfId="0" applyFont="1" applyFill="1" applyBorder="1" applyAlignment="1">
      <alignment horizontal="center" vertical="center" wrapText="1"/>
    </xf>
    <xf numFmtId="0" fontId="6" fillId="7" borderId="27" xfId="0" applyFont="1" applyFill="1" applyBorder="1" applyAlignment="1">
      <alignment horizontal="center" vertical="center" wrapText="1"/>
    </xf>
    <xf numFmtId="3" fontId="6" fillId="0" borderId="27" xfId="0" applyNumberFormat="1" applyFont="1" applyBorder="1" applyAlignment="1">
      <alignment horizontal="center" vertical="center" wrapText="1"/>
    </xf>
    <xf numFmtId="3" fontId="6" fillId="3" borderId="26" xfId="0" applyNumberFormat="1" applyFont="1" applyFill="1" applyBorder="1" applyAlignment="1">
      <alignment horizontal="center" vertical="center" wrapText="1"/>
    </xf>
    <xf numFmtId="0" fontId="6" fillId="3" borderId="26" xfId="0" applyFont="1" applyFill="1" applyBorder="1" applyAlignment="1">
      <alignment horizontal="center" vertical="center" wrapText="1"/>
    </xf>
    <xf numFmtId="0" fontId="5" fillId="0" borderId="28" xfId="0" applyFont="1" applyBorder="1" applyAlignment="1">
      <alignment horizontal="left" vertical="center" wrapText="1"/>
    </xf>
    <xf numFmtId="16" fontId="5" fillId="0" borderId="28" xfId="0" applyNumberFormat="1" applyFont="1" applyBorder="1" applyAlignment="1">
      <alignment horizontal="left" vertical="center" wrapText="1"/>
    </xf>
    <xf numFmtId="4" fontId="6" fillId="3" borderId="25" xfId="0" applyNumberFormat="1" applyFont="1" applyFill="1" applyBorder="1" applyAlignment="1">
      <alignment horizontal="right" vertical="center"/>
    </xf>
    <xf numFmtId="49" fontId="6" fillId="0" borderId="23" xfId="0" applyNumberFormat="1" applyFont="1" applyBorder="1" applyAlignment="1">
      <alignment horizontal="left" vertical="top"/>
    </xf>
    <xf numFmtId="4" fontId="6" fillId="3" borderId="25" xfId="0" applyNumberFormat="1" applyFont="1" applyFill="1" applyBorder="1" applyAlignment="1">
      <alignment vertical="center"/>
    </xf>
    <xf numFmtId="49" fontId="34" fillId="0" borderId="29" xfId="0" applyNumberFormat="1" applyFont="1" applyBorder="1" applyAlignment="1">
      <alignment horizontal="left" vertical="top"/>
    </xf>
    <xf numFmtId="0" fontId="36" fillId="0" borderId="0" xfId="0" applyFont="1"/>
    <xf numFmtId="169" fontId="5" fillId="0" borderId="0" xfId="7" applyNumberFormat="1" applyFont="1" applyBorder="1" applyAlignment="1">
      <alignment horizontal="center"/>
    </xf>
    <xf numFmtId="169" fontId="6" fillId="0" borderId="0" xfId="7" applyNumberFormat="1" applyFont="1" applyFill="1" applyBorder="1"/>
    <xf numFmtId="169" fontId="6" fillId="0" borderId="0" xfId="0" applyNumberFormat="1" applyFont="1"/>
    <xf numFmtId="0" fontId="0" fillId="0" borderId="34" xfId="0" applyBorder="1"/>
    <xf numFmtId="0" fontId="28" fillId="0" borderId="16" xfId="0" applyFont="1" applyBorder="1" applyAlignment="1">
      <alignment wrapText="1"/>
    </xf>
    <xf numFmtId="0" fontId="28" fillId="3" borderId="35" xfId="0" applyFont="1" applyFill="1" applyBorder="1"/>
    <xf numFmtId="0" fontId="28" fillId="0" borderId="35" xfId="0" applyFont="1" applyBorder="1"/>
    <xf numFmtId="0" fontId="28" fillId="0" borderId="36" xfId="0" applyFont="1" applyBorder="1"/>
    <xf numFmtId="0" fontId="28" fillId="0" borderId="11" xfId="0" applyFont="1" applyBorder="1"/>
    <xf numFmtId="168" fontId="0" fillId="0" borderId="11" xfId="0" applyNumberFormat="1" applyBorder="1"/>
    <xf numFmtId="0" fontId="28" fillId="0" borderId="2" xfId="0" applyFont="1" applyBorder="1"/>
    <xf numFmtId="168" fontId="0" fillId="0" borderId="2" xfId="0" applyNumberFormat="1" applyBorder="1"/>
    <xf numFmtId="169" fontId="0" fillId="0" borderId="0" xfId="7" applyNumberFormat="1" applyFont="1"/>
    <xf numFmtId="169" fontId="0" fillId="0" borderId="0" xfId="0" applyNumberFormat="1"/>
    <xf numFmtId="4" fontId="6" fillId="0" borderId="0" xfId="0" applyNumberFormat="1" applyFont="1"/>
    <xf numFmtId="0" fontId="5" fillId="0" borderId="2" xfId="0" applyFont="1" applyBorder="1" applyAlignment="1">
      <alignment horizontal="left" vertical="top" wrapText="1"/>
    </xf>
    <xf numFmtId="16" fontId="0" fillId="0" borderId="0" xfId="0" applyNumberFormat="1"/>
    <xf numFmtId="4" fontId="5" fillId="0" borderId="0" xfId="0" applyNumberFormat="1" applyFont="1"/>
    <xf numFmtId="4" fontId="5" fillId="6" borderId="1" xfId="0" applyNumberFormat="1" applyFont="1" applyFill="1" applyBorder="1" applyAlignment="1">
      <alignment horizontal="right" vertical="center"/>
    </xf>
    <xf numFmtId="0" fontId="0" fillId="7" borderId="0" xfId="0" applyFill="1"/>
    <xf numFmtId="0" fontId="6" fillId="7" borderId="0" xfId="0" applyFont="1" applyFill="1"/>
    <xf numFmtId="169" fontId="6" fillId="7" borderId="0" xfId="7" applyNumberFormat="1" applyFont="1" applyFill="1" applyBorder="1"/>
    <xf numFmtId="169" fontId="0" fillId="7" borderId="0" xfId="0" applyNumberFormat="1" applyFill="1"/>
    <xf numFmtId="169" fontId="20" fillId="4" borderId="18" xfId="7" applyNumberFormat="1" applyFont="1" applyFill="1" applyBorder="1" applyAlignment="1">
      <alignment horizontal="center" vertical="center" wrapText="1"/>
    </xf>
    <xf numFmtId="2" fontId="0" fillId="0" borderId="0" xfId="0" applyNumberFormat="1"/>
    <xf numFmtId="9" fontId="32" fillId="0" borderId="2" xfId="0" applyNumberFormat="1" applyFont="1" applyBorder="1" applyAlignment="1">
      <alignment horizontal="left" vertical="top" wrapText="1" indent="1" shrinkToFit="1"/>
    </xf>
    <xf numFmtId="9" fontId="32" fillId="0" borderId="2" xfId="0" applyNumberFormat="1" applyFont="1" applyBorder="1" applyAlignment="1">
      <alignment horizontal="left" vertical="top" wrapText="1" indent="1"/>
    </xf>
    <xf numFmtId="2" fontId="13" fillId="6" borderId="10" xfId="0" applyNumberFormat="1" applyFont="1" applyFill="1" applyBorder="1" applyAlignment="1">
      <alignment horizontal="center" vertical="center"/>
    </xf>
    <xf numFmtId="2" fontId="13" fillId="3" borderId="11" xfId="0" applyNumberFormat="1" applyFont="1" applyFill="1" applyBorder="1" applyAlignment="1">
      <alignment horizontal="center" vertical="center"/>
    </xf>
    <xf numFmtId="2" fontId="13" fillId="6" borderId="37" xfId="0" applyNumberFormat="1" applyFont="1" applyFill="1" applyBorder="1" applyAlignment="1">
      <alignment horizontal="center" vertical="center"/>
    </xf>
    <xf numFmtId="2" fontId="13" fillId="6" borderId="5" xfId="0" applyNumberFormat="1" applyFont="1" applyFill="1" applyBorder="1" applyAlignment="1">
      <alignment horizontal="center" vertical="center"/>
    </xf>
    <xf numFmtId="2" fontId="13" fillId="6" borderId="33" xfId="0" applyNumberFormat="1" applyFont="1" applyFill="1" applyBorder="1" applyAlignment="1">
      <alignment horizontal="center" vertical="center"/>
    </xf>
    <xf numFmtId="2" fontId="13" fillId="6" borderId="38" xfId="0" applyNumberFormat="1" applyFont="1" applyFill="1" applyBorder="1" applyAlignment="1">
      <alignment horizontal="center" vertical="center"/>
    </xf>
    <xf numFmtId="2" fontId="13" fillId="6" borderId="7" xfId="0" applyNumberFormat="1" applyFont="1" applyFill="1" applyBorder="1" applyAlignment="1">
      <alignment horizontal="center" vertical="center"/>
    </xf>
    <xf numFmtId="4" fontId="35" fillId="0" borderId="62" xfId="0" applyNumberFormat="1" applyFont="1" applyBorder="1" applyAlignment="1">
      <alignment horizontal="right" vertical="center"/>
    </xf>
    <xf numFmtId="4" fontId="37" fillId="0" borderId="62" xfId="0" applyNumberFormat="1" applyFont="1" applyBorder="1" applyAlignment="1">
      <alignment horizontal="right" vertical="center"/>
    </xf>
    <xf numFmtId="4" fontId="37" fillId="3" borderId="43" xfId="0" applyNumberFormat="1" applyFont="1" applyFill="1" applyBorder="1" applyAlignment="1">
      <alignment horizontal="right" vertical="center"/>
    </xf>
    <xf numFmtId="4" fontId="38" fillId="3" borderId="39" xfId="0" applyNumberFormat="1" applyFont="1" applyFill="1" applyBorder="1" applyAlignment="1">
      <alignment vertical="center"/>
    </xf>
    <xf numFmtId="49" fontId="34" fillId="6" borderId="41" xfId="0" applyNumberFormat="1" applyFont="1" applyFill="1" applyBorder="1" applyAlignment="1">
      <alignment horizontal="left" vertical="top"/>
    </xf>
    <xf numFmtId="0" fontId="23" fillId="6" borderId="62" xfId="8" applyFont="1" applyFill="1" applyBorder="1" applyAlignment="1" applyProtection="1">
      <alignment horizontal="left" wrapText="1"/>
    </xf>
    <xf numFmtId="0" fontId="23" fillId="6" borderId="63" xfId="8" applyFont="1" applyFill="1" applyBorder="1" applyAlignment="1" applyProtection="1">
      <alignment horizontal="left" wrapText="1"/>
    </xf>
    <xf numFmtId="4" fontId="5" fillId="6" borderId="62" xfId="0" applyNumberFormat="1" applyFont="1" applyFill="1" applyBorder="1" applyAlignment="1">
      <alignment horizontal="right" vertical="center"/>
    </xf>
    <xf numFmtId="4" fontId="5" fillId="3" borderId="43" xfId="0" applyNumberFormat="1" applyFont="1" applyFill="1" applyBorder="1" applyAlignment="1">
      <alignment horizontal="right" vertical="center"/>
    </xf>
    <xf numFmtId="0" fontId="41" fillId="6" borderId="62" xfId="8" applyFont="1" applyFill="1" applyBorder="1" applyAlignment="1" applyProtection="1">
      <alignment horizontal="left" wrapText="1"/>
    </xf>
    <xf numFmtId="0" fontId="41" fillId="6" borderId="63" xfId="8" applyFont="1" applyFill="1" applyBorder="1" applyAlignment="1" applyProtection="1">
      <alignment horizontal="left" wrapText="1"/>
    </xf>
    <xf numFmtId="4" fontId="35" fillId="3" borderId="43" xfId="0" applyNumberFormat="1" applyFont="1" applyFill="1" applyBorder="1" applyAlignment="1">
      <alignment horizontal="right" vertical="center"/>
    </xf>
    <xf numFmtId="0" fontId="42" fillId="0" borderId="1" xfId="0" applyFont="1" applyBorder="1" applyAlignment="1">
      <alignment horizontal="left" vertical="top" wrapText="1"/>
    </xf>
    <xf numFmtId="169" fontId="39" fillId="0" borderId="0" xfId="0" applyNumberFormat="1" applyFont="1"/>
    <xf numFmtId="170" fontId="5" fillId="0" borderId="0" xfId="0" applyNumberFormat="1" applyFont="1"/>
    <xf numFmtId="170" fontId="6" fillId="0" borderId="0" xfId="0" applyNumberFormat="1" applyFont="1"/>
    <xf numFmtId="4" fontId="6" fillId="3" borderId="11" xfId="0" applyNumberFormat="1" applyFont="1" applyFill="1" applyBorder="1" applyAlignment="1">
      <alignment horizontal="right" vertical="center"/>
    </xf>
    <xf numFmtId="4" fontId="6" fillId="3" borderId="39" xfId="0" applyNumberFormat="1" applyFont="1" applyFill="1" applyBorder="1" applyAlignment="1">
      <alignment vertical="center"/>
    </xf>
    <xf numFmtId="4" fontId="37" fillId="7" borderId="30" xfId="0" applyNumberFormat="1" applyFont="1" applyFill="1" applyBorder="1" applyAlignment="1">
      <alignment horizontal="right" vertical="center"/>
    </xf>
    <xf numFmtId="4" fontId="37" fillId="7" borderId="31" xfId="0" applyNumberFormat="1" applyFont="1" applyFill="1" applyBorder="1" applyAlignment="1">
      <alignment horizontal="right" vertical="center"/>
    </xf>
    <xf numFmtId="4" fontId="38" fillId="7" borderId="32" xfId="0" applyNumberFormat="1" applyFont="1" applyFill="1" applyBorder="1" applyAlignment="1">
      <alignment vertical="center"/>
    </xf>
    <xf numFmtId="4" fontId="5" fillId="7" borderId="30" xfId="0" applyNumberFormat="1" applyFont="1" applyFill="1" applyBorder="1" applyAlignment="1">
      <alignment horizontal="right" vertical="center"/>
    </xf>
    <xf numFmtId="0" fontId="6" fillId="0" borderId="0" xfId="0" applyFont="1" applyAlignment="1">
      <alignment vertical="center" wrapText="1"/>
    </xf>
    <xf numFmtId="4" fontId="6" fillId="0" borderId="2" xfId="0" applyNumberFormat="1" applyFont="1" applyBorder="1" applyAlignment="1">
      <alignment horizontal="right" vertical="center"/>
    </xf>
    <xf numFmtId="169" fontId="39" fillId="0" borderId="0" xfId="0" applyNumberFormat="1" applyFont="1" applyAlignment="1">
      <alignment horizontal="center" vertical="center"/>
    </xf>
    <xf numFmtId="0" fontId="2" fillId="0" borderId="2" xfId="0" applyFont="1" applyBorder="1" applyAlignment="1">
      <alignment horizontal="left" vertical="top" wrapText="1"/>
    </xf>
    <xf numFmtId="0" fontId="5" fillId="0" borderId="2" xfId="0" applyFont="1" applyBorder="1" applyAlignment="1">
      <alignment horizontal="justify" vertical="top" wrapText="1"/>
    </xf>
    <xf numFmtId="4" fontId="32" fillId="0" borderId="0" xfId="0" applyNumberFormat="1" applyFont="1"/>
    <xf numFmtId="4" fontId="30" fillId="0" borderId="0" xfId="53" applyNumberFormat="1"/>
    <xf numFmtId="0" fontId="45" fillId="0" borderId="2" xfId="0" applyFont="1" applyBorder="1" applyAlignment="1">
      <alignment horizontal="center"/>
    </xf>
    <xf numFmtId="0" fontId="6" fillId="0" borderId="2" xfId="0" applyFont="1" applyBorder="1" applyAlignment="1">
      <alignment horizontal="center"/>
    </xf>
    <xf numFmtId="1" fontId="6" fillId="0" borderId="2" xfId="0" applyNumberFormat="1" applyFont="1" applyBorder="1" applyAlignment="1">
      <alignment horizontal="center"/>
    </xf>
    <xf numFmtId="0" fontId="2" fillId="0" borderId="1" xfId="0" applyFont="1" applyBorder="1" applyAlignment="1">
      <alignment horizontal="left" vertical="top" wrapText="1"/>
    </xf>
    <xf numFmtId="4" fontId="2" fillId="0" borderId="1" xfId="0" applyNumberFormat="1" applyFont="1" applyBorder="1" applyAlignment="1">
      <alignment horizontal="right" vertical="center"/>
    </xf>
    <xf numFmtId="3" fontId="2" fillId="0" borderId="1" xfId="0" applyNumberFormat="1" applyFont="1" applyBorder="1" applyAlignment="1">
      <alignment horizontal="right" vertical="center"/>
    </xf>
    <xf numFmtId="4" fontId="2" fillId="6" borderId="1" xfId="0" applyNumberFormat="1" applyFont="1" applyFill="1" applyBorder="1" applyAlignment="1">
      <alignment horizontal="right" vertical="center"/>
    </xf>
    <xf numFmtId="4" fontId="2" fillId="3" borderId="2" xfId="0" applyNumberFormat="1" applyFont="1" applyFill="1" applyBorder="1" applyAlignment="1">
      <alignment horizontal="right" vertical="center"/>
    </xf>
    <xf numFmtId="4" fontId="45" fillId="3" borderId="25" xfId="0" applyNumberFormat="1" applyFont="1" applyFill="1" applyBorder="1" applyAlignment="1">
      <alignment vertical="center"/>
    </xf>
    <xf numFmtId="0" fontId="42" fillId="6" borderId="1" xfId="0" applyFont="1" applyFill="1" applyBorder="1" applyAlignment="1">
      <alignment horizontal="left" vertical="top" wrapText="1"/>
    </xf>
    <xf numFmtId="0" fontId="5" fillId="0" borderId="2" xfId="0" applyFont="1" applyBorder="1" applyAlignment="1">
      <alignment vertical="top" wrapText="1"/>
    </xf>
    <xf numFmtId="0" fontId="5" fillId="0" borderId="2" xfId="0" applyFont="1" applyBorder="1" applyAlignment="1">
      <alignment vertical="center" wrapText="1"/>
    </xf>
    <xf numFmtId="0" fontId="2" fillId="0" borderId="0" xfId="0" applyFont="1"/>
    <xf numFmtId="169" fontId="2" fillId="7" borderId="0" xfId="7" applyNumberFormat="1" applyFont="1" applyFill="1"/>
    <xf numFmtId="170" fontId="5" fillId="0" borderId="0" xfId="0" applyNumberFormat="1" applyFont="1" applyAlignment="1">
      <alignment horizontal="center"/>
    </xf>
    <xf numFmtId="0" fontId="48" fillId="0" borderId="1" xfId="0" applyFont="1" applyBorder="1" applyAlignment="1">
      <alignment horizontal="left" vertical="top" wrapText="1"/>
    </xf>
    <xf numFmtId="0" fontId="51" fillId="0" borderId="1" xfId="0" applyFont="1" applyBorder="1" applyAlignment="1">
      <alignment horizontal="left" vertical="top" wrapText="1"/>
    </xf>
    <xf numFmtId="0" fontId="46" fillId="6" borderId="1" xfId="0" applyFont="1" applyFill="1" applyBorder="1" applyAlignment="1">
      <alignment horizontal="left" vertical="top" wrapText="1"/>
    </xf>
    <xf numFmtId="4" fontId="35" fillId="7" borderId="30" xfId="0" applyNumberFormat="1" applyFont="1" applyFill="1" applyBorder="1" applyAlignment="1">
      <alignment horizontal="right" vertical="center"/>
    </xf>
    <xf numFmtId="4" fontId="5" fillId="7" borderId="31" xfId="0" applyNumberFormat="1" applyFont="1" applyFill="1" applyBorder="1" applyAlignment="1">
      <alignment horizontal="right" vertical="center"/>
    </xf>
    <xf numFmtId="4" fontId="6" fillId="7" borderId="32" xfId="0" applyNumberFormat="1" applyFont="1" applyFill="1" applyBorder="1" applyAlignment="1">
      <alignment vertical="center"/>
    </xf>
    <xf numFmtId="4" fontId="35" fillId="7" borderId="31" xfId="0" applyNumberFormat="1" applyFont="1" applyFill="1" applyBorder="1" applyAlignment="1">
      <alignment horizontal="right" vertical="center"/>
    </xf>
    <xf numFmtId="0" fontId="27" fillId="0" borderId="2" xfId="0" applyFont="1" applyBorder="1" applyAlignment="1">
      <alignment horizontal="left" vertical="top" wrapText="1"/>
    </xf>
    <xf numFmtId="4" fontId="6" fillId="6" borderId="42" xfId="0" applyNumberFormat="1" applyFont="1" applyFill="1" applyBorder="1" applyAlignment="1">
      <alignment horizontal="right" vertical="center"/>
    </xf>
    <xf numFmtId="4" fontId="6" fillId="6" borderId="43" xfId="0" applyNumberFormat="1" applyFont="1" applyFill="1" applyBorder="1" applyAlignment="1">
      <alignment horizontal="right" vertical="center"/>
    </xf>
    <xf numFmtId="4" fontId="6" fillId="6" borderId="11" xfId="0" applyNumberFormat="1" applyFont="1" applyFill="1" applyBorder="1" applyAlignment="1">
      <alignment horizontal="right" vertical="center"/>
    </xf>
    <xf numFmtId="4" fontId="6" fillId="0" borderId="42" xfId="0" applyNumberFormat="1" applyFont="1" applyBorder="1" applyAlignment="1">
      <alignment horizontal="right" vertical="center"/>
    </xf>
    <xf numFmtId="4" fontId="6" fillId="0" borderId="43" xfId="0" applyNumberFormat="1" applyFont="1" applyBorder="1" applyAlignment="1">
      <alignment horizontal="right" vertical="center"/>
    </xf>
    <xf numFmtId="4" fontId="6" fillId="0" borderId="11" xfId="0" applyNumberFormat="1" applyFont="1" applyBorder="1" applyAlignment="1">
      <alignment horizontal="right" vertical="center"/>
    </xf>
    <xf numFmtId="4" fontId="6" fillId="3" borderId="44" xfId="0" applyNumberFormat="1" applyFont="1" applyFill="1" applyBorder="1" applyAlignment="1">
      <alignment horizontal="right" vertical="center"/>
    </xf>
    <xf numFmtId="4" fontId="6" fillId="3" borderId="39" xfId="0" applyNumberFormat="1" applyFont="1" applyFill="1" applyBorder="1" applyAlignment="1">
      <alignment horizontal="right" vertical="center"/>
    </xf>
    <xf numFmtId="4" fontId="6" fillId="3" borderId="45" xfId="0" applyNumberFormat="1" applyFont="1" applyFill="1" applyBorder="1" applyAlignment="1">
      <alignment horizontal="right" vertical="center"/>
    </xf>
    <xf numFmtId="4" fontId="6" fillId="3" borderId="42" xfId="0" applyNumberFormat="1" applyFont="1" applyFill="1" applyBorder="1" applyAlignment="1">
      <alignment horizontal="right" vertical="center"/>
    </xf>
    <xf numFmtId="4" fontId="6" fillId="3" borderId="43" xfId="0" applyNumberFormat="1" applyFont="1" applyFill="1" applyBorder="1" applyAlignment="1">
      <alignment horizontal="right" vertical="center"/>
    </xf>
    <xf numFmtId="4" fontId="6" fillId="3" borderId="11" xfId="0" applyNumberFormat="1" applyFont="1" applyFill="1" applyBorder="1" applyAlignment="1">
      <alignment horizontal="right" vertical="center"/>
    </xf>
    <xf numFmtId="0" fontId="23" fillId="7" borderId="30" xfId="8" applyFont="1" applyFill="1" applyBorder="1" applyAlignment="1" applyProtection="1">
      <alignment horizontal="left" wrapText="1"/>
    </xf>
    <xf numFmtId="0" fontId="23" fillId="7" borderId="46" xfId="8" applyFont="1" applyFill="1" applyBorder="1" applyAlignment="1" applyProtection="1">
      <alignment horizontal="left" wrapText="1"/>
    </xf>
    <xf numFmtId="0" fontId="39" fillId="6" borderId="1" xfId="0" applyFont="1" applyFill="1" applyBorder="1" applyAlignment="1">
      <alignment horizontal="left" vertical="top" wrapText="1"/>
    </xf>
    <xf numFmtId="0" fontId="39" fillId="6" borderId="24" xfId="0" applyFont="1" applyFill="1" applyBorder="1" applyAlignment="1">
      <alignment horizontal="left" vertical="top" wrapText="1"/>
    </xf>
    <xf numFmtId="0" fontId="40" fillId="0" borderId="1" xfId="0" applyFont="1" applyBorder="1" applyAlignment="1">
      <alignment horizontal="left" vertical="top" wrapText="1"/>
    </xf>
    <xf numFmtId="0" fontId="40" fillId="0" borderId="24" xfId="0" applyFont="1" applyBorder="1" applyAlignment="1">
      <alignment horizontal="left" vertical="top" wrapText="1"/>
    </xf>
    <xf numFmtId="0" fontId="39" fillId="0" borderId="1" xfId="0" applyFont="1" applyBorder="1" applyAlignment="1">
      <alignment horizontal="left" vertical="top" wrapText="1"/>
    </xf>
    <xf numFmtId="0" fontId="39" fillId="0" borderId="24" xfId="0" applyFont="1" applyBorder="1" applyAlignment="1">
      <alignment horizontal="left" vertical="top" wrapText="1"/>
    </xf>
    <xf numFmtId="0" fontId="43" fillId="0" borderId="1" xfId="0" applyFont="1" applyBorder="1" applyAlignment="1">
      <alignment horizontal="left" vertical="top" wrapText="1"/>
    </xf>
    <xf numFmtId="0" fontId="39" fillId="0" borderId="21" xfId="0" applyFont="1" applyBorder="1" applyAlignment="1">
      <alignment horizontal="left" vertical="top" wrapText="1"/>
    </xf>
    <xf numFmtId="0" fontId="39" fillId="0" borderId="19" xfId="0" applyFont="1" applyBorder="1" applyAlignment="1">
      <alignment horizontal="left" vertical="top" wrapText="1"/>
    </xf>
    <xf numFmtId="0" fontId="6" fillId="3" borderId="1" xfId="2" applyNumberFormat="1" applyFont="1" applyFill="1" applyBorder="1" applyAlignment="1">
      <alignment horizontal="center"/>
    </xf>
    <xf numFmtId="0" fontId="6" fillId="3" borderId="24" xfId="2" applyNumberFormat="1" applyFont="1" applyFill="1" applyBorder="1" applyAlignment="1">
      <alignment horizontal="center"/>
    </xf>
    <xf numFmtId="0" fontId="6" fillId="0" borderId="0" xfId="0" applyFont="1" applyAlignment="1">
      <alignment horizontal="left" wrapText="1"/>
    </xf>
    <xf numFmtId="0" fontId="41" fillId="7" borderId="30" xfId="8" applyFont="1" applyFill="1" applyBorder="1" applyAlignment="1" applyProtection="1">
      <alignment horizontal="left" wrapText="1"/>
    </xf>
    <xf numFmtId="0" fontId="41" fillId="7" borderId="46" xfId="8" applyFont="1" applyFill="1" applyBorder="1" applyAlignment="1" applyProtection="1">
      <alignment horizontal="left" wrapText="1"/>
    </xf>
    <xf numFmtId="0" fontId="5" fillId="0" borderId="40" xfId="0" applyFont="1" applyBorder="1" applyAlignment="1">
      <alignment horizontal="left" vertical="center" wrapText="1"/>
    </xf>
    <xf numFmtId="0" fontId="5" fillId="0" borderId="41" xfId="0" applyFont="1" applyBorder="1" applyAlignment="1">
      <alignment horizontal="left" vertical="center" wrapText="1"/>
    </xf>
    <xf numFmtId="0" fontId="5" fillId="0" borderId="28" xfId="0" applyFont="1" applyBorder="1" applyAlignment="1">
      <alignment horizontal="left" vertical="center" wrapText="1"/>
    </xf>
    <xf numFmtId="0" fontId="5" fillId="0" borderId="0" xfId="0" applyFont="1" applyAlignment="1">
      <alignment horizontal="left" vertical="top" wrapText="1"/>
    </xf>
    <xf numFmtId="4" fontId="6" fillId="0" borderId="42" xfId="0" applyNumberFormat="1" applyFont="1" applyBorder="1" applyAlignment="1">
      <alignment vertical="center"/>
    </xf>
    <xf numFmtId="4" fontId="6" fillId="0" borderId="43" xfId="0" applyNumberFormat="1" applyFont="1" applyBorder="1" applyAlignment="1">
      <alignment vertical="center"/>
    </xf>
    <xf numFmtId="4" fontId="6" fillId="0" borderId="11" xfId="0" applyNumberFormat="1" applyFont="1" applyBorder="1" applyAlignment="1">
      <alignment vertical="center"/>
    </xf>
    <xf numFmtId="4" fontId="6" fillId="6" borderId="42" xfId="0" applyNumberFormat="1" applyFont="1" applyFill="1" applyBorder="1" applyAlignment="1">
      <alignment vertical="center"/>
    </xf>
    <xf numFmtId="4" fontId="6" fillId="6" borderId="43" xfId="0" applyNumberFormat="1" applyFont="1" applyFill="1" applyBorder="1" applyAlignment="1">
      <alignment vertical="center"/>
    </xf>
    <xf numFmtId="4" fontId="6" fillId="6" borderId="11" xfId="0" applyNumberFormat="1" applyFont="1" applyFill="1" applyBorder="1" applyAlignment="1">
      <alignment vertical="center"/>
    </xf>
    <xf numFmtId="0" fontId="5" fillId="0" borderId="0" xfId="10" applyAlignment="1">
      <alignment vertical="top" wrapText="1"/>
    </xf>
    <xf numFmtId="4" fontId="6" fillId="3" borderId="42" xfId="0" applyNumberFormat="1" applyFont="1" applyFill="1" applyBorder="1" applyAlignment="1">
      <alignment vertical="center"/>
    </xf>
    <xf numFmtId="4" fontId="6" fillId="3" borderId="43" xfId="0" applyNumberFormat="1" applyFont="1" applyFill="1" applyBorder="1" applyAlignment="1">
      <alignment vertical="center"/>
    </xf>
    <xf numFmtId="4" fontId="6" fillId="3" borderId="11" xfId="0" applyNumberFormat="1" applyFont="1" applyFill="1" applyBorder="1" applyAlignment="1">
      <alignment vertical="center"/>
    </xf>
    <xf numFmtId="4" fontId="6" fillId="3" borderId="44" xfId="0" applyNumberFormat="1" applyFont="1" applyFill="1" applyBorder="1" applyAlignment="1">
      <alignment vertical="center"/>
    </xf>
    <xf numFmtId="4" fontId="6" fillId="3" borderId="39" xfId="0" applyNumberFormat="1" applyFont="1" applyFill="1" applyBorder="1" applyAlignment="1">
      <alignment vertical="center"/>
    </xf>
    <xf numFmtId="4" fontId="6" fillId="3" borderId="45" xfId="0" applyNumberFormat="1" applyFont="1" applyFill="1" applyBorder="1" applyAlignment="1">
      <alignment vertical="center"/>
    </xf>
    <xf numFmtId="0" fontId="12" fillId="4" borderId="7" xfId="0" applyFont="1" applyFill="1" applyBorder="1" applyAlignment="1">
      <alignment horizontal="center" vertical="center" wrapText="1"/>
    </xf>
    <xf numFmtId="0" fontId="0" fillId="4" borderId="47" xfId="0" applyFill="1" applyBorder="1" applyAlignment="1">
      <alignment horizontal="center" vertical="center" wrapText="1"/>
    </xf>
    <xf numFmtId="0" fontId="17" fillId="6" borderId="25" xfId="0" applyFont="1" applyFill="1" applyBorder="1" applyAlignment="1">
      <alignment horizontal="center" vertical="center" wrapText="1"/>
    </xf>
    <xf numFmtId="0" fontId="17" fillId="6" borderId="32" xfId="0" applyFont="1" applyFill="1" applyBorder="1" applyAlignment="1">
      <alignment horizontal="center" vertical="center" wrapText="1"/>
    </xf>
    <xf numFmtId="0" fontId="17" fillId="6" borderId="23"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8" borderId="26" xfId="0" applyFont="1" applyFill="1" applyBorder="1" applyAlignment="1">
      <alignment horizontal="center" vertical="center" wrapText="1"/>
    </xf>
    <xf numFmtId="0" fontId="17" fillId="8" borderId="49" xfId="0" applyFont="1" applyFill="1" applyBorder="1" applyAlignment="1">
      <alignment horizontal="center" vertical="center" wrapText="1"/>
    </xf>
    <xf numFmtId="0" fontId="12" fillId="0" borderId="52" xfId="0" applyFont="1" applyBorder="1" applyAlignment="1">
      <alignment horizontal="center" vertical="center" wrapText="1"/>
    </xf>
    <xf numFmtId="0" fontId="12" fillId="0" borderId="53"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54" xfId="0" applyFont="1" applyBorder="1" applyAlignment="1">
      <alignment horizontal="center" vertical="center" wrapText="1"/>
    </xf>
    <xf numFmtId="0" fontId="12" fillId="0" borderId="55" xfId="0" applyFont="1" applyBorder="1" applyAlignment="1">
      <alignment horizontal="center" vertical="center" wrapText="1"/>
    </xf>
    <xf numFmtId="0" fontId="13" fillId="0" borderId="56" xfId="0" applyFont="1" applyBorder="1" applyAlignment="1">
      <alignment horizontal="center" vertical="center" wrapText="1"/>
    </xf>
    <xf numFmtId="0" fontId="12" fillId="6" borderId="57" xfId="0" applyFont="1" applyFill="1" applyBorder="1" applyAlignment="1">
      <alignment horizontal="center" vertical="center" wrapText="1"/>
    </xf>
    <xf numFmtId="0" fontId="12" fillId="6" borderId="58" xfId="0" applyFont="1" applyFill="1" applyBorder="1" applyAlignment="1">
      <alignment horizontal="center" vertical="center" wrapText="1"/>
    </xf>
    <xf numFmtId="0" fontId="12" fillId="6" borderId="54" xfId="0" applyFont="1" applyFill="1" applyBorder="1" applyAlignment="1">
      <alignment horizontal="center" vertical="center" wrapText="1"/>
    </xf>
    <xf numFmtId="0" fontId="12" fillId="6" borderId="59" xfId="0" applyFont="1" applyFill="1" applyBorder="1" applyAlignment="1">
      <alignment horizontal="center" vertical="center" wrapText="1"/>
    </xf>
    <xf numFmtId="0" fontId="12" fillId="4" borderId="22" xfId="0" applyFont="1" applyFill="1" applyBorder="1" applyAlignment="1">
      <alignment horizontal="center" vertical="center" wrapText="1"/>
    </xf>
    <xf numFmtId="0" fontId="0" fillId="4" borderId="22" xfId="0"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49" xfId="0"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2" fillId="4" borderId="40" xfId="0" applyFont="1" applyFill="1" applyBorder="1" applyAlignment="1">
      <alignment horizontal="center" vertical="center" wrapText="1"/>
    </xf>
    <xf numFmtId="0" fontId="12" fillId="4" borderId="51" xfId="0" applyFont="1" applyFill="1" applyBorder="1" applyAlignment="1">
      <alignment horizontal="center" vertical="center" wrapText="1"/>
    </xf>
    <xf numFmtId="0" fontId="12" fillId="4" borderId="44" xfId="0" applyFont="1" applyFill="1" applyBorder="1" applyAlignment="1">
      <alignment horizontal="center" vertical="center" wrapText="1"/>
    </xf>
    <xf numFmtId="0" fontId="12" fillId="4" borderId="60" xfId="0" applyFont="1" applyFill="1" applyBorder="1" applyAlignment="1">
      <alignment horizontal="center" vertical="center" wrapText="1"/>
    </xf>
    <xf numFmtId="0" fontId="16" fillId="4" borderId="61" xfId="0" applyFont="1" applyFill="1" applyBorder="1" applyAlignment="1">
      <alignment horizontal="center" vertical="center" wrapText="1"/>
    </xf>
    <xf numFmtId="0" fontId="16" fillId="4" borderId="58" xfId="0" applyFont="1" applyFill="1" applyBorder="1" applyAlignment="1">
      <alignment horizontal="center" vertical="center" wrapText="1"/>
    </xf>
    <xf numFmtId="0" fontId="17" fillId="6" borderId="24"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7" fillId="6" borderId="48" xfId="0" applyFont="1" applyFill="1" applyBorder="1" applyAlignment="1">
      <alignment horizontal="center" vertical="center" wrapText="1"/>
    </xf>
    <xf numFmtId="0" fontId="17" fillId="8" borderId="43" xfId="0" applyFont="1" applyFill="1" applyBorder="1" applyAlignment="1">
      <alignment horizontal="center" vertical="center" wrapText="1"/>
    </xf>
    <xf numFmtId="0" fontId="5" fillId="0" borderId="0" xfId="0" applyFont="1" applyAlignment="1">
      <alignment vertical="top" wrapText="1"/>
    </xf>
  </cellXfs>
  <cellStyles count="87">
    <cellStyle name="20% – rõhk6" xfId="1" builtinId="50"/>
    <cellStyle name="Comma 2" xfId="3" xr:uid="{8E90883C-B308-4232-AEF4-9F04F97CACBB}"/>
    <cellStyle name="Comma 3" xfId="4" xr:uid="{07A41091-21E4-4D6A-B138-D66D6C2A0695}"/>
    <cellStyle name="Comma 3 2" xfId="54" xr:uid="{4C337152-3379-4634-9025-7207F380EC8D}"/>
    <cellStyle name="Comma 4" xfId="5" xr:uid="{553E715D-C030-492A-9D71-44EC338F8500}"/>
    <cellStyle name="Comma 4 2" xfId="55" xr:uid="{37550F49-4CD0-440F-9367-72E36E971771}"/>
    <cellStyle name="Comma 5" xfId="6" xr:uid="{F1831DCF-A540-457F-8021-42BBA0FE0118}"/>
    <cellStyle name="Hüperlink" xfId="8" builtinId="8"/>
    <cellStyle name="Koma" xfId="2" builtinId="3"/>
    <cellStyle name="Normaallaad" xfId="0" builtinId="0"/>
    <cellStyle name="Normaallaad 2" xfId="9" xr:uid="{11E73A4A-4C61-46F8-9412-6B6AA2D987BC}"/>
    <cellStyle name="Normal 10" xfId="10" xr:uid="{A527D538-8103-4CFA-B203-873FEC3DCC17}"/>
    <cellStyle name="Normal 11" xfId="11" xr:uid="{7DD9C66D-BB92-4A07-AD73-DE99E329D469}"/>
    <cellStyle name="Normal 11 2" xfId="56" xr:uid="{2FE72142-4AAB-46B1-8BCC-527C76A76153}"/>
    <cellStyle name="Normal 2" xfId="12" xr:uid="{7051618D-8E65-4E18-8871-8F10EC80275F}"/>
    <cellStyle name="Normal 2 2" xfId="13" xr:uid="{E70E1757-F051-48F1-81E4-E53AE740DF85}"/>
    <cellStyle name="Normal 3" xfId="14" xr:uid="{AA39AA26-98F1-4FBB-8819-99A513DDD17F}"/>
    <cellStyle name="Normal 3 2" xfId="15" xr:uid="{AF8215ED-FF25-4EE1-B1A6-7CA8CF4CEA0C}"/>
    <cellStyle name="Normal 4" xfId="16" xr:uid="{7C053544-78D5-484E-BC29-808FB3E0D9B1}"/>
    <cellStyle name="Normal 4 2" xfId="17" xr:uid="{5A743E5D-AA92-43F8-8B8C-31C0CFB888EB}"/>
    <cellStyle name="Normal 4 3" xfId="18" xr:uid="{B6695420-9159-40DD-AF9A-8693D0712D86}"/>
    <cellStyle name="Normal 4 3 2" xfId="19" xr:uid="{F8FB5A30-A5A8-44D1-B44A-6B416B3CE8EB}"/>
    <cellStyle name="Normal 4 3 2 2" xfId="20" xr:uid="{EB21EF75-33FD-41FF-8F30-7C6F094D0AB9}"/>
    <cellStyle name="Normal 4 3 2 2 2" xfId="60" xr:uid="{2A27F04E-4E5A-41DE-8F0B-A22FF6E17778}"/>
    <cellStyle name="Normal 4 3 2 3" xfId="59" xr:uid="{E751F7FB-A7C4-4FD9-A7EE-DC7F68CCD5D2}"/>
    <cellStyle name="Normal 4 3 3" xfId="21" xr:uid="{01F99E1E-D66C-4E14-8F07-A45A779995A2}"/>
    <cellStyle name="Normal 4 3 3 2" xfId="61" xr:uid="{D58A49F0-0235-470A-B739-40AD15627326}"/>
    <cellStyle name="Normal 4 3 4" xfId="58" xr:uid="{ACA163C0-2CDA-4372-9DD9-B8F7707811D6}"/>
    <cellStyle name="Normal 4 4" xfId="22" xr:uid="{A12EC021-08A3-4778-8713-D51211C19153}"/>
    <cellStyle name="Normal 4 4 2" xfId="23" xr:uid="{3C94119D-9C0A-4FCA-A6C5-5B8E70DC5452}"/>
    <cellStyle name="Normal 4 4 2 2" xfId="63" xr:uid="{B816809A-A68F-42CC-9473-111190B58A62}"/>
    <cellStyle name="Normal 4 4 3" xfId="62" xr:uid="{F77CD907-B97D-4A58-BB04-DF2FA5ECEA3E}"/>
    <cellStyle name="Normal 4 5" xfId="24" xr:uid="{8F231771-9446-4DE3-A23F-84C0AD215DC3}"/>
    <cellStyle name="Normal 4 5 2" xfId="64" xr:uid="{7CE715E6-938E-43ED-9378-96AAA8B19FEF}"/>
    <cellStyle name="Normal 4 6" xfId="57" xr:uid="{761608B3-87D3-4D63-AB88-3C4C4F54043D}"/>
    <cellStyle name="Normal 5" xfId="25" xr:uid="{AD68904A-CBA3-4DA6-9605-D834B446AA04}"/>
    <cellStyle name="Normal 6" xfId="26" xr:uid="{F70E1B3B-00CB-469D-944C-FECE426C61E0}"/>
    <cellStyle name="Normal 6 2" xfId="27" xr:uid="{00B94BE9-25FE-463A-8380-7CFA55B0F079}"/>
    <cellStyle name="Normal 6 2 2" xfId="28" xr:uid="{E8313B98-7899-4584-ABF7-59C60CAF8609}"/>
    <cellStyle name="Normal 6 2 2 2" xfId="29" xr:uid="{4DAFD434-F312-4DBA-AC49-8CA37A114666}"/>
    <cellStyle name="Normal 6 2 2 2 2" xfId="68" xr:uid="{24B6A30C-F39F-4428-923E-B1E4536470F7}"/>
    <cellStyle name="Normal 6 2 2 3" xfId="67" xr:uid="{16F31854-6731-4111-B328-9603185BF3C2}"/>
    <cellStyle name="Normal 6 2 3" xfId="30" xr:uid="{CC81E857-7051-43FF-81AD-741C315C55B4}"/>
    <cellStyle name="Normal 6 2 3 2" xfId="69" xr:uid="{E4717A90-D001-495F-A2F8-6220A6C61FA4}"/>
    <cellStyle name="Normal 6 2 4" xfId="66" xr:uid="{6BEDA26A-0F64-46B0-8A30-19F08E59D112}"/>
    <cellStyle name="Normal 6 3" xfId="31" xr:uid="{B4C41E06-3203-43E6-802F-8CC6C1474342}"/>
    <cellStyle name="Normal 6 3 2" xfId="32" xr:uid="{DE89DC9A-DC92-455E-8F40-1033615DE66A}"/>
    <cellStyle name="Normal 6 3 2 2" xfId="71" xr:uid="{EC3FAD85-0060-4C5B-810C-4FA7929B81AB}"/>
    <cellStyle name="Normal 6 3 3" xfId="70" xr:uid="{FFFFD0C8-8A75-4AD1-8998-7AADA0CD6444}"/>
    <cellStyle name="Normal 6 4" xfId="33" xr:uid="{8DDDB8AD-DE2A-4123-9ACD-853DE2A8C33B}"/>
    <cellStyle name="Normal 6 4 2" xfId="72" xr:uid="{D7CCF78F-8947-43E6-8618-400305380B1B}"/>
    <cellStyle name="Normal 6 5" xfId="65" xr:uid="{981AF8F7-C026-4102-944A-FBF492AAD7FE}"/>
    <cellStyle name="Normal 7" xfId="34" xr:uid="{4F9D1A30-DAB2-488D-8139-0AC3F38FB4F6}"/>
    <cellStyle name="Normal 7 2" xfId="35" xr:uid="{122843B0-648B-4701-A794-2C4E3EC980CE}"/>
    <cellStyle name="Normal 7 2 2" xfId="74" xr:uid="{D80CFEDE-AB0E-427B-AEE5-7C954E5F8B62}"/>
    <cellStyle name="Normal 7 3" xfId="73" xr:uid="{22AD6902-ADCA-48A7-81CB-B8E43ED3B146}"/>
    <cellStyle name="Normal 8" xfId="36" xr:uid="{08708A89-A4BF-44C2-ACF2-828D84728EA7}"/>
    <cellStyle name="Normal 8 2" xfId="37" xr:uid="{7C8554DE-5D6C-4E84-8A8F-AD28B4702278}"/>
    <cellStyle name="Normal 8 2 2" xfId="76" xr:uid="{DEB04298-B7CF-45D7-B5A8-60973EE194C7}"/>
    <cellStyle name="Normal 8 3" xfId="75" xr:uid="{5391F792-1A36-44FD-AB05-F0616C7B08AB}"/>
    <cellStyle name="Normal 9" xfId="38" xr:uid="{55E83AEE-4AB5-43AD-8E20-DD21757685E8}"/>
    <cellStyle name="Normal 9 2" xfId="39" xr:uid="{4C7C2D98-DF2D-4D1F-B327-F6FA72B101F2}"/>
    <cellStyle name="Normal 9 2 2" xfId="78" xr:uid="{72CFC5B8-AC3C-4293-B20F-72A35A019566}"/>
    <cellStyle name="Normal 9 3" xfId="77" xr:uid="{2BB96A5A-2C9F-4A57-AF56-03E7F784E5B2}"/>
    <cellStyle name="Percent 2" xfId="40" xr:uid="{0FD4D580-D528-4790-956B-1BE3DC71638B}"/>
    <cellStyle name="Percent 2 2" xfId="41" xr:uid="{D6B9B2DF-BC4C-40FC-AC36-C5B6863EDBA4}"/>
    <cellStyle name="Percent 3" xfId="42" xr:uid="{85DECED2-9ABC-4F91-924D-23BACA335520}"/>
    <cellStyle name="Percent 3 2" xfId="43" xr:uid="{105670BF-E3E6-4B16-9743-F629388740F4}"/>
    <cellStyle name="Percent 3 3" xfId="44" xr:uid="{80493F78-FAB1-4122-B18F-21DD4D6002B7}"/>
    <cellStyle name="Percent 3 3 2" xfId="45" xr:uid="{ED04CA3C-4BA5-4BA3-A15D-7D531764F98E}"/>
    <cellStyle name="Percent 3 3 2 2" xfId="46" xr:uid="{B97E638C-FFB8-4C9A-8A73-1673160F8CB6}"/>
    <cellStyle name="Percent 3 3 2 2 2" xfId="82" xr:uid="{CA3F954E-9A06-49AB-99E1-68E0071882D2}"/>
    <cellStyle name="Percent 3 3 2 3" xfId="81" xr:uid="{9E4AACE7-5D3B-4AD3-A578-4D0BF4CE14EC}"/>
    <cellStyle name="Percent 3 3 3" xfId="47" xr:uid="{10CCFF8D-99C5-4CA1-8F43-6B59A6712C09}"/>
    <cellStyle name="Percent 3 3 3 2" xfId="83" xr:uid="{B46CAF95-B257-4477-AC2D-A92B02F37609}"/>
    <cellStyle name="Percent 3 3 4" xfId="80" xr:uid="{B1A09C87-A6E5-4C75-AE56-45D810386983}"/>
    <cellStyle name="Percent 3 4" xfId="48" xr:uid="{009AA7BF-B0BC-4CAA-939E-40A64BB51E4A}"/>
    <cellStyle name="Percent 3 4 2" xfId="49" xr:uid="{2A3FBAD5-1EB2-4570-801B-5D4FE480A595}"/>
    <cellStyle name="Percent 3 4 2 2" xfId="85" xr:uid="{9431D670-6BC6-4301-8662-FAF0E1B088B3}"/>
    <cellStyle name="Percent 3 4 3" xfId="84" xr:uid="{A610F0A8-6AB4-49E7-8C10-40FB6BAD43DB}"/>
    <cellStyle name="Percent 3 5" xfId="50" xr:uid="{A989DCFC-1BC3-4048-A43A-54DDC943CEA5}"/>
    <cellStyle name="Percent 3 5 2" xfId="86" xr:uid="{17DC9CE4-1A15-43C7-A65F-96C6C660A2D0}"/>
    <cellStyle name="Percent 3 6" xfId="79" xr:uid="{C2AD6798-AB27-4AB3-B216-68EDAE85A3CB}"/>
    <cellStyle name="Percent 4" xfId="51" xr:uid="{C053C613-FF7F-4918-9D95-152A24383764}"/>
    <cellStyle name="Style 1" xfId="52" xr:uid="{E7377ECE-6956-4827-B211-5701CC1B9050}"/>
    <cellStyle name="Style 1 2" xfId="53" xr:uid="{CCF80DD3-CD1C-45EF-823B-AB77F76EBA2A}"/>
    <cellStyle name="Valuuta" xfId="7"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0</xdr:colOff>
      <xdr:row>4</xdr:row>
      <xdr:rowOff>0</xdr:rowOff>
    </xdr:to>
    <xdr:pic>
      <xdr:nvPicPr>
        <xdr:cNvPr id="1154" name="Picture 1">
          <a:extLst>
            <a:ext uri="{FF2B5EF4-FFF2-40B4-BE49-F238E27FC236}">
              <a16:creationId xmlns:a16="http://schemas.microsoft.com/office/drawing/2014/main" id="{F57B4DC2-6497-3B3A-A7D5-0BF49B01C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161925"/>
          <a:ext cx="35433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ve Osman" id="{82C313DE-A106-4D26-A6FE-E6967A2FB352}" userId="Ave Osman" providerId="None"/>
</personList>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4" dT="2026-07-16T13:00:51.27" personId="{82C313DE-A106-4D26-A6FE-E6967A2FB352}" id="{4FDA17CD-21ED-49DC-BA50-2385A225075A}">
    <text xml:space="preserve">Parandasin sõnastust SFOS-is kirjas oleva projekti eesmärgi alusel. </text>
  </threadedComment>
  <threadedComment ref="B20" dT="2026-07-16T12:35:11.13" personId="{82C313DE-A106-4D26-A6FE-E6967A2FB352}" id="{B48443D8-8777-4525-B251-56CFD6B11DF2}">
    <text xml:space="preserve">Kas maksekaardi lahendus luuakse või see on juba olemas ja piloteeritakse? Lisasin pikema küsimuse TAT-i tervikteksti faili. </text>
  </threadedComment>
  <threadedComment ref="B26" dT="2026-07-16T13:01:00.06" personId="{82C313DE-A106-4D26-A6FE-E6967A2FB352}" id="{7B4AE5C5-E4A5-4F84-B7A4-01148F100B95}">
    <text xml:space="preserve">Parandasin sõnastust SFOS-is kirjas oleva projekti eesmärgi alusel. </text>
  </threadedComment>
  <threadedComment ref="B36" dT="2026-07-16T12:55:31.94" personId="{82C313DE-A106-4D26-A6FE-E6967A2FB352}" id="{00D1C54F-330B-446E-9741-A367840C9329}">
    <text xml:space="preserve">Parandasin sõnastust SFOS-is kirjas oleva projekti eesmärgi alusel. Algne tekst oli vigadega. </text>
  </threadedComment>
  <threadedComment ref="B39" dT="2026-07-16T12:49:38.31" personId="{82C313DE-A106-4D26-A6FE-E6967A2FB352}" id="{485AE996-0A54-4753-94D3-080531BDEAC1}">
    <text xml:space="preserve">TAT-is on praegu 2 eraldi tegevust, siis liidetud 1-ks. Võiks siis ka TAT-is üheks liita. </text>
  </threadedComment>
  <threadedComment ref="C39" dT="2026-07-16T12:44:04.12" personId="{82C313DE-A106-4D26-A6FE-E6967A2FB352}" id="{A984AECC-66AF-42D9-B4F2-6D306F8CDD1D}">
    <text xml:space="preserve">Praegu on eelarverea kirjeldusest täiesti jäänud välja teenuse tagamisega seotud kulud: Kulu sisaldab endas suulise ja kirjaliku tõlke kulu, mis on vajalik SKA teenuste tagamiseks või teistes sotsiaalvaldkonna asutuste asjaajamiseks (nt KOV, majutuskeskus, tervishoid jne, kus on ettenähtud, et tõlk peab isikul endal kaasas olema). 
Need võiks osaliselt mainitud olla, kuna TAT-i terviktekstis on ka neid mainitud. Pakun oma variandi. </text>
  </threadedComment>
</ThreadedComments>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riigiteataja.ee/akt/117052022013" TargetMode="External"/><Relationship Id="rId7" Type="http://schemas.openxmlformats.org/officeDocument/2006/relationships/drawing" Target="../drawings/drawing1.xml"/><Relationship Id="rId2" Type="http://schemas.openxmlformats.org/officeDocument/2006/relationships/hyperlink" Target="https://www.riigiteataja.ee/akt/117052022013" TargetMode="External"/><Relationship Id="rId1" Type="http://schemas.openxmlformats.org/officeDocument/2006/relationships/hyperlink" Target="https://www.riigiteataja.ee/akt/117052022013" TargetMode="External"/><Relationship Id="rId6" Type="http://schemas.openxmlformats.org/officeDocument/2006/relationships/printerSettings" Target="../printerSettings/printerSettings1.bin"/><Relationship Id="rId5" Type="http://schemas.openxmlformats.org/officeDocument/2006/relationships/hyperlink" Target="https://www.riigiteataja.ee/akt/117052022013" TargetMode="External"/><Relationship Id="rId10" Type="http://schemas.microsoft.com/office/2017/10/relationships/threadedComment" Target="../threadedComments/threadedComment1.xml"/><Relationship Id="rId4" Type="http://schemas.openxmlformats.org/officeDocument/2006/relationships/hyperlink" Target="https://www.riigiteataja.ee/akt/117052022013"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DC94A-832D-4DDB-AD21-3C7EBF77986D}">
  <sheetPr>
    <pageSetUpPr fitToPage="1"/>
  </sheetPr>
  <dimension ref="A1:S96"/>
  <sheetViews>
    <sheetView tabSelected="1" topLeftCell="A49" zoomScale="70" zoomScaleNormal="70" workbookViewId="0">
      <selection activeCell="C60" sqref="C60"/>
    </sheetView>
  </sheetViews>
  <sheetFormatPr defaultColWidth="9.140625" defaultRowHeight="12.75"/>
  <cols>
    <col min="1" max="1" width="8.5703125" style="1" customWidth="1"/>
    <col min="2" max="2" width="53.140625" style="4" customWidth="1"/>
    <col min="3" max="3" width="65.140625" style="4" customWidth="1"/>
    <col min="4" max="4" width="16.42578125" style="10" customWidth="1"/>
    <col min="5" max="6" width="15.5703125" style="14" customWidth="1"/>
    <col min="7" max="10" width="15.42578125" style="14" customWidth="1"/>
    <col min="11" max="12" width="15.5703125" style="14" customWidth="1"/>
    <col min="13" max="13" width="12.85546875" style="1" customWidth="1"/>
    <col min="14" max="14" width="16.5703125" style="1" customWidth="1"/>
    <col min="15" max="15" width="26.85546875" style="1" customWidth="1"/>
    <col min="16" max="16" width="10.42578125" style="1" bestFit="1" customWidth="1"/>
    <col min="17" max="17" width="9.140625" style="1"/>
    <col min="18" max="18" width="12.5703125" style="1" bestFit="1" customWidth="1"/>
    <col min="19" max="19" width="10" style="1" bestFit="1" customWidth="1"/>
    <col min="20" max="16384" width="9.140625" style="1"/>
  </cols>
  <sheetData>
    <row r="1" spans="1:15">
      <c r="B1"/>
    </row>
    <row r="2" spans="1:15">
      <c r="B2"/>
    </row>
    <row r="3" spans="1:15">
      <c r="B3" s="112" t="s">
        <v>0</v>
      </c>
    </row>
    <row r="4" spans="1:15" ht="39" customHeight="1">
      <c r="A4" s="2"/>
      <c r="B4" s="8" t="s">
        <v>1</v>
      </c>
      <c r="C4" s="224"/>
      <c r="D4" s="224"/>
      <c r="E4" s="224"/>
      <c r="F4" s="224"/>
    </row>
    <row r="5" spans="1:15" ht="102" customHeight="1">
      <c r="B5" s="237" t="s">
        <v>2</v>
      </c>
      <c r="C5" s="237"/>
      <c r="D5" s="237"/>
    </row>
    <row r="6" spans="1:15">
      <c r="A6" s="2"/>
      <c r="B6" s="1"/>
    </row>
    <row r="7" spans="1:15" ht="45.95" customHeight="1">
      <c r="B7" s="230" t="s">
        <v>3</v>
      </c>
      <c r="C7" s="230"/>
    </row>
    <row r="8" spans="1:15">
      <c r="A8" s="2"/>
    </row>
    <row r="9" spans="1:15" s="2" customFormat="1">
      <c r="A9" s="94"/>
      <c r="B9" s="13" t="s">
        <v>4</v>
      </c>
      <c r="C9" s="29"/>
      <c r="D9" s="18">
        <v>2022</v>
      </c>
      <c r="E9" s="18">
        <v>2023</v>
      </c>
      <c r="F9" s="18">
        <v>2024</v>
      </c>
      <c r="G9" s="95">
        <v>2025</v>
      </c>
      <c r="H9" s="95">
        <v>2026</v>
      </c>
      <c r="I9" s="95">
        <v>2027</v>
      </c>
      <c r="J9" s="18">
        <v>2028</v>
      </c>
      <c r="K9" s="95">
        <v>2029</v>
      </c>
      <c r="L9" s="222" t="s">
        <v>5</v>
      </c>
      <c r="M9" s="223"/>
      <c r="N9" s="96" t="s">
        <v>5</v>
      </c>
    </row>
    <row r="10" spans="1:15" s="11" customFormat="1" ht="38.25" customHeight="1">
      <c r="A10" s="100" t="s">
        <v>6</v>
      </c>
      <c r="B10" s="101" t="s">
        <v>7</v>
      </c>
      <c r="C10" s="102" t="s">
        <v>8</v>
      </c>
      <c r="D10" s="103" t="s">
        <v>9</v>
      </c>
      <c r="E10" s="103" t="s">
        <v>9</v>
      </c>
      <c r="F10" s="103" t="s">
        <v>9</v>
      </c>
      <c r="G10" s="103" t="s">
        <v>9</v>
      </c>
      <c r="H10" s="103" t="s">
        <v>9</v>
      </c>
      <c r="I10" s="103" t="s">
        <v>9</v>
      </c>
      <c r="J10" s="103" t="s">
        <v>9</v>
      </c>
      <c r="K10" s="103" t="s">
        <v>9</v>
      </c>
      <c r="L10" s="104" t="s">
        <v>10</v>
      </c>
      <c r="M10" s="104" t="s">
        <v>11</v>
      </c>
      <c r="N10" s="105" t="s">
        <v>12</v>
      </c>
    </row>
    <row r="11" spans="1:15" s="12" customFormat="1" ht="30" customHeight="1">
      <c r="A11" s="227">
        <v>1</v>
      </c>
      <c r="B11" s="220" t="s">
        <v>13</v>
      </c>
      <c r="C11" s="221"/>
      <c r="D11" s="202"/>
      <c r="E11" s="202">
        <f>E15+E21</f>
        <v>0</v>
      </c>
      <c r="F11" s="202">
        <f>F15+F21</f>
        <v>82204.5</v>
      </c>
      <c r="G11" s="202">
        <f t="shared" ref="G11:M11" si="0">G15+G21</f>
        <v>95010.3</v>
      </c>
      <c r="H11" s="202">
        <f t="shared" si="0"/>
        <v>125049.75</v>
      </c>
      <c r="I11" s="202">
        <f t="shared" si="0"/>
        <v>208425</v>
      </c>
      <c r="J11" s="199">
        <f t="shared" si="0"/>
        <v>206027.85</v>
      </c>
      <c r="K11" s="202">
        <f t="shared" si="0"/>
        <v>115050.6</v>
      </c>
      <c r="L11" s="208">
        <f>L15+L21</f>
        <v>234192</v>
      </c>
      <c r="M11" s="208">
        <f t="shared" si="0"/>
        <v>597576</v>
      </c>
      <c r="N11" s="205">
        <f>L11+M11</f>
        <v>831768</v>
      </c>
      <c r="O11" s="190"/>
    </row>
    <row r="12" spans="1:15" s="2" customFormat="1" ht="24.6" customHeight="1">
      <c r="A12" s="228"/>
      <c r="B12" s="217" t="s">
        <v>14</v>
      </c>
      <c r="C12" s="218"/>
      <c r="D12" s="203"/>
      <c r="E12" s="203"/>
      <c r="F12" s="203"/>
      <c r="G12" s="203"/>
      <c r="H12" s="203"/>
      <c r="I12" s="203"/>
      <c r="J12" s="200"/>
      <c r="K12" s="203"/>
      <c r="L12" s="209"/>
      <c r="M12" s="209"/>
      <c r="N12" s="206"/>
      <c r="O12" s="162"/>
    </row>
    <row r="13" spans="1:15" s="2" customFormat="1" ht="20.45" customHeight="1">
      <c r="A13" s="228"/>
      <c r="B13" s="217" t="s">
        <v>15</v>
      </c>
      <c r="C13" s="218"/>
      <c r="D13" s="203"/>
      <c r="E13" s="203"/>
      <c r="F13" s="203"/>
      <c r="G13" s="203"/>
      <c r="H13" s="203"/>
      <c r="I13" s="203"/>
      <c r="J13" s="200"/>
      <c r="K13" s="203"/>
      <c r="L13" s="209"/>
      <c r="M13" s="209"/>
      <c r="N13" s="206"/>
    </row>
    <row r="14" spans="1:15" s="2" customFormat="1" ht="47.1" customHeight="1">
      <c r="A14" s="229"/>
      <c r="B14" s="217" t="s">
        <v>16</v>
      </c>
      <c r="C14" s="218"/>
      <c r="D14" s="204"/>
      <c r="E14" s="204"/>
      <c r="F14" s="204"/>
      <c r="G14" s="204"/>
      <c r="H14" s="204"/>
      <c r="I14" s="204"/>
      <c r="J14" s="201"/>
      <c r="K14" s="204"/>
      <c r="L14" s="210"/>
      <c r="M14" s="210"/>
      <c r="N14" s="207"/>
      <c r="O14" s="171"/>
    </row>
    <row r="15" spans="1:15" s="2" customFormat="1" ht="20.45" customHeight="1">
      <c r="A15" s="107" t="s">
        <v>17</v>
      </c>
      <c r="B15" s="215" t="s">
        <v>18</v>
      </c>
      <c r="C15" s="216"/>
      <c r="D15" s="43"/>
      <c r="E15" s="43">
        <f t="shared" ref="E15:M15" si="1">SUM(E16:E20)</f>
        <v>0</v>
      </c>
      <c r="F15" s="43">
        <f>SUM(F16:F20)</f>
        <v>78290</v>
      </c>
      <c r="G15" s="43">
        <f t="shared" si="1"/>
        <v>90486</v>
      </c>
      <c r="H15" s="43">
        <f t="shared" si="1"/>
        <v>119095</v>
      </c>
      <c r="I15" s="43">
        <f t="shared" si="1"/>
        <v>198500</v>
      </c>
      <c r="J15" s="98">
        <f t="shared" si="1"/>
        <v>196217</v>
      </c>
      <c r="K15" s="43">
        <f t="shared" si="1"/>
        <v>109572</v>
      </c>
      <c r="L15" s="163">
        <f t="shared" si="1"/>
        <v>223040</v>
      </c>
      <c r="M15" s="163">
        <f t="shared" si="1"/>
        <v>569120</v>
      </c>
      <c r="N15" s="108">
        <f>L15+M15</f>
        <v>792160</v>
      </c>
      <c r="O15" s="127"/>
    </row>
    <row r="16" spans="1:15" s="2" customFormat="1" ht="105" customHeight="1">
      <c r="A16" s="109" t="s">
        <v>19</v>
      </c>
      <c r="B16" s="128" t="s">
        <v>20</v>
      </c>
      <c r="C16" s="159" t="s">
        <v>21</v>
      </c>
      <c r="D16" s="42"/>
      <c r="E16" s="42">
        <v>0</v>
      </c>
      <c r="F16" s="42">
        <v>8331</v>
      </c>
      <c r="G16" s="42">
        <v>8082</v>
      </c>
      <c r="H16" s="42">
        <v>7455</v>
      </c>
      <c r="I16" s="42">
        <v>8671</v>
      </c>
      <c r="J16" s="42">
        <v>8671</v>
      </c>
      <c r="K16" s="42">
        <v>4330</v>
      </c>
      <c r="L16" s="97">
        <f>SUM(E16:K16)</f>
        <v>45540</v>
      </c>
      <c r="M16" s="97">
        <v>0</v>
      </c>
      <c r="N16" s="110">
        <f t="shared" ref="N16:N20" si="2">L16+M16</f>
        <v>45540</v>
      </c>
      <c r="O16" s="127"/>
    </row>
    <row r="17" spans="1:17" s="2" customFormat="1" ht="88.9" customHeight="1">
      <c r="A17" s="109" t="s">
        <v>22</v>
      </c>
      <c r="B17" s="172" t="s">
        <v>23</v>
      </c>
      <c r="C17" s="159" t="s">
        <v>24</v>
      </c>
      <c r="D17" s="42"/>
      <c r="E17" s="42">
        <v>0</v>
      </c>
      <c r="F17" s="42">
        <v>6325</v>
      </c>
      <c r="G17" s="42">
        <v>6584</v>
      </c>
      <c r="H17" s="42">
        <v>14049</v>
      </c>
      <c r="I17" s="42">
        <v>21676</v>
      </c>
      <c r="J17" s="42">
        <v>21676</v>
      </c>
      <c r="K17" s="42">
        <v>10838</v>
      </c>
      <c r="L17" s="97">
        <v>0</v>
      </c>
      <c r="M17" s="97">
        <f>SUM(E17:K17)</f>
        <v>81148</v>
      </c>
      <c r="N17" s="110">
        <f>M17</f>
        <v>81148</v>
      </c>
    </row>
    <row r="18" spans="1:17" s="2" customFormat="1" ht="114" customHeight="1">
      <c r="A18" s="109" t="s">
        <v>25</v>
      </c>
      <c r="B18" s="198" t="s">
        <v>26</v>
      </c>
      <c r="C18" s="159" t="s">
        <v>27</v>
      </c>
      <c r="D18" s="42"/>
      <c r="E18" s="131">
        <v>0</v>
      </c>
      <c r="F18" s="42">
        <v>61134</v>
      </c>
      <c r="G18" s="42">
        <v>73213</v>
      </c>
      <c r="H18" s="131">
        <f>79573</f>
        <v>79573</v>
      </c>
      <c r="I18" s="131">
        <v>98153</v>
      </c>
      <c r="J18" s="131">
        <v>95870</v>
      </c>
      <c r="K18" s="131">
        <v>59404</v>
      </c>
      <c r="L18" s="97">
        <v>0</v>
      </c>
      <c r="M18" s="97">
        <f>SUM(E18:K18)</f>
        <v>467347</v>
      </c>
      <c r="N18" s="110">
        <f>M18</f>
        <v>467347</v>
      </c>
      <c r="O18" s="127"/>
      <c r="P18" s="127"/>
    </row>
    <row r="19" spans="1:17" s="2" customFormat="1" ht="74.25" customHeight="1">
      <c r="A19" s="109" t="s">
        <v>28</v>
      </c>
      <c r="B19" s="179" t="s">
        <v>29</v>
      </c>
      <c r="C19" s="159" t="s">
        <v>30</v>
      </c>
      <c r="D19" s="180"/>
      <c r="E19" s="180">
        <v>0</v>
      </c>
      <c r="F19" s="181">
        <v>2500</v>
      </c>
      <c r="G19" s="180">
        <v>2607</v>
      </c>
      <c r="H19" s="182">
        <v>3018</v>
      </c>
      <c r="I19" s="182">
        <v>5000</v>
      </c>
      <c r="J19" s="182">
        <v>5000</v>
      </c>
      <c r="K19" s="182">
        <v>2500</v>
      </c>
      <c r="L19" s="183">
        <v>0</v>
      </c>
      <c r="M19" s="183">
        <f>SUM(E19:L19)</f>
        <v>20625</v>
      </c>
      <c r="N19" s="184">
        <f t="shared" si="2"/>
        <v>20625</v>
      </c>
    </row>
    <row r="20" spans="1:17" s="2" customFormat="1" ht="63.75">
      <c r="A20" s="109" t="s">
        <v>31</v>
      </c>
      <c r="B20" s="179" t="s">
        <v>32</v>
      </c>
      <c r="C20" s="159" t="s">
        <v>33</v>
      </c>
      <c r="D20" s="180"/>
      <c r="E20" s="180">
        <v>0</v>
      </c>
      <c r="F20" s="180">
        <v>0</v>
      </c>
      <c r="G20" s="180">
        <v>0</v>
      </c>
      <c r="H20" s="180">
        <v>15000</v>
      </c>
      <c r="I20" s="180">
        <v>65000</v>
      </c>
      <c r="J20" s="180">
        <v>65000</v>
      </c>
      <c r="K20" s="180">
        <v>32500</v>
      </c>
      <c r="L20" s="183">
        <f>SUM(E20:K20)</f>
        <v>177500</v>
      </c>
      <c r="M20" s="183">
        <v>0</v>
      </c>
      <c r="N20" s="184">
        <f t="shared" si="2"/>
        <v>177500</v>
      </c>
      <c r="P20" s="127"/>
    </row>
    <row r="21" spans="1:17" ht="13.5" thickBot="1">
      <c r="A21" s="111" t="s">
        <v>34</v>
      </c>
      <c r="B21" s="211" t="s">
        <v>35</v>
      </c>
      <c r="C21" s="212"/>
      <c r="D21" s="194">
        <v>0</v>
      </c>
      <c r="E21" s="165">
        <f>E15*5%</f>
        <v>0</v>
      </c>
      <c r="F21" s="165">
        <f t="shared" ref="F21:J21" si="3">F15*5%</f>
        <v>3914.5</v>
      </c>
      <c r="G21" s="165">
        <f>G15*5%</f>
        <v>4524.3</v>
      </c>
      <c r="H21" s="165">
        <f t="shared" si="3"/>
        <v>5954.75</v>
      </c>
      <c r="I21" s="165">
        <f t="shared" si="3"/>
        <v>9925</v>
      </c>
      <c r="J21" s="165">
        <f t="shared" si="3"/>
        <v>9810.85</v>
      </c>
      <c r="K21" s="165">
        <f>K15*5%</f>
        <v>5478.6</v>
      </c>
      <c r="L21" s="166">
        <f>L15*5%</f>
        <v>11152</v>
      </c>
      <c r="M21" s="166">
        <f>M15*5%</f>
        <v>28456</v>
      </c>
      <c r="N21" s="167">
        <f>L21+M21</f>
        <v>39608</v>
      </c>
    </row>
    <row r="22" spans="1:17" ht="13.5" thickBot="1">
      <c r="A22" s="151"/>
      <c r="B22" s="152"/>
      <c r="C22" s="153"/>
      <c r="D22" s="147"/>
      <c r="E22" s="148"/>
      <c r="F22" s="148"/>
      <c r="G22" s="148"/>
      <c r="H22" s="148"/>
      <c r="I22" s="148"/>
      <c r="J22" s="148"/>
      <c r="K22" s="148"/>
      <c r="L22" s="149"/>
      <c r="M22" s="149"/>
      <c r="N22" s="150"/>
    </row>
    <row r="23" spans="1:17" s="12" customFormat="1" ht="23.1" customHeight="1">
      <c r="A23" s="227">
        <v>2</v>
      </c>
      <c r="B23" s="220" t="s">
        <v>36</v>
      </c>
      <c r="C23" s="221"/>
      <c r="D23" s="231">
        <f t="shared" ref="D23:M23" si="4">D27+D31</f>
        <v>0</v>
      </c>
      <c r="E23" s="231">
        <f t="shared" si="4"/>
        <v>0</v>
      </c>
      <c r="F23" s="231">
        <f t="shared" si="4"/>
        <v>25890.79</v>
      </c>
      <c r="G23" s="231">
        <f t="shared" si="4"/>
        <v>19296.38</v>
      </c>
      <c r="H23" s="231">
        <f t="shared" si="4"/>
        <v>50393.4476</v>
      </c>
      <c r="I23" s="231">
        <f t="shared" si="4"/>
        <v>60687.19</v>
      </c>
      <c r="J23" s="234">
        <f t="shared" si="4"/>
        <v>53732.19</v>
      </c>
      <c r="K23" s="231">
        <f t="shared" si="4"/>
        <v>0</v>
      </c>
      <c r="L23" s="238">
        <f t="shared" si="4"/>
        <v>209999.9976</v>
      </c>
      <c r="M23" s="238">
        <f t="shared" si="4"/>
        <v>0</v>
      </c>
      <c r="N23" s="241">
        <f>L23+M23</f>
        <v>209999.9976</v>
      </c>
      <c r="P23" s="2"/>
      <c r="Q23" s="2"/>
    </row>
    <row r="24" spans="1:17" s="2" customFormat="1" ht="24.6" customHeight="1">
      <c r="A24" s="228"/>
      <c r="B24" s="217" t="s">
        <v>37</v>
      </c>
      <c r="C24" s="218"/>
      <c r="D24" s="232"/>
      <c r="E24" s="232"/>
      <c r="F24" s="232"/>
      <c r="G24" s="232"/>
      <c r="H24" s="232"/>
      <c r="I24" s="232"/>
      <c r="J24" s="235"/>
      <c r="K24" s="232"/>
      <c r="L24" s="239"/>
      <c r="M24" s="239"/>
      <c r="N24" s="242"/>
    </row>
    <row r="25" spans="1:17" s="2" customFormat="1" ht="20.45" customHeight="1">
      <c r="A25" s="228"/>
      <c r="B25" s="219" t="s">
        <v>38</v>
      </c>
      <c r="C25" s="218"/>
      <c r="D25" s="232"/>
      <c r="E25" s="232"/>
      <c r="F25" s="232"/>
      <c r="G25" s="232"/>
      <c r="H25" s="232"/>
      <c r="I25" s="232"/>
      <c r="J25" s="235"/>
      <c r="K25" s="232"/>
      <c r="L25" s="239"/>
      <c r="M25" s="239"/>
      <c r="N25" s="242"/>
      <c r="O25" s="115"/>
    </row>
    <row r="26" spans="1:17" s="2" customFormat="1" ht="33" customHeight="1">
      <c r="A26" s="229"/>
      <c r="B26" s="217" t="s">
        <v>39</v>
      </c>
      <c r="C26" s="218"/>
      <c r="D26" s="233"/>
      <c r="E26" s="233"/>
      <c r="F26" s="233"/>
      <c r="G26" s="233"/>
      <c r="H26" s="233"/>
      <c r="I26" s="233"/>
      <c r="J26" s="236"/>
      <c r="K26" s="233"/>
      <c r="L26" s="240"/>
      <c r="M26" s="240"/>
      <c r="N26" s="243"/>
    </row>
    <row r="27" spans="1:17" s="2" customFormat="1" ht="20.45" customHeight="1">
      <c r="A27" s="107" t="s">
        <v>40</v>
      </c>
      <c r="B27" s="215" t="s">
        <v>18</v>
      </c>
      <c r="C27" s="216"/>
      <c r="D27" s="43">
        <f t="shared" ref="D27:I27" si="5">SUM(D28:D30)</f>
        <v>0</v>
      </c>
      <c r="E27" s="43">
        <f t="shared" si="5"/>
        <v>0</v>
      </c>
      <c r="F27" s="43">
        <f t="shared" si="5"/>
        <v>24197</v>
      </c>
      <c r="G27" s="43">
        <f t="shared" si="5"/>
        <v>18034</v>
      </c>
      <c r="H27" s="43">
        <f t="shared" si="5"/>
        <v>47096.68</v>
      </c>
      <c r="I27" s="43">
        <f t="shared" si="5"/>
        <v>56717</v>
      </c>
      <c r="J27" s="98">
        <f>SUM(J28:J30)</f>
        <v>50217</v>
      </c>
      <c r="K27" s="43">
        <f>SUM(K28:K31)</f>
        <v>0</v>
      </c>
      <c r="L27" s="163">
        <f>SUM(D27:K27)</f>
        <v>196261.68</v>
      </c>
      <c r="M27" s="163">
        <f>SUM(M28:M31)</f>
        <v>0</v>
      </c>
      <c r="N27" s="108">
        <f>L27+M27</f>
        <v>196261.68</v>
      </c>
      <c r="O27" s="115"/>
    </row>
    <row r="28" spans="1:17" s="2" customFormat="1" ht="51">
      <c r="A28" s="109" t="s">
        <v>41</v>
      </c>
      <c r="B28" s="179" t="s">
        <v>42</v>
      </c>
      <c r="C28" s="185" t="s">
        <v>43</v>
      </c>
      <c r="D28" s="180">
        <v>0</v>
      </c>
      <c r="E28" s="180">
        <v>0</v>
      </c>
      <c r="F28" s="180">
        <v>20445</v>
      </c>
      <c r="G28" s="180">
        <v>9778</v>
      </c>
      <c r="H28" s="180">
        <v>14200.68</v>
      </c>
      <c r="I28" s="180">
        <v>20717</v>
      </c>
      <c r="J28" s="180">
        <v>20717</v>
      </c>
      <c r="K28" s="42">
        <v>0</v>
      </c>
      <c r="L28" s="97">
        <f>SUM(F28:K28)</f>
        <v>85857.68</v>
      </c>
      <c r="M28" s="97">
        <v>0</v>
      </c>
      <c r="N28" s="110">
        <f t="shared" ref="N28:N33" si="6">L28+M28</f>
        <v>85857.68</v>
      </c>
      <c r="O28" s="127"/>
    </row>
    <row r="29" spans="1:17" s="2" customFormat="1" ht="104.25" customHeight="1">
      <c r="A29" s="109" t="s">
        <v>44</v>
      </c>
      <c r="B29" s="179" t="s">
        <v>45</v>
      </c>
      <c r="C29" s="159" t="s">
        <v>46</v>
      </c>
      <c r="D29" s="180">
        <v>0</v>
      </c>
      <c r="E29" s="180">
        <v>0</v>
      </c>
      <c r="F29" s="180">
        <v>2100</v>
      </c>
      <c r="G29" s="180">
        <v>8256</v>
      </c>
      <c r="H29" s="180">
        <v>22000</v>
      </c>
      <c r="I29" s="180">
        <v>22000</v>
      </c>
      <c r="J29" s="180">
        <v>19000</v>
      </c>
      <c r="K29" s="42">
        <v>0</v>
      </c>
      <c r="L29" s="97">
        <f>SUM(F29:K29)</f>
        <v>73356</v>
      </c>
      <c r="M29" s="97">
        <v>0</v>
      </c>
      <c r="N29" s="110">
        <f t="shared" si="6"/>
        <v>73356</v>
      </c>
    </row>
    <row r="30" spans="1:17" s="2" customFormat="1" ht="38.25">
      <c r="A30" s="109" t="s">
        <v>47</v>
      </c>
      <c r="B30" s="179" t="s">
        <v>48</v>
      </c>
      <c r="C30" s="159" t="s">
        <v>49</v>
      </c>
      <c r="D30" s="180">
        <v>0</v>
      </c>
      <c r="E30" s="180">
        <v>0</v>
      </c>
      <c r="F30" s="180">
        <v>1652</v>
      </c>
      <c r="G30" s="180">
        <v>0</v>
      </c>
      <c r="H30" s="180">
        <v>10896</v>
      </c>
      <c r="I30" s="180">
        <v>14000</v>
      </c>
      <c r="J30" s="180">
        <v>10500</v>
      </c>
      <c r="K30" s="42">
        <v>0</v>
      </c>
      <c r="L30" s="97">
        <f>SUM(F30:K30)</f>
        <v>37048</v>
      </c>
      <c r="M30" s="97">
        <v>0</v>
      </c>
      <c r="N30" s="110">
        <f t="shared" si="6"/>
        <v>37048</v>
      </c>
      <c r="P30" s="127"/>
    </row>
    <row r="31" spans="1:17" ht="13.5" customHeight="1" thickBot="1">
      <c r="A31" s="111" t="s">
        <v>50</v>
      </c>
      <c r="B31" s="225" t="s">
        <v>51</v>
      </c>
      <c r="C31" s="226"/>
      <c r="D31" s="168">
        <v>0</v>
      </c>
      <c r="E31" s="168">
        <v>0</v>
      </c>
      <c r="F31" s="168">
        <f>F27*7%</f>
        <v>1693.7900000000002</v>
      </c>
      <c r="G31" s="168">
        <f>G27*7%</f>
        <v>1262.3800000000001</v>
      </c>
      <c r="H31" s="168">
        <f>H27*7%</f>
        <v>3296.7676000000001</v>
      </c>
      <c r="I31" s="168">
        <f>I27*7%</f>
        <v>3970.1900000000005</v>
      </c>
      <c r="J31" s="168">
        <f>J27*7%</f>
        <v>3515.1900000000005</v>
      </c>
      <c r="K31" s="168">
        <v>0</v>
      </c>
      <c r="L31" s="195">
        <f>L27*7%</f>
        <v>13738.3176</v>
      </c>
      <c r="M31" s="195">
        <v>0</v>
      </c>
      <c r="N31" s="196">
        <f t="shared" si="6"/>
        <v>13738.3176</v>
      </c>
    </row>
    <row r="32" spans="1:17" ht="13.5" customHeight="1" thickBot="1">
      <c r="A32" s="151"/>
      <c r="B32" s="156"/>
      <c r="C32" s="157"/>
      <c r="D32" s="154"/>
      <c r="E32" s="154"/>
      <c r="F32" s="154"/>
      <c r="G32" s="154"/>
      <c r="H32" s="154"/>
      <c r="I32" s="154"/>
      <c r="J32" s="154"/>
      <c r="K32" s="154"/>
      <c r="L32" s="155"/>
      <c r="M32" s="155"/>
      <c r="N32" s="164"/>
    </row>
    <row r="33" spans="1:16" s="12" customFormat="1" ht="23.1" customHeight="1">
      <c r="A33" s="227">
        <v>3</v>
      </c>
      <c r="B33" s="220" t="s">
        <v>52</v>
      </c>
      <c r="C33" s="221"/>
      <c r="D33" s="202">
        <f t="shared" ref="D33:M33" si="7">D37+D40</f>
        <v>0</v>
      </c>
      <c r="E33" s="202">
        <f t="shared" si="7"/>
        <v>0</v>
      </c>
      <c r="F33" s="202">
        <f t="shared" si="7"/>
        <v>0</v>
      </c>
      <c r="G33" s="202">
        <f t="shared" si="7"/>
        <v>17636.810000000001</v>
      </c>
      <c r="H33" s="202">
        <f t="shared" si="7"/>
        <v>54396.66</v>
      </c>
      <c r="I33" s="202">
        <f>I37+I40</f>
        <v>76693.320000000007</v>
      </c>
      <c r="J33" s="199">
        <f>J37+J40</f>
        <v>183693.32</v>
      </c>
      <c r="K33" s="202">
        <f>K37+K40</f>
        <v>27634.89</v>
      </c>
      <c r="L33" s="208">
        <f t="shared" si="7"/>
        <v>360055</v>
      </c>
      <c r="M33" s="208">
        <f t="shared" si="7"/>
        <v>0</v>
      </c>
      <c r="N33" s="205">
        <f t="shared" si="6"/>
        <v>360055</v>
      </c>
    </row>
    <row r="34" spans="1:16" s="2" customFormat="1" ht="24.6" customHeight="1">
      <c r="A34" s="228"/>
      <c r="B34" s="217" t="s">
        <v>53</v>
      </c>
      <c r="C34" s="218"/>
      <c r="D34" s="203"/>
      <c r="E34" s="203"/>
      <c r="F34" s="203"/>
      <c r="G34" s="203"/>
      <c r="H34" s="203"/>
      <c r="I34" s="203"/>
      <c r="J34" s="200"/>
      <c r="K34" s="203"/>
      <c r="L34" s="209"/>
      <c r="M34" s="209"/>
      <c r="N34" s="206"/>
      <c r="O34" s="160"/>
    </row>
    <row r="35" spans="1:16" s="2" customFormat="1" ht="20.45" customHeight="1">
      <c r="A35" s="228"/>
      <c r="B35" s="213" t="s">
        <v>54</v>
      </c>
      <c r="C35" s="214"/>
      <c r="D35" s="203"/>
      <c r="E35" s="203"/>
      <c r="F35" s="203"/>
      <c r="G35" s="203"/>
      <c r="H35" s="203"/>
      <c r="I35" s="203"/>
      <c r="J35" s="200"/>
      <c r="K35" s="203"/>
      <c r="L35" s="209"/>
      <c r="M35" s="209"/>
      <c r="N35" s="206"/>
      <c r="O35" s="162"/>
    </row>
    <row r="36" spans="1:16" s="2" customFormat="1" ht="43.35" customHeight="1">
      <c r="A36" s="229"/>
      <c r="B36" s="217" t="s">
        <v>55</v>
      </c>
      <c r="C36" s="218"/>
      <c r="D36" s="204"/>
      <c r="E36" s="204"/>
      <c r="F36" s="204"/>
      <c r="G36" s="204"/>
      <c r="H36" s="204"/>
      <c r="I36" s="204"/>
      <c r="J36" s="201"/>
      <c r="K36" s="204"/>
      <c r="L36" s="210"/>
      <c r="M36" s="210"/>
      <c r="N36" s="207"/>
    </row>
    <row r="37" spans="1:16" s="2" customFormat="1" ht="20.45" customHeight="1">
      <c r="A37" s="107" t="s">
        <v>56</v>
      </c>
      <c r="B37" s="215" t="s">
        <v>18</v>
      </c>
      <c r="C37" s="216"/>
      <c r="D37" s="43">
        <f t="shared" ref="D37:I37" si="8">SUM(D38:D39)</f>
        <v>0</v>
      </c>
      <c r="E37" s="43">
        <f t="shared" si="8"/>
        <v>0</v>
      </c>
      <c r="F37" s="43">
        <f t="shared" si="8"/>
        <v>0</v>
      </c>
      <c r="G37" s="43">
        <f t="shared" si="8"/>
        <v>16483</v>
      </c>
      <c r="H37" s="43">
        <f t="shared" si="8"/>
        <v>50838</v>
      </c>
      <c r="I37" s="43">
        <f t="shared" si="8"/>
        <v>71676</v>
      </c>
      <c r="J37" s="98">
        <f>SUM(J38:J39)</f>
        <v>171676</v>
      </c>
      <c r="K37" s="43">
        <f>SUM(K38:K39)</f>
        <v>25827</v>
      </c>
      <c r="L37" s="163">
        <f>SUM(L38:L39)</f>
        <v>336500</v>
      </c>
      <c r="M37" s="163">
        <f>SUM(M38:M40)</f>
        <v>0</v>
      </c>
      <c r="N37" s="108">
        <f>L37+M37</f>
        <v>336500</v>
      </c>
    </row>
    <row r="38" spans="1:16" s="2" customFormat="1" ht="100.9" customHeight="1">
      <c r="A38" s="109" t="s">
        <v>57</v>
      </c>
      <c r="B38" s="3" t="s">
        <v>42</v>
      </c>
      <c r="C38" s="193" t="s">
        <v>58</v>
      </c>
      <c r="D38" s="42">
        <v>0</v>
      </c>
      <c r="E38" s="42">
        <v>0</v>
      </c>
      <c r="F38" s="42">
        <v>0</v>
      </c>
      <c r="G38" s="42">
        <v>15766</v>
      </c>
      <c r="H38" s="42">
        <v>30838</v>
      </c>
      <c r="I38" s="42">
        <v>21676</v>
      </c>
      <c r="J38" s="42">
        <v>21676</v>
      </c>
      <c r="K38" s="42">
        <v>10827</v>
      </c>
      <c r="L38" s="97">
        <f>SUM(D38:K38)</f>
        <v>100783</v>
      </c>
      <c r="M38" s="97">
        <v>0</v>
      </c>
      <c r="N38" s="110">
        <f t="shared" ref="N38:N40" si="9">L38+M38</f>
        <v>100783</v>
      </c>
    </row>
    <row r="39" spans="1:16" s="2" customFormat="1" ht="99" customHeight="1">
      <c r="A39" s="109" t="s">
        <v>59</v>
      </c>
      <c r="B39" s="192" t="s">
        <v>60</v>
      </c>
      <c r="C39" s="191" t="s">
        <v>61</v>
      </c>
      <c r="D39" s="42">
        <v>0</v>
      </c>
      <c r="E39" s="42">
        <v>0</v>
      </c>
      <c r="F39" s="42">
        <v>0</v>
      </c>
      <c r="G39" s="42">
        <v>717</v>
      </c>
      <c r="H39" s="42">
        <v>20000</v>
      </c>
      <c r="I39" s="42">
        <v>50000</v>
      </c>
      <c r="J39" s="42">
        <v>150000</v>
      </c>
      <c r="K39" s="42">
        <v>15000</v>
      </c>
      <c r="L39" s="97">
        <f>SUM(D39:K39)</f>
        <v>235717</v>
      </c>
      <c r="M39" s="97">
        <v>0</v>
      </c>
      <c r="N39" s="110">
        <f>L39+M39</f>
        <v>235717</v>
      </c>
    </row>
    <row r="40" spans="1:16" ht="13.5" customHeight="1" thickBot="1">
      <c r="A40" s="111" t="s">
        <v>62</v>
      </c>
      <c r="B40" s="211" t="s">
        <v>35</v>
      </c>
      <c r="C40" s="212"/>
      <c r="D40" s="165">
        <v>0</v>
      </c>
      <c r="E40" s="165">
        <v>0</v>
      </c>
      <c r="F40" s="165">
        <f>F37*7%</f>
        <v>0</v>
      </c>
      <c r="G40" s="165">
        <f t="shared" ref="G40:K40" si="10">G37*7%</f>
        <v>1153.8100000000002</v>
      </c>
      <c r="H40" s="165">
        <f t="shared" si="10"/>
        <v>3558.6600000000003</v>
      </c>
      <c r="I40" s="165">
        <f t="shared" si="10"/>
        <v>5017.3200000000006</v>
      </c>
      <c r="J40" s="165">
        <f t="shared" si="10"/>
        <v>12017.320000000002</v>
      </c>
      <c r="K40" s="165">
        <f t="shared" si="10"/>
        <v>1807.89</v>
      </c>
      <c r="L40" s="166">
        <f>L37*7%</f>
        <v>23555.000000000004</v>
      </c>
      <c r="M40" s="166">
        <v>0</v>
      </c>
      <c r="N40" s="167">
        <f t="shared" si="9"/>
        <v>23555.000000000004</v>
      </c>
    </row>
    <row r="41" spans="1:16" ht="13.5" customHeight="1" thickBot="1">
      <c r="A41" s="151"/>
      <c r="B41" s="152"/>
      <c r="C41" s="153"/>
      <c r="D41" s="148"/>
      <c r="E41" s="148"/>
      <c r="F41" s="148"/>
      <c r="G41" s="148"/>
      <c r="H41" s="148"/>
      <c r="I41" s="148"/>
      <c r="J41" s="148"/>
      <c r="K41" s="148"/>
      <c r="L41" s="149"/>
      <c r="M41" s="149"/>
      <c r="N41" s="150"/>
    </row>
    <row r="42" spans="1:16" s="12" customFormat="1" ht="23.1" customHeight="1">
      <c r="A42" s="227" t="s">
        <v>63</v>
      </c>
      <c r="B42" s="220" t="s">
        <v>64</v>
      </c>
      <c r="C42" s="221"/>
      <c r="D42" s="202">
        <f t="shared" ref="D42:M42" si="11">D46+D50</f>
        <v>0</v>
      </c>
      <c r="E42" s="202">
        <f t="shared" si="11"/>
        <v>0</v>
      </c>
      <c r="F42" s="202">
        <f t="shared" si="11"/>
        <v>35096</v>
      </c>
      <c r="G42" s="202">
        <f t="shared" si="11"/>
        <v>22109.41</v>
      </c>
      <c r="H42" s="202">
        <f t="shared" si="11"/>
        <v>71992.81</v>
      </c>
      <c r="I42" s="202">
        <f t="shared" si="11"/>
        <v>481833.84</v>
      </c>
      <c r="J42" s="199">
        <f t="shared" si="11"/>
        <v>169608.91</v>
      </c>
      <c r="K42" s="202">
        <f t="shared" si="11"/>
        <v>29176.0324</v>
      </c>
      <c r="L42" s="208">
        <f t="shared" si="11"/>
        <v>355067.0024</v>
      </c>
      <c r="M42" s="208">
        <f t="shared" si="11"/>
        <v>454750</v>
      </c>
      <c r="N42" s="205">
        <f>L42+M42</f>
        <v>809817.0024</v>
      </c>
    </row>
    <row r="43" spans="1:16" s="2" customFormat="1" ht="24.6" customHeight="1">
      <c r="A43" s="228"/>
      <c r="B43" s="217" t="s">
        <v>65</v>
      </c>
      <c r="C43" s="218"/>
      <c r="D43" s="203"/>
      <c r="E43" s="203"/>
      <c r="F43" s="203"/>
      <c r="G43" s="203"/>
      <c r="H43" s="203"/>
      <c r="I43" s="203"/>
      <c r="J43" s="200"/>
      <c r="K43" s="203"/>
      <c r="L43" s="209"/>
      <c r="M43" s="209"/>
      <c r="N43" s="206"/>
      <c r="O43" s="162"/>
      <c r="P43" s="169"/>
    </row>
    <row r="44" spans="1:16" s="2" customFormat="1" ht="20.45" customHeight="1">
      <c r="A44" s="229"/>
      <c r="B44" s="213" t="s">
        <v>66</v>
      </c>
      <c r="C44" s="214"/>
      <c r="D44" s="203"/>
      <c r="E44" s="203"/>
      <c r="F44" s="203"/>
      <c r="G44" s="203"/>
      <c r="H44" s="203"/>
      <c r="I44" s="203"/>
      <c r="J44" s="200"/>
      <c r="K44" s="203"/>
      <c r="L44" s="209"/>
      <c r="M44" s="209"/>
      <c r="N44" s="206"/>
      <c r="O44" s="162"/>
      <c r="P44" s="169"/>
    </row>
    <row r="45" spans="1:16" s="2" customFormat="1" ht="39" customHeight="1">
      <c r="A45" s="106"/>
      <c r="B45" s="217" t="s">
        <v>67</v>
      </c>
      <c r="C45" s="218"/>
      <c r="D45" s="204"/>
      <c r="E45" s="204"/>
      <c r="F45" s="204"/>
      <c r="G45" s="204"/>
      <c r="H45" s="204"/>
      <c r="I45" s="204"/>
      <c r="J45" s="201"/>
      <c r="K45" s="204"/>
      <c r="L45" s="210"/>
      <c r="M45" s="210"/>
      <c r="N45" s="207"/>
      <c r="O45" s="160"/>
      <c r="P45" s="169"/>
    </row>
    <row r="46" spans="1:16" s="2" customFormat="1" ht="20.45" customHeight="1">
      <c r="A46" s="107" t="s">
        <v>68</v>
      </c>
      <c r="B46" s="215" t="s">
        <v>18</v>
      </c>
      <c r="C46" s="216"/>
      <c r="D46" s="98">
        <f t="shared" ref="D46:I46" si="12">SUM(D47:D49)</f>
        <v>0</v>
      </c>
      <c r="E46" s="98">
        <f>SUM(E47:E49)</f>
        <v>0</v>
      </c>
      <c r="F46" s="98">
        <f t="shared" si="12"/>
        <v>32800</v>
      </c>
      <c r="G46" s="98">
        <f t="shared" si="12"/>
        <v>20663</v>
      </c>
      <c r="H46" s="98">
        <f t="shared" si="12"/>
        <v>67283</v>
      </c>
      <c r="I46" s="98">
        <f t="shared" si="12"/>
        <v>450312</v>
      </c>
      <c r="J46" s="98">
        <f>SUM(J47:J49)</f>
        <v>158513</v>
      </c>
      <c r="K46" s="98">
        <f>SUM(K47:K49)</f>
        <v>27267.32</v>
      </c>
      <c r="L46" s="163">
        <f>SUM(L47:L49)</f>
        <v>331838.32</v>
      </c>
      <c r="M46" s="163">
        <f>SUM(M47:M49)</f>
        <v>425000</v>
      </c>
      <c r="N46" s="108">
        <f t="shared" ref="N46:N49" si="13">L46+M46</f>
        <v>756838.32000000007</v>
      </c>
      <c r="O46" s="127"/>
    </row>
    <row r="47" spans="1:16" s="2" customFormat="1" ht="153">
      <c r="A47" s="109" t="s">
        <v>69</v>
      </c>
      <c r="B47" s="172" t="s">
        <v>70</v>
      </c>
      <c r="C47" s="172" t="s">
        <v>71</v>
      </c>
      <c r="D47" s="42">
        <v>0</v>
      </c>
      <c r="E47" s="42">
        <v>0</v>
      </c>
      <c r="F47" s="42">
        <v>32800</v>
      </c>
      <c r="G47" s="42">
        <v>20663</v>
      </c>
      <c r="H47" s="42">
        <v>21283</v>
      </c>
      <c r="I47" s="42">
        <v>41746</v>
      </c>
      <c r="J47" s="42">
        <v>28513</v>
      </c>
      <c r="K47" s="42">
        <v>11267.32</v>
      </c>
      <c r="L47" s="97">
        <f>SUM(E47:K47)</f>
        <v>156272.32000000001</v>
      </c>
      <c r="M47" s="97">
        <v>0</v>
      </c>
      <c r="N47" s="110">
        <f t="shared" si="13"/>
        <v>156272.32000000001</v>
      </c>
    </row>
    <row r="48" spans="1:16" s="2" customFormat="1" ht="109.5" customHeight="1">
      <c r="A48" s="109" t="s">
        <v>72</v>
      </c>
      <c r="B48" s="186" t="s">
        <v>73</v>
      </c>
      <c r="C48" s="128" t="s">
        <v>74</v>
      </c>
      <c r="D48" s="42">
        <v>0</v>
      </c>
      <c r="E48" s="42">
        <v>0</v>
      </c>
      <c r="F48" s="42">
        <v>0</v>
      </c>
      <c r="G48" s="42">
        <v>0</v>
      </c>
      <c r="H48" s="42">
        <v>16000</v>
      </c>
      <c r="I48" s="42">
        <v>93566</v>
      </c>
      <c r="J48" s="42">
        <v>50000</v>
      </c>
      <c r="K48" s="42">
        <v>16000</v>
      </c>
      <c r="L48" s="97">
        <f>SUM(E48:K48)</f>
        <v>175566</v>
      </c>
      <c r="M48" s="97">
        <v>0</v>
      </c>
      <c r="N48" s="110">
        <f t="shared" si="13"/>
        <v>175566</v>
      </c>
      <c r="O48" s="115"/>
    </row>
    <row r="49" spans="1:19" s="2" customFormat="1" ht="135.4" customHeight="1">
      <c r="A49" s="109" t="s">
        <v>75</v>
      </c>
      <c r="B49" s="173" t="s">
        <v>76</v>
      </c>
      <c r="C49" s="187" t="s">
        <v>77</v>
      </c>
      <c r="D49" s="42">
        <v>0</v>
      </c>
      <c r="E49" s="42">
        <v>0</v>
      </c>
      <c r="F49" s="42">
        <v>0</v>
      </c>
      <c r="G49" s="42">
        <v>0</v>
      </c>
      <c r="H49" s="42">
        <v>30000</v>
      </c>
      <c r="I49" s="42">
        <v>315000</v>
      </c>
      <c r="J49" s="42">
        <v>80000</v>
      </c>
      <c r="K49" s="42">
        <v>0</v>
      </c>
      <c r="L49" s="97">
        <v>0</v>
      </c>
      <c r="M49" s="97">
        <f>SUM(D49:K49)</f>
        <v>425000</v>
      </c>
      <c r="N49" s="110">
        <f t="shared" si="13"/>
        <v>425000</v>
      </c>
      <c r="Q49" s="127"/>
    </row>
    <row r="50" spans="1:19" ht="13.5" thickBot="1">
      <c r="A50" s="111" t="s">
        <v>78</v>
      </c>
      <c r="B50" s="211" t="s">
        <v>35</v>
      </c>
      <c r="C50" s="212"/>
      <c r="D50" s="194">
        <v>0</v>
      </c>
      <c r="E50" s="194">
        <f>E46*7%</f>
        <v>0</v>
      </c>
      <c r="F50" s="194">
        <f>F46*7%</f>
        <v>2296</v>
      </c>
      <c r="G50" s="194">
        <f>G46*7%</f>
        <v>1446.41</v>
      </c>
      <c r="H50" s="194">
        <f>H46*7%</f>
        <v>4709.8100000000004</v>
      </c>
      <c r="I50" s="194">
        <f>I46*7%</f>
        <v>31521.840000000004</v>
      </c>
      <c r="J50" s="194">
        <f>SUM(J47:J49)*7%</f>
        <v>11095.910000000002</v>
      </c>
      <c r="K50" s="194">
        <f>SUM(K47:K49)*7%</f>
        <v>1908.7124000000001</v>
      </c>
      <c r="L50" s="197">
        <f>L46*7%</f>
        <v>23228.682400000002</v>
      </c>
      <c r="M50" s="197">
        <f>M46*7%</f>
        <v>29750.000000000004</v>
      </c>
      <c r="N50" s="196">
        <f>L50+M50</f>
        <v>52978.682400000005</v>
      </c>
    </row>
    <row r="51" spans="1:19" ht="13.5" thickBot="1">
      <c r="A51" s="151"/>
      <c r="B51" s="152"/>
      <c r="C51" s="153"/>
      <c r="D51" s="147"/>
      <c r="E51" s="147"/>
      <c r="F51" s="147"/>
      <c r="G51" s="147"/>
      <c r="H51" s="147"/>
      <c r="I51" s="147"/>
      <c r="J51" s="147"/>
      <c r="K51" s="147"/>
      <c r="L51" s="158"/>
      <c r="M51" s="158"/>
      <c r="N51" s="164"/>
      <c r="Q51" s="130"/>
      <c r="S51" s="130"/>
    </row>
    <row r="52" spans="1:19" ht="13.35" customHeight="1">
      <c r="A52" s="227" t="s">
        <v>79</v>
      </c>
      <c r="B52" s="220" t="s">
        <v>80</v>
      </c>
      <c r="C52" s="221"/>
      <c r="D52" s="202">
        <f t="shared" ref="D52:M52" si="14">D56+D62</f>
        <v>0</v>
      </c>
      <c r="E52" s="199">
        <f t="shared" si="14"/>
        <v>0</v>
      </c>
      <c r="F52" s="199">
        <f t="shared" si="14"/>
        <v>37282</v>
      </c>
      <c r="G52" s="199">
        <f t="shared" si="14"/>
        <v>43260</v>
      </c>
      <c r="H52" s="199">
        <f t="shared" si="14"/>
        <v>67818</v>
      </c>
      <c r="I52" s="199">
        <f t="shared" si="14"/>
        <v>0</v>
      </c>
      <c r="J52" s="199">
        <f t="shared" si="14"/>
        <v>0</v>
      </c>
      <c r="K52" s="199">
        <f t="shared" si="14"/>
        <v>0</v>
      </c>
      <c r="L52" s="208">
        <f t="shared" si="14"/>
        <v>0</v>
      </c>
      <c r="M52" s="208">
        <f t="shared" si="14"/>
        <v>148360</v>
      </c>
      <c r="N52" s="205">
        <f>L52+M52</f>
        <v>148360</v>
      </c>
      <c r="O52" s="60"/>
    </row>
    <row r="53" spans="1:19" ht="12.75" customHeight="1">
      <c r="A53" s="228"/>
      <c r="B53" s="217" t="s">
        <v>81</v>
      </c>
      <c r="C53" s="218"/>
      <c r="D53" s="203"/>
      <c r="E53" s="200"/>
      <c r="F53" s="200"/>
      <c r="G53" s="200"/>
      <c r="H53" s="200"/>
      <c r="I53" s="200"/>
      <c r="J53" s="200"/>
      <c r="K53" s="200"/>
      <c r="L53" s="209"/>
      <c r="M53" s="209"/>
      <c r="N53" s="206"/>
    </row>
    <row r="54" spans="1:19">
      <c r="A54" s="229"/>
      <c r="B54" s="219" t="s">
        <v>82</v>
      </c>
      <c r="C54" s="218"/>
      <c r="D54" s="203"/>
      <c r="E54" s="200"/>
      <c r="F54" s="200"/>
      <c r="G54" s="200"/>
      <c r="H54" s="200"/>
      <c r="I54" s="200"/>
      <c r="J54" s="200"/>
      <c r="K54" s="200"/>
      <c r="L54" s="209"/>
      <c r="M54" s="209"/>
      <c r="N54" s="206"/>
      <c r="O54" s="60"/>
    </row>
    <row r="55" spans="1:19">
      <c r="A55" s="106"/>
      <c r="B55" s="217" t="s">
        <v>83</v>
      </c>
      <c r="C55" s="218"/>
      <c r="D55" s="204"/>
      <c r="E55" s="201"/>
      <c r="F55" s="201"/>
      <c r="G55" s="201"/>
      <c r="H55" s="201"/>
      <c r="I55" s="201"/>
      <c r="J55" s="201"/>
      <c r="K55" s="201"/>
      <c r="L55" s="210"/>
      <c r="M55" s="210"/>
      <c r="N55" s="207"/>
      <c r="P55" s="130"/>
    </row>
    <row r="56" spans="1:19">
      <c r="A56" s="107" t="s">
        <v>84</v>
      </c>
      <c r="B56" s="215" t="s">
        <v>18</v>
      </c>
      <c r="C56" s="216"/>
      <c r="D56" s="43">
        <f>SUM(D57:D61)</f>
        <v>0</v>
      </c>
      <c r="E56" s="98">
        <f>SUM(E57:E61)</f>
        <v>0</v>
      </c>
      <c r="F56" s="98">
        <f t="shared" ref="F56:M56" si="15">SUM(F57:F62)</f>
        <v>37282</v>
      </c>
      <c r="G56" s="98">
        <f t="shared" si="15"/>
        <v>43260</v>
      </c>
      <c r="H56" s="98">
        <f>SUM(H57:H62)</f>
        <v>67818</v>
      </c>
      <c r="I56" s="98">
        <f t="shared" si="15"/>
        <v>0</v>
      </c>
      <c r="J56" s="98">
        <f t="shared" si="15"/>
        <v>0</v>
      </c>
      <c r="K56" s="98">
        <f t="shared" si="15"/>
        <v>0</v>
      </c>
      <c r="L56" s="163">
        <f t="shared" si="15"/>
        <v>0</v>
      </c>
      <c r="M56" s="163">
        <f t="shared" si="15"/>
        <v>148360</v>
      </c>
      <c r="N56" s="108">
        <f t="shared" ref="N56:N62" si="16">L56+M56</f>
        <v>148360</v>
      </c>
      <c r="O56" s="174"/>
    </row>
    <row r="57" spans="1:19" s="4" customFormat="1" ht="38.25">
      <c r="A57" s="109" t="s">
        <v>85</v>
      </c>
      <c r="B57" s="277" t="s">
        <v>86</v>
      </c>
      <c r="C57" s="69" t="s">
        <v>165</v>
      </c>
      <c r="D57" s="42">
        <v>0</v>
      </c>
      <c r="E57" s="131">
        <v>0</v>
      </c>
      <c r="F57" s="131">
        <v>37282</v>
      </c>
      <c r="G57" s="131">
        <v>0</v>
      </c>
      <c r="H57" s="131">
        <v>11078</v>
      </c>
      <c r="I57" s="131">
        <v>0</v>
      </c>
      <c r="J57" s="42">
        <v>0</v>
      </c>
      <c r="K57" s="42">
        <v>0</v>
      </c>
      <c r="L57" s="97">
        <v>0</v>
      </c>
      <c r="M57" s="97">
        <f>SUM(E57:K57)</f>
        <v>48360</v>
      </c>
      <c r="N57" s="110">
        <f t="shared" si="16"/>
        <v>48360</v>
      </c>
    </row>
    <row r="58" spans="1:19" s="2" customFormat="1" ht="25.5">
      <c r="A58" s="109" t="s">
        <v>87</v>
      </c>
      <c r="B58" s="3" t="s">
        <v>88</v>
      </c>
      <c r="C58" s="34" t="s">
        <v>164</v>
      </c>
      <c r="D58" s="42">
        <v>0</v>
      </c>
      <c r="E58" s="131">
        <v>0</v>
      </c>
      <c r="F58" s="131">
        <v>0</v>
      </c>
      <c r="G58" s="131">
        <v>43260</v>
      </c>
      <c r="H58" s="131">
        <v>56740</v>
      </c>
      <c r="I58" s="131">
        <v>0</v>
      </c>
      <c r="J58" s="42">
        <v>0</v>
      </c>
      <c r="K58" s="42">
        <v>0</v>
      </c>
      <c r="L58" s="97">
        <v>0</v>
      </c>
      <c r="M58" s="97">
        <f>SUM(E58:K58)</f>
        <v>100000</v>
      </c>
      <c r="N58" s="110">
        <f t="shared" si="16"/>
        <v>100000</v>
      </c>
    </row>
    <row r="59" spans="1:19" s="2" customFormat="1">
      <c r="A59" s="109" t="s">
        <v>89</v>
      </c>
      <c r="D59" s="42">
        <v>0</v>
      </c>
      <c r="E59" s="42">
        <v>0</v>
      </c>
      <c r="F59" s="42">
        <v>0</v>
      </c>
      <c r="G59" s="42">
        <v>0</v>
      </c>
      <c r="H59" s="42">
        <v>0</v>
      </c>
      <c r="I59" s="42">
        <v>0</v>
      </c>
      <c r="J59" s="42">
        <v>0</v>
      </c>
      <c r="K59" s="42">
        <v>0</v>
      </c>
      <c r="L59" s="97">
        <v>0</v>
      </c>
      <c r="M59" s="97">
        <v>0</v>
      </c>
      <c r="N59" s="110">
        <f t="shared" si="16"/>
        <v>0</v>
      </c>
    </row>
    <row r="60" spans="1:19" ht="12.75" customHeight="1">
      <c r="A60" s="109" t="s">
        <v>90</v>
      </c>
      <c r="B60" s="3"/>
      <c r="C60" s="69"/>
      <c r="D60" s="42" t="s">
        <v>91</v>
      </c>
      <c r="E60" s="42">
        <v>0</v>
      </c>
      <c r="F60" s="42">
        <v>0</v>
      </c>
      <c r="G60" s="42">
        <v>0</v>
      </c>
      <c r="H60" s="42">
        <v>0</v>
      </c>
      <c r="I60" s="42">
        <v>0</v>
      </c>
      <c r="J60" s="42">
        <v>0</v>
      </c>
      <c r="K60" s="42">
        <v>0</v>
      </c>
      <c r="L60" s="97"/>
      <c r="M60" s="97">
        <v>0</v>
      </c>
      <c r="N60" s="110">
        <f t="shared" si="16"/>
        <v>0</v>
      </c>
    </row>
    <row r="61" spans="1:19">
      <c r="A61" s="109" t="s">
        <v>92</v>
      </c>
      <c r="B61" s="3"/>
      <c r="C61" s="69"/>
      <c r="D61" s="42">
        <v>0</v>
      </c>
      <c r="E61" s="42">
        <v>0</v>
      </c>
      <c r="F61" s="42">
        <v>0</v>
      </c>
      <c r="G61" s="42">
        <v>0</v>
      </c>
      <c r="H61" s="42">
        <v>0</v>
      </c>
      <c r="I61" s="42">
        <v>0</v>
      </c>
      <c r="J61" s="42">
        <v>0</v>
      </c>
      <c r="K61" s="42">
        <v>0</v>
      </c>
      <c r="L61" s="97">
        <v>0</v>
      </c>
      <c r="M61" s="97">
        <v>0</v>
      </c>
      <c r="N61" s="110">
        <f t="shared" si="16"/>
        <v>0</v>
      </c>
    </row>
    <row r="62" spans="1:19" s="2" customFormat="1" ht="13.7" customHeight="1" thickBot="1">
      <c r="A62" s="111" t="s">
        <v>78</v>
      </c>
      <c r="B62" s="211" t="s">
        <v>35</v>
      </c>
      <c r="C62" s="212"/>
      <c r="D62" s="194">
        <v>0</v>
      </c>
      <c r="E62" s="194">
        <v>0</v>
      </c>
      <c r="F62" s="194">
        <v>0</v>
      </c>
      <c r="G62" s="194">
        <v>0</v>
      </c>
      <c r="H62" s="194">
        <v>0</v>
      </c>
      <c r="I62" s="194">
        <v>0</v>
      </c>
      <c r="J62" s="194">
        <v>0</v>
      </c>
      <c r="K62" s="194">
        <v>0</v>
      </c>
      <c r="L62" s="197">
        <v>0</v>
      </c>
      <c r="M62" s="197">
        <v>0</v>
      </c>
      <c r="N62" s="196">
        <f t="shared" si="16"/>
        <v>0</v>
      </c>
    </row>
    <row r="63" spans="1:19">
      <c r="B63" s="1"/>
      <c r="C63" s="1"/>
      <c r="D63" s="1"/>
      <c r="E63" s="1"/>
      <c r="F63" s="1"/>
      <c r="G63" s="1"/>
      <c r="H63" s="1"/>
      <c r="I63" s="1"/>
      <c r="J63" s="1"/>
      <c r="K63" s="1"/>
      <c r="L63" s="1"/>
    </row>
    <row r="64" spans="1:19">
      <c r="B64" s="5" t="s">
        <v>93</v>
      </c>
      <c r="C64" s="5"/>
      <c r="D64" s="170">
        <f>N11+N23+N33+N42+N52</f>
        <v>2360000</v>
      </c>
      <c r="H64" s="130"/>
    </row>
    <row r="68" spans="1:15">
      <c r="B68" s="6"/>
      <c r="E68" s="15"/>
    </row>
    <row r="69" spans="1:15" s="20" customFormat="1">
      <c r="A69" s="7"/>
      <c r="B69" s="8"/>
      <c r="C69" s="8"/>
      <c r="D69" s="10"/>
      <c r="E69" s="14"/>
      <c r="F69" s="14"/>
      <c r="G69" s="14"/>
      <c r="H69" s="14"/>
      <c r="I69" s="14"/>
      <c r="J69" s="14"/>
      <c r="K69" s="14"/>
      <c r="L69" s="14"/>
      <c r="M69" s="1"/>
      <c r="N69" s="1"/>
    </row>
    <row r="70" spans="1:15" s="2" customFormat="1">
      <c r="A70" s="1"/>
      <c r="B70" s="4"/>
      <c r="C70" s="4"/>
      <c r="D70" s="10"/>
      <c r="E70" s="14"/>
      <c r="F70" s="14"/>
      <c r="G70" s="14"/>
      <c r="H70" s="14"/>
      <c r="I70" s="14"/>
      <c r="J70" s="14"/>
      <c r="K70" s="14"/>
      <c r="L70" s="175"/>
      <c r="M70" s="1"/>
      <c r="N70" s="1"/>
    </row>
    <row r="71" spans="1:15">
      <c r="A71" s="6" t="s">
        <v>94</v>
      </c>
      <c r="B71" s="8"/>
      <c r="C71" s="8"/>
      <c r="E71" s="10"/>
      <c r="F71" s="10"/>
      <c r="G71" s="10"/>
      <c r="H71" s="10"/>
      <c r="I71" s="10"/>
      <c r="J71" s="10"/>
      <c r="K71" s="10"/>
      <c r="L71" s="10"/>
      <c r="M71" s="10"/>
      <c r="N71" s="10"/>
    </row>
    <row r="72" spans="1:15">
      <c r="E72" s="10"/>
      <c r="F72" s="10"/>
      <c r="G72" s="10"/>
      <c r="H72" s="10"/>
      <c r="I72" s="10"/>
      <c r="J72" s="10"/>
      <c r="K72" s="10"/>
      <c r="L72" s="10"/>
      <c r="M72" s="4"/>
      <c r="N72" s="4"/>
    </row>
    <row r="73" spans="1:15">
      <c r="A73"/>
      <c r="B73" s="28" t="s">
        <v>4</v>
      </c>
      <c r="C73" s="61"/>
      <c r="D73" s="18">
        <v>2022</v>
      </c>
      <c r="E73" s="18">
        <v>2023</v>
      </c>
      <c r="F73" s="18">
        <v>2024</v>
      </c>
      <c r="G73" s="95">
        <v>2025</v>
      </c>
      <c r="H73" s="95">
        <v>2026</v>
      </c>
      <c r="I73" s="95">
        <v>2027</v>
      </c>
      <c r="J73" s="18">
        <v>2028</v>
      </c>
      <c r="K73" s="48">
        <v>2029</v>
      </c>
      <c r="L73" s="49" t="s">
        <v>5</v>
      </c>
      <c r="M73" s="2"/>
      <c r="N73" s="2"/>
    </row>
    <row r="74" spans="1:15" s="20" customFormat="1">
      <c r="A74" s="32"/>
      <c r="B74" s="29" t="s">
        <v>95</v>
      </c>
      <c r="C74" s="29"/>
      <c r="D74" s="13" t="s">
        <v>96</v>
      </c>
      <c r="E74" s="13" t="s">
        <v>96</v>
      </c>
      <c r="F74" s="13" t="s">
        <v>96</v>
      </c>
      <c r="G74" s="13" t="s">
        <v>96</v>
      </c>
      <c r="H74" s="13" t="s">
        <v>96</v>
      </c>
      <c r="I74" s="13" t="s">
        <v>96</v>
      </c>
      <c r="J74" s="13" t="s">
        <v>96</v>
      </c>
      <c r="K74" s="9" t="s">
        <v>96</v>
      </c>
      <c r="L74" s="13" t="s">
        <v>96</v>
      </c>
      <c r="M74" s="2"/>
      <c r="N74" s="2"/>
    </row>
    <row r="75" spans="1:15" s="20" customFormat="1" ht="25.5">
      <c r="A75" s="30">
        <v>1</v>
      </c>
      <c r="B75" s="27" t="s">
        <v>97</v>
      </c>
      <c r="C75" s="27"/>
      <c r="D75" s="51"/>
      <c r="E75" s="51"/>
      <c r="F75" s="51"/>
      <c r="G75" s="51"/>
      <c r="H75" s="51"/>
      <c r="I75" s="51"/>
      <c r="J75" s="51"/>
      <c r="K75" s="52"/>
      <c r="L75" s="51"/>
      <c r="M75" s="1"/>
      <c r="N75" s="1"/>
    </row>
    <row r="76" spans="1:15" s="2" customFormat="1">
      <c r="A76" s="30">
        <v>2</v>
      </c>
      <c r="B76" s="31" t="s">
        <v>98</v>
      </c>
      <c r="C76" s="31"/>
      <c r="D76" s="51">
        <f>D11+D23+D33+D42</f>
        <v>0</v>
      </c>
      <c r="E76" s="51">
        <f t="shared" ref="E76:K76" si="17">E11+E23+E33+E42+E52</f>
        <v>0</v>
      </c>
      <c r="F76" s="51">
        <f t="shared" si="17"/>
        <v>180473.29</v>
      </c>
      <c r="G76" s="51">
        <f t="shared" si="17"/>
        <v>197312.90000000002</v>
      </c>
      <c r="H76" s="51">
        <f t="shared" si="17"/>
        <v>369650.66760000004</v>
      </c>
      <c r="I76" s="51">
        <f t="shared" si="17"/>
        <v>827639.35000000009</v>
      </c>
      <c r="J76" s="51">
        <f t="shared" si="17"/>
        <v>613062.27</v>
      </c>
      <c r="K76" s="52">
        <f t="shared" si="17"/>
        <v>171861.52239999999</v>
      </c>
      <c r="L76" s="51">
        <f>SUM(D76:K76)</f>
        <v>2360000.0000000005</v>
      </c>
      <c r="M76" s="1"/>
      <c r="N76" s="161"/>
      <c r="O76" s="162"/>
    </row>
    <row r="77" spans="1:15">
      <c r="A77" s="24" t="s">
        <v>99</v>
      </c>
      <c r="B77" s="25" t="s">
        <v>100</v>
      </c>
      <c r="C77" s="138">
        <v>0.75</v>
      </c>
      <c r="D77" s="53"/>
      <c r="E77" s="137">
        <f>E76*C77</f>
        <v>0</v>
      </c>
      <c r="F77" s="53">
        <f>C77*F76</f>
        <v>135354.9675</v>
      </c>
      <c r="G77" s="53">
        <f>C77*G76</f>
        <v>147984.67500000002</v>
      </c>
      <c r="H77" s="53">
        <f>C77*H76</f>
        <v>277238.00070000003</v>
      </c>
      <c r="I77" s="53">
        <f>C77*I76</f>
        <v>620729.51250000007</v>
      </c>
      <c r="J77" s="53">
        <f>C77*J76</f>
        <v>459796.70250000001</v>
      </c>
      <c r="K77" s="53">
        <f>C77*K76</f>
        <v>128896.14179999998</v>
      </c>
      <c r="L77" s="53">
        <f>SUM(D77:K77)</f>
        <v>1770000</v>
      </c>
      <c r="M77" s="2"/>
      <c r="N77" s="2"/>
    </row>
    <row r="78" spans="1:15">
      <c r="A78" s="24" t="s">
        <v>101</v>
      </c>
      <c r="B78" s="26" t="s">
        <v>102</v>
      </c>
      <c r="C78" s="139">
        <v>0.25</v>
      </c>
      <c r="D78" s="53"/>
      <c r="E78" s="53">
        <f>C78*E76</f>
        <v>0</v>
      </c>
      <c r="F78" s="53">
        <f>C78*F76</f>
        <v>45118.322500000002</v>
      </c>
      <c r="G78" s="53">
        <f>C78*G76</f>
        <v>49328.225000000006</v>
      </c>
      <c r="H78" s="53">
        <f>C78*H76</f>
        <v>92412.666900000011</v>
      </c>
      <c r="I78" s="53">
        <f>C78*I76</f>
        <v>206909.83750000002</v>
      </c>
      <c r="J78" s="53">
        <f>C78*J76</f>
        <v>153265.5675</v>
      </c>
      <c r="K78" s="53">
        <f>C78*K76</f>
        <v>42965.380599999997</v>
      </c>
      <c r="L78" s="53">
        <f>SUM(D78:K78)</f>
        <v>590000.00000000012</v>
      </c>
    </row>
    <row r="79" spans="1:15">
      <c r="A79" s="21"/>
      <c r="B79" s="22"/>
      <c r="C79" s="22"/>
      <c r="E79" s="23"/>
      <c r="F79" s="10"/>
      <c r="G79" s="10"/>
      <c r="H79" s="10"/>
      <c r="I79" s="10"/>
      <c r="J79" s="10"/>
      <c r="K79" s="23"/>
      <c r="L79" s="10"/>
    </row>
    <row r="80" spans="1:15">
      <c r="A80" s="21"/>
      <c r="B80" s="22"/>
      <c r="C80" s="22"/>
      <c r="E80" s="23"/>
      <c r="F80" s="10"/>
      <c r="G80" s="10"/>
      <c r="H80" s="10"/>
      <c r="I80" s="10"/>
      <c r="J80" s="10"/>
      <c r="K80" s="23"/>
      <c r="L80" s="10"/>
    </row>
    <row r="81" spans="1:14" s="2" customFormat="1">
      <c r="A81" s="224" t="s">
        <v>103</v>
      </c>
      <c r="B81" s="224"/>
      <c r="C81" s="17"/>
      <c r="D81" s="10"/>
      <c r="E81" s="14"/>
      <c r="F81" s="14"/>
      <c r="G81" s="14"/>
      <c r="H81" s="14"/>
      <c r="I81" s="14"/>
      <c r="J81" s="14"/>
      <c r="K81" s="14"/>
      <c r="L81" s="14"/>
      <c r="M81" s="1"/>
      <c r="N81" s="1"/>
    </row>
    <row r="82" spans="1:14">
      <c r="A82" s="17"/>
      <c r="B82" s="17"/>
      <c r="C82" s="17"/>
      <c r="N82" s="161"/>
    </row>
    <row r="83" spans="1:14">
      <c r="A83" s="7" t="s">
        <v>104</v>
      </c>
      <c r="B83" s="7"/>
      <c r="C83" s="7"/>
      <c r="F83" s="1"/>
      <c r="G83" s="1"/>
      <c r="H83" s="1"/>
      <c r="I83" s="1"/>
      <c r="J83" s="1"/>
      <c r="K83" s="1"/>
    </row>
    <row r="84" spans="1:14">
      <c r="A84" s="19"/>
      <c r="B84" s="19"/>
      <c r="C84" s="19"/>
      <c r="D84" s="65"/>
      <c r="E84" s="65"/>
      <c r="F84" s="65"/>
      <c r="G84" s="65"/>
      <c r="H84" s="65"/>
      <c r="I84" s="65"/>
      <c r="J84" s="65"/>
      <c r="K84" s="65"/>
      <c r="L84" s="66"/>
      <c r="M84" s="20"/>
      <c r="N84" s="20"/>
    </row>
    <row r="85" spans="1:14">
      <c r="A85" s="16" t="s">
        <v>105</v>
      </c>
      <c r="B85" s="16" t="s">
        <v>106</v>
      </c>
      <c r="C85" s="16"/>
      <c r="D85" s="44">
        <v>2022</v>
      </c>
      <c r="E85" s="44">
        <v>2023</v>
      </c>
      <c r="F85" s="44">
        <v>2024</v>
      </c>
      <c r="G85" s="44">
        <v>2025</v>
      </c>
      <c r="H85" s="44">
        <v>2026</v>
      </c>
      <c r="I85" s="44">
        <v>2027</v>
      </c>
      <c r="J85" s="44">
        <v>2028</v>
      </c>
      <c r="K85" s="99">
        <v>2029</v>
      </c>
      <c r="L85" s="176" t="s">
        <v>5</v>
      </c>
      <c r="M85" s="2"/>
      <c r="N85" s="2"/>
    </row>
    <row r="86" spans="1:14">
      <c r="A86" s="35" t="s">
        <v>107</v>
      </c>
      <c r="B86" s="70" t="s">
        <v>108</v>
      </c>
      <c r="C86" s="34"/>
      <c r="D86" s="45">
        <v>0</v>
      </c>
      <c r="E86" s="45">
        <f t="shared" ref="E86:K86" si="18">SUM(E17:E19)+SUM(E17:E19)*0.05</f>
        <v>0</v>
      </c>
      <c r="F86" s="45">
        <f t="shared" si="18"/>
        <v>73456.95</v>
      </c>
      <c r="G86" s="45">
        <f t="shared" si="18"/>
        <v>86524.2</v>
      </c>
      <c r="H86" s="45">
        <f t="shared" si="18"/>
        <v>101472</v>
      </c>
      <c r="I86" s="45">
        <f t="shared" si="18"/>
        <v>131070.45</v>
      </c>
      <c r="J86" s="45">
        <f t="shared" si="18"/>
        <v>128673.3</v>
      </c>
      <c r="K86" s="46">
        <f t="shared" si="18"/>
        <v>76379.100000000006</v>
      </c>
      <c r="L86" s="46">
        <f>SUM(D86:K86)</f>
        <v>597576</v>
      </c>
      <c r="M86" s="60"/>
    </row>
    <row r="87" spans="1:14">
      <c r="A87" s="33"/>
      <c r="D87" s="47"/>
      <c r="E87" s="47"/>
      <c r="F87" s="47"/>
      <c r="G87" s="47"/>
      <c r="H87" s="47"/>
      <c r="I87" s="47"/>
      <c r="J87" s="47"/>
    </row>
    <row r="88" spans="1:14">
      <c r="A88" s="62" t="s">
        <v>109</v>
      </c>
      <c r="B88" s="62"/>
      <c r="C88" s="40"/>
      <c r="D88" s="65"/>
      <c r="E88" s="65"/>
      <c r="F88" s="65"/>
      <c r="G88" s="65"/>
      <c r="H88" s="65"/>
      <c r="I88" s="65"/>
      <c r="J88" s="65"/>
      <c r="K88" s="65"/>
      <c r="L88" s="66"/>
      <c r="M88" s="20"/>
      <c r="N88" s="20"/>
    </row>
    <row r="89" spans="1:14">
      <c r="A89" s="62"/>
      <c r="B89" s="62"/>
      <c r="C89" s="40"/>
      <c r="D89" s="63"/>
      <c r="E89" s="64"/>
      <c r="F89" s="64"/>
      <c r="G89" s="64"/>
      <c r="H89" s="64"/>
      <c r="I89" s="64"/>
      <c r="J89" s="64"/>
      <c r="K89" s="64"/>
      <c r="L89" s="66"/>
      <c r="M89" s="20"/>
      <c r="N89" s="20"/>
    </row>
    <row r="90" spans="1:14">
      <c r="A90" s="38" t="s">
        <v>105</v>
      </c>
      <c r="B90" s="38" t="s">
        <v>106</v>
      </c>
      <c r="C90" s="38"/>
      <c r="D90" s="44">
        <v>2022</v>
      </c>
      <c r="E90" s="44">
        <v>2023</v>
      </c>
      <c r="F90" s="44">
        <v>2024</v>
      </c>
      <c r="G90" s="44">
        <v>2025</v>
      </c>
      <c r="H90" s="44">
        <v>2026</v>
      </c>
      <c r="I90" s="44">
        <v>2027</v>
      </c>
      <c r="J90" s="44">
        <v>2028</v>
      </c>
      <c r="K90" s="50">
        <v>2029</v>
      </c>
      <c r="L90" s="177" t="s">
        <v>5</v>
      </c>
      <c r="M90" s="2"/>
      <c r="N90" s="2"/>
    </row>
    <row r="91" spans="1:14">
      <c r="A91" s="36" t="s">
        <v>107</v>
      </c>
      <c r="B91" s="39" t="s">
        <v>110</v>
      </c>
      <c r="C91" s="39"/>
      <c r="D91" s="45">
        <v>0</v>
      </c>
      <c r="E91" s="45">
        <v>0</v>
      </c>
      <c r="F91" s="45">
        <v>0</v>
      </c>
      <c r="G91" s="45">
        <f>G49+G49*0.07</f>
        <v>0</v>
      </c>
      <c r="H91" s="45">
        <f>H49+H49*0.07</f>
        <v>32100</v>
      </c>
      <c r="I91" s="45">
        <f>I49+I49*0.07</f>
        <v>337050</v>
      </c>
      <c r="J91" s="45">
        <f>J49+J49*0.07</f>
        <v>85600</v>
      </c>
      <c r="K91" s="46">
        <v>0</v>
      </c>
      <c r="L91" s="46">
        <f>SUM(D91:K91)</f>
        <v>454750</v>
      </c>
    </row>
    <row r="92" spans="1:14">
      <c r="A92" s="37"/>
      <c r="B92" s="41"/>
      <c r="C92" s="41"/>
      <c r="D92" s="47"/>
      <c r="E92" s="47"/>
      <c r="F92" s="47"/>
      <c r="G92" s="47"/>
      <c r="H92" s="47"/>
      <c r="I92" s="47"/>
      <c r="J92" s="47"/>
    </row>
    <row r="93" spans="1:14">
      <c r="A93" s="7" t="s">
        <v>111</v>
      </c>
      <c r="B93" s="7"/>
      <c r="C93" s="7"/>
    </row>
    <row r="95" spans="1:14">
      <c r="A95" s="16" t="s">
        <v>105</v>
      </c>
      <c r="B95" s="16" t="s">
        <v>106</v>
      </c>
      <c r="C95" s="16"/>
      <c r="D95" s="44">
        <v>2022</v>
      </c>
      <c r="E95" s="44">
        <v>2023</v>
      </c>
      <c r="F95" s="44">
        <v>2024</v>
      </c>
      <c r="G95" s="44">
        <v>2025</v>
      </c>
      <c r="H95" s="44">
        <v>2026</v>
      </c>
      <c r="I95" s="44">
        <v>2027</v>
      </c>
      <c r="J95" s="44">
        <v>2028</v>
      </c>
      <c r="K95" s="50">
        <v>2029</v>
      </c>
      <c r="L95" s="178" t="s">
        <v>5</v>
      </c>
      <c r="M95" s="2"/>
      <c r="N95" s="2"/>
    </row>
    <row r="96" spans="1:14">
      <c r="A96" s="36" t="s">
        <v>107</v>
      </c>
      <c r="B96" s="39" t="s">
        <v>112</v>
      </c>
      <c r="C96" s="39"/>
      <c r="D96" s="45">
        <v>0</v>
      </c>
      <c r="E96" s="45">
        <f>E56</f>
        <v>0</v>
      </c>
      <c r="F96" s="45">
        <f>F56</f>
        <v>37282</v>
      </c>
      <c r="G96" s="45">
        <f>G56</f>
        <v>43260</v>
      </c>
      <c r="H96" s="45">
        <f>H56</f>
        <v>67818</v>
      </c>
      <c r="I96" s="45">
        <v>0</v>
      </c>
      <c r="J96" s="45">
        <v>0</v>
      </c>
      <c r="K96" s="46">
        <v>0</v>
      </c>
      <c r="L96" s="46">
        <f>SUM(D96:K96)</f>
        <v>148360</v>
      </c>
      <c r="M96" s="60"/>
    </row>
  </sheetData>
  <mergeCells count="95">
    <mergeCell ref="N33:N36"/>
    <mergeCell ref="N11:N14"/>
    <mergeCell ref="K23:K26"/>
    <mergeCell ref="L23:L26"/>
    <mergeCell ref="N23:N26"/>
    <mergeCell ref="M23:M26"/>
    <mergeCell ref="M33:M36"/>
    <mergeCell ref="L11:L14"/>
    <mergeCell ref="M11:M14"/>
    <mergeCell ref="L33:L36"/>
    <mergeCell ref="B5:D5"/>
    <mergeCell ref="A11:A14"/>
    <mergeCell ref="A33:A36"/>
    <mergeCell ref="D33:D36"/>
    <mergeCell ref="E33:E36"/>
    <mergeCell ref="B34:C34"/>
    <mergeCell ref="B15:C15"/>
    <mergeCell ref="B23:C23"/>
    <mergeCell ref="B33:C33"/>
    <mergeCell ref="J23:J26"/>
    <mergeCell ref="B26:C26"/>
    <mergeCell ref="D23:D26"/>
    <mergeCell ref="E23:E26"/>
    <mergeCell ref="F23:F26"/>
    <mergeCell ref="J33:J36"/>
    <mergeCell ref="E42:E45"/>
    <mergeCell ref="C4:F4"/>
    <mergeCell ref="B7:C7"/>
    <mergeCell ref="K33:K36"/>
    <mergeCell ref="K42:K45"/>
    <mergeCell ref="B42:C42"/>
    <mergeCell ref="B43:C43"/>
    <mergeCell ref="H23:H26"/>
    <mergeCell ref="G33:G36"/>
    <mergeCell ref="G23:G26"/>
    <mergeCell ref="B14:C14"/>
    <mergeCell ref="D11:D14"/>
    <mergeCell ref="E11:E14"/>
    <mergeCell ref="K11:K14"/>
    <mergeCell ref="I23:I26"/>
    <mergeCell ref="I33:I36"/>
    <mergeCell ref="A81:B81"/>
    <mergeCell ref="B24:C24"/>
    <mergeCell ref="B25:C25"/>
    <mergeCell ref="B27:C27"/>
    <mergeCell ref="B31:C31"/>
    <mergeCell ref="B36:C36"/>
    <mergeCell ref="B46:C46"/>
    <mergeCell ref="B50:C50"/>
    <mergeCell ref="B35:C35"/>
    <mergeCell ref="A23:A26"/>
    <mergeCell ref="B37:C37"/>
    <mergeCell ref="B45:C45"/>
    <mergeCell ref="A42:A44"/>
    <mergeCell ref="A52:A54"/>
    <mergeCell ref="B62:C62"/>
    <mergeCell ref="L9:M9"/>
    <mergeCell ref="B21:C21"/>
    <mergeCell ref="B11:C11"/>
    <mergeCell ref="B12:C12"/>
    <mergeCell ref="B13:C13"/>
    <mergeCell ref="G11:G14"/>
    <mergeCell ref="H11:H14"/>
    <mergeCell ref="I11:I14"/>
    <mergeCell ref="J11:J14"/>
    <mergeCell ref="F11:F14"/>
    <mergeCell ref="B56:C56"/>
    <mergeCell ref="B55:C55"/>
    <mergeCell ref="B54:C54"/>
    <mergeCell ref="B53:C53"/>
    <mergeCell ref="D52:D55"/>
    <mergeCell ref="B52:C52"/>
    <mergeCell ref="H33:H36"/>
    <mergeCell ref="B40:C40"/>
    <mergeCell ref="B44:C44"/>
    <mergeCell ref="F42:F45"/>
    <mergeCell ref="D42:D45"/>
    <mergeCell ref="H42:H45"/>
    <mergeCell ref="G42:G45"/>
    <mergeCell ref="F33:F36"/>
    <mergeCell ref="E52:E55"/>
    <mergeCell ref="F52:F55"/>
    <mergeCell ref="J42:J45"/>
    <mergeCell ref="I42:I45"/>
    <mergeCell ref="N52:N55"/>
    <mergeCell ref="M52:M55"/>
    <mergeCell ref="L52:L55"/>
    <mergeCell ref="K52:K55"/>
    <mergeCell ref="J52:J55"/>
    <mergeCell ref="L42:L45"/>
    <mergeCell ref="N42:N45"/>
    <mergeCell ref="M42:M45"/>
    <mergeCell ref="I52:I55"/>
    <mergeCell ref="H52:H55"/>
    <mergeCell ref="G52:G55"/>
  </mergeCells>
  <phoneticPr fontId="4" type="noConversion"/>
  <hyperlinks>
    <hyperlink ref="B21:C21" r:id="rId1" display="Kaudsed kulud (sh halduskulud ja projekti rakendamist toetavad tegevused nt hanskespetsialist jm - vt ÜM § 21 lg 4-6)" xr:uid="{2A283489-E736-4626-8749-1C9B9C69B2D8}"/>
    <hyperlink ref="B31:C31" r:id="rId2" display="Kaudsed kulud (sh halduskulud ja projekti rakendamist toetavad tegevused nt hanskespetsialist jm - vt ÜM § 21 lg 4-6)" xr:uid="{7EBBB0F6-FCB6-4C2F-991D-BEFFD9812645}"/>
    <hyperlink ref="B40:C40" r:id="rId3" display="Kaudsed kulud (sh halduskulud ja projekti rakendamist toetavad tegevused nt hanskespetsialist jm - vt ÜM § 21 lg 4-6)" xr:uid="{936B0974-753B-414D-8F35-B83695AAD125}"/>
    <hyperlink ref="B50:C50" r:id="rId4" display="Kaudsed kulud (sh halduskulud ja projekti rakendamist toetavad tegevused nt hanskespetsialist jm - vt ÜM § 21 lg 4-6)" xr:uid="{6428A9FD-AB8E-4043-B105-3FD15FE58CFE}"/>
    <hyperlink ref="B62:C62" r:id="rId5" display="Kaudsed kulud (sh halduskulud ja projekti rakendamist toetavad tegevused nt hanskespetsialist jm - vt ÜM § 21 lg 4-6)" xr:uid="{9157B4D7-D11D-4F23-9155-8A156B37B407}"/>
  </hyperlinks>
  <pageMargins left="0.74803149606299213" right="0.74803149606299213" top="0.98425196850393704" bottom="0.98425196850393704" header="0.51181102362204722" footer="0.51181102362204722"/>
  <pageSetup paperSize="9" scale="41" fitToHeight="3" orientation="landscape" r:id="rId6"/>
  <headerFooter alignWithMargins="0"/>
  <ignoredErrors>
    <ignoredError sqref="A16" twoDigitTextYear="1"/>
  </ignoredErrors>
  <drawing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005AC-B0F2-485F-929B-1F788898FCA9}">
  <dimension ref="A1"/>
  <sheetViews>
    <sheetView workbookViewId="0">
      <selection activeCell="B1" sqref="B1"/>
    </sheetView>
  </sheetViews>
  <sheetFormatPr defaultRowHeight="12.7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BAF67-6350-42C5-A3EE-3E2C7BC55AF2}">
  <dimension ref="A1:AF20"/>
  <sheetViews>
    <sheetView workbookViewId="0">
      <selection activeCell="N6" sqref="N6"/>
    </sheetView>
  </sheetViews>
  <sheetFormatPr defaultRowHeight="12.75"/>
  <cols>
    <col min="2" max="2" width="30" customWidth="1"/>
    <col min="3" max="3" width="13.140625" customWidth="1"/>
    <col min="4" max="4" width="11.140625" customWidth="1"/>
    <col min="5" max="8" width="10.42578125" customWidth="1"/>
    <col min="9" max="10" width="8.7109375" customWidth="1"/>
    <col min="11" max="11" width="15.140625" customWidth="1"/>
    <col min="12" max="12" width="12.85546875" customWidth="1"/>
    <col min="13" max="13" width="10.28515625" customWidth="1"/>
    <col min="14" max="14" width="13.28515625" customWidth="1"/>
    <col min="15" max="15" width="15.140625" customWidth="1"/>
    <col min="16" max="16" width="10.140625" customWidth="1"/>
    <col min="17" max="17" width="9.140625" bestFit="1" customWidth="1"/>
    <col min="18" max="18" width="13.5703125" customWidth="1"/>
    <col min="19" max="19" width="10.85546875" customWidth="1"/>
    <col min="20" max="20" width="13.5703125" customWidth="1"/>
    <col min="21" max="21" width="10.5703125" customWidth="1"/>
    <col min="22" max="22" width="10.85546875" customWidth="1"/>
    <col min="23" max="23" width="14.7109375" customWidth="1"/>
    <col min="24" max="24" width="10.5703125" customWidth="1"/>
    <col min="25" max="25" width="10.140625" customWidth="1"/>
    <col min="26" max="26" width="13.7109375" customWidth="1"/>
    <col min="27" max="27" width="15.140625" customWidth="1"/>
    <col min="28" max="28" width="15.42578125" customWidth="1"/>
    <col min="29" max="29" width="14.42578125" customWidth="1"/>
    <col min="30" max="31" width="11.140625" customWidth="1"/>
    <col min="32" max="32" width="8.85546875" customWidth="1"/>
  </cols>
  <sheetData>
    <row r="1" spans="1:32">
      <c r="A1" s="112" t="s">
        <v>113</v>
      </c>
    </row>
    <row r="4" spans="1:32">
      <c r="A4" s="2" t="s">
        <v>114</v>
      </c>
    </row>
    <row r="7" spans="1:32">
      <c r="A7" s="1" t="s">
        <v>115</v>
      </c>
    </row>
    <row r="8" spans="1:32" ht="13.5" thickBot="1"/>
    <row r="9" spans="1:32" ht="24.95" customHeight="1" thickBot="1">
      <c r="A9" s="252" t="s">
        <v>116</v>
      </c>
      <c r="B9" s="255" t="s">
        <v>117</v>
      </c>
      <c r="C9" s="262" t="s">
        <v>118</v>
      </c>
      <c r="D9" s="263"/>
      <c r="E9" s="263"/>
      <c r="F9" s="271" t="s">
        <v>119</v>
      </c>
      <c r="G9" s="272"/>
      <c r="H9" s="272"/>
      <c r="I9" s="258" t="s">
        <v>120</v>
      </c>
      <c r="J9" s="258"/>
      <c r="K9" s="259"/>
      <c r="L9" s="260" t="s">
        <v>121</v>
      </c>
      <c r="M9" s="259"/>
      <c r="N9" s="259"/>
      <c r="O9" s="260" t="s">
        <v>122</v>
      </c>
      <c r="P9" s="259"/>
      <c r="Q9" s="261"/>
      <c r="R9" s="258" t="s">
        <v>123</v>
      </c>
      <c r="S9" s="258"/>
      <c r="T9" s="259"/>
      <c r="U9" s="260" t="s">
        <v>124</v>
      </c>
      <c r="V9" s="259"/>
      <c r="W9" s="259"/>
      <c r="X9" s="260" t="s">
        <v>125</v>
      </c>
      <c r="Y9" s="259"/>
      <c r="Z9" s="261"/>
      <c r="AA9" s="260" t="s">
        <v>126</v>
      </c>
      <c r="AB9" s="259"/>
      <c r="AC9" s="259"/>
      <c r="AD9" s="260" t="s">
        <v>127</v>
      </c>
      <c r="AE9" s="259"/>
      <c r="AF9" s="261"/>
    </row>
    <row r="10" spans="1:32" ht="22.7" customHeight="1">
      <c r="A10" s="253"/>
      <c r="B10" s="256"/>
      <c r="C10" s="244" t="s">
        <v>128</v>
      </c>
      <c r="D10" s="244" t="s">
        <v>129</v>
      </c>
      <c r="E10" s="244" t="s">
        <v>130</v>
      </c>
      <c r="F10" s="267" t="s">
        <v>131</v>
      </c>
      <c r="G10" s="264" t="s">
        <v>129</v>
      </c>
      <c r="H10" s="269" t="s">
        <v>130</v>
      </c>
      <c r="I10" s="273" t="s">
        <v>132</v>
      </c>
      <c r="J10" s="250" t="s">
        <v>129</v>
      </c>
      <c r="K10" s="246" t="s">
        <v>133</v>
      </c>
      <c r="L10" s="248" t="s">
        <v>132</v>
      </c>
      <c r="M10" s="250" t="s">
        <v>129</v>
      </c>
      <c r="N10" s="246" t="s">
        <v>133</v>
      </c>
      <c r="O10" s="248" t="s">
        <v>132</v>
      </c>
      <c r="P10" s="250" t="s">
        <v>134</v>
      </c>
      <c r="Q10" s="246" t="s">
        <v>135</v>
      </c>
      <c r="R10" s="273" t="s">
        <v>132</v>
      </c>
      <c r="S10" s="250" t="s">
        <v>129</v>
      </c>
      <c r="T10" s="246" t="s">
        <v>133</v>
      </c>
      <c r="U10" s="248" t="s">
        <v>132</v>
      </c>
      <c r="V10" s="250" t="s">
        <v>129</v>
      </c>
      <c r="W10" s="246" t="s">
        <v>133</v>
      </c>
      <c r="X10" s="248" t="s">
        <v>132</v>
      </c>
      <c r="Y10" s="250" t="s">
        <v>129</v>
      </c>
      <c r="Z10" s="246" t="s">
        <v>133</v>
      </c>
      <c r="AA10" s="248" t="s">
        <v>132</v>
      </c>
      <c r="AB10" s="250" t="s">
        <v>134</v>
      </c>
      <c r="AC10" s="246" t="s">
        <v>133</v>
      </c>
      <c r="AD10" s="248" t="s">
        <v>132</v>
      </c>
      <c r="AE10" s="250" t="s">
        <v>129</v>
      </c>
      <c r="AF10" s="246" t="s">
        <v>133</v>
      </c>
    </row>
    <row r="11" spans="1:32" ht="54.6" customHeight="1" thickBot="1">
      <c r="A11" s="254"/>
      <c r="B11" s="257"/>
      <c r="C11" s="245"/>
      <c r="D11" s="245"/>
      <c r="E11" s="245"/>
      <c r="F11" s="268"/>
      <c r="G11" s="265"/>
      <c r="H11" s="270"/>
      <c r="I11" s="275"/>
      <c r="J11" s="276"/>
      <c r="K11" s="266"/>
      <c r="L11" s="249"/>
      <c r="M11" s="251"/>
      <c r="N11" s="247"/>
      <c r="O11" s="249"/>
      <c r="P11" s="251"/>
      <c r="Q11" s="247"/>
      <c r="R11" s="274"/>
      <c r="S11" s="251"/>
      <c r="T11" s="247"/>
      <c r="U11" s="249"/>
      <c r="V11" s="251"/>
      <c r="W11" s="247"/>
      <c r="X11" s="249"/>
      <c r="Y11" s="251"/>
      <c r="Z11" s="247"/>
      <c r="AA11" s="249"/>
      <c r="AB11" s="251"/>
      <c r="AC11" s="247"/>
      <c r="AD11" s="249"/>
      <c r="AE11" s="251"/>
      <c r="AF11" s="247"/>
    </row>
    <row r="12" spans="1:32" ht="63.75">
      <c r="A12" s="54">
        <v>1</v>
      </c>
      <c r="B12" s="55" t="s">
        <v>136</v>
      </c>
      <c r="C12" s="136">
        <v>700000</v>
      </c>
      <c r="D12" s="79">
        <f>C12*75%</f>
        <v>525000</v>
      </c>
      <c r="E12" s="80">
        <f>C12*25%</f>
        <v>175000</v>
      </c>
      <c r="F12" s="78">
        <f>SUM(G12:H12)</f>
        <v>0</v>
      </c>
      <c r="G12" s="81"/>
      <c r="H12" s="82"/>
      <c r="I12" s="83">
        <f>SUM(F12:H12)</f>
        <v>0</v>
      </c>
      <c r="J12" s="84"/>
      <c r="K12" s="85"/>
      <c r="L12" s="140">
        <v>58966.07</v>
      </c>
      <c r="M12" s="141">
        <f>L12*0.75</f>
        <v>44224.552499999998</v>
      </c>
      <c r="N12" s="142">
        <f>L12*0.25</f>
        <v>14741.5175</v>
      </c>
      <c r="O12" s="143">
        <v>108021.41</v>
      </c>
      <c r="P12" s="141">
        <f>O12*0.75</f>
        <v>81016.057499999995</v>
      </c>
      <c r="Q12" s="142">
        <f>O12*0.25</f>
        <v>27005.352500000001</v>
      </c>
      <c r="R12" s="143">
        <v>111235.85</v>
      </c>
      <c r="S12" s="141">
        <f>R12*0.75</f>
        <v>83426.887500000012</v>
      </c>
      <c r="T12" s="140">
        <f>R12*0.25</f>
        <v>27808.962500000001</v>
      </c>
      <c r="U12" s="143">
        <v>115705.32</v>
      </c>
      <c r="V12" s="141">
        <f>U12*0.85</f>
        <v>98349.521999999997</v>
      </c>
      <c r="W12" s="142">
        <f>U12*0.25</f>
        <v>28926.33</v>
      </c>
      <c r="X12" s="143">
        <v>118882.48</v>
      </c>
      <c r="Y12" s="141">
        <f>X12*0.85</f>
        <v>101050.10799999999</v>
      </c>
      <c r="Z12" s="142">
        <f>X12*0.25</f>
        <v>29720.62</v>
      </c>
      <c r="AA12" s="143">
        <v>123272.54</v>
      </c>
      <c r="AB12" s="141">
        <f>AA12*0.75</f>
        <v>92454.404999999999</v>
      </c>
      <c r="AC12" s="142">
        <f>AA12*0.25</f>
        <v>30818.134999999998</v>
      </c>
      <c r="AD12" s="143">
        <v>63916.33</v>
      </c>
      <c r="AE12" s="141">
        <f>AD12*0.75</f>
        <v>47937.247499999998</v>
      </c>
      <c r="AF12" s="142">
        <f>AD12*0.25</f>
        <v>15979.0825</v>
      </c>
    </row>
    <row r="13" spans="1:32" ht="25.5">
      <c r="A13" s="56">
        <v>2</v>
      </c>
      <c r="B13" s="57" t="s">
        <v>137</v>
      </c>
      <c r="C13" s="86">
        <v>210000</v>
      </c>
      <c r="D13" s="87">
        <f>C13*0.75</f>
        <v>157500</v>
      </c>
      <c r="E13" s="88">
        <f>C13*0.25</f>
        <v>52500</v>
      </c>
      <c r="F13" s="86">
        <f>SUM(G13:H13)</f>
        <v>0</v>
      </c>
      <c r="G13" s="89"/>
      <c r="H13" s="90"/>
      <c r="I13" s="91">
        <f>SUM(F13:H13)</f>
        <v>0</v>
      </c>
      <c r="J13" s="92"/>
      <c r="K13" s="93"/>
      <c r="L13" s="144">
        <v>0</v>
      </c>
      <c r="M13" s="141">
        <f>L13*0.85</f>
        <v>0</v>
      </c>
      <c r="N13" s="145">
        <v>0</v>
      </c>
      <c r="O13" s="146">
        <v>50798.87</v>
      </c>
      <c r="P13" s="141">
        <f>O13*0.85</f>
        <v>43179.039499999999</v>
      </c>
      <c r="Q13" s="145">
        <f>O13*0.25</f>
        <v>12699.717500000001</v>
      </c>
      <c r="R13" s="146">
        <v>51903.49</v>
      </c>
      <c r="S13" s="141">
        <f>R13*0.75</f>
        <v>38927.6175</v>
      </c>
      <c r="T13" s="144">
        <f>R13*0.25</f>
        <v>12975.872499999999</v>
      </c>
      <c r="U13" s="146">
        <v>53051.360000000001</v>
      </c>
      <c r="V13" s="141">
        <f>U13*0.75</f>
        <v>39788.520000000004</v>
      </c>
      <c r="W13" s="145">
        <f>U13*0.25</f>
        <v>13262.84</v>
      </c>
      <c r="X13" s="146">
        <v>54246.27</v>
      </c>
      <c r="Y13" s="141">
        <f>X13*0.75</f>
        <v>40684.702499999999</v>
      </c>
      <c r="Z13" s="145">
        <f>X13*0.25</f>
        <v>13561.567499999999</v>
      </c>
      <c r="AA13" s="146">
        <v>0</v>
      </c>
      <c r="AB13" s="141">
        <f>AA13*0.85</f>
        <v>0</v>
      </c>
      <c r="AC13" s="145">
        <v>0</v>
      </c>
      <c r="AD13" s="146">
        <v>0</v>
      </c>
      <c r="AE13" s="141">
        <f>AD13*0.85</f>
        <v>0</v>
      </c>
      <c r="AF13" s="145">
        <v>0</v>
      </c>
    </row>
    <row r="14" spans="1:32">
      <c r="A14" s="56">
        <v>3</v>
      </c>
      <c r="B14" s="57" t="s">
        <v>138</v>
      </c>
      <c r="C14" s="86">
        <v>700000</v>
      </c>
      <c r="D14" s="87">
        <f>C14*0.75</f>
        <v>525000</v>
      </c>
      <c r="E14" s="88">
        <f>C14*0.25</f>
        <v>175000</v>
      </c>
      <c r="F14" s="86">
        <f>SUM(G14:H14)</f>
        <v>0</v>
      </c>
      <c r="G14" s="89"/>
      <c r="H14" s="90"/>
      <c r="I14" s="91">
        <f>SUM(F14:H14)</f>
        <v>0</v>
      </c>
      <c r="J14" s="92"/>
      <c r="K14" s="93"/>
      <c r="L14" s="144">
        <v>0</v>
      </c>
      <c r="M14" s="141">
        <f>L14*0.85</f>
        <v>0</v>
      </c>
      <c r="N14" s="145">
        <v>0</v>
      </c>
      <c r="O14" s="146">
        <v>33170</v>
      </c>
      <c r="P14" s="141">
        <f>O14*0.75</f>
        <v>24877.5</v>
      </c>
      <c r="Q14" s="145">
        <f>O14*0.25</f>
        <v>8292.5</v>
      </c>
      <c r="R14" s="146">
        <v>218590.83</v>
      </c>
      <c r="S14" s="141">
        <f>R14*0.75</f>
        <v>163943.1225</v>
      </c>
      <c r="T14" s="144">
        <f>R14*0.25</f>
        <v>54647.707499999997</v>
      </c>
      <c r="U14" s="146">
        <v>233316.03</v>
      </c>
      <c r="V14" s="141">
        <f>U14*0.75</f>
        <v>174987.02249999999</v>
      </c>
      <c r="W14" s="145">
        <f>U14*0.25</f>
        <v>58329.0075</v>
      </c>
      <c r="X14" s="146">
        <v>224923.14</v>
      </c>
      <c r="Y14" s="141">
        <f>X14*0.75</f>
        <v>168692.35500000001</v>
      </c>
      <c r="Z14" s="145">
        <f>X14*0.25</f>
        <v>56230.785000000003</v>
      </c>
      <c r="AA14" s="146">
        <v>0</v>
      </c>
      <c r="AB14" s="141">
        <f>AA14*0.85</f>
        <v>0</v>
      </c>
      <c r="AC14" s="145">
        <v>0</v>
      </c>
      <c r="AD14" s="146">
        <v>0</v>
      </c>
      <c r="AE14" s="141">
        <f>AD14*0.85</f>
        <v>0</v>
      </c>
      <c r="AF14" s="145">
        <v>0</v>
      </c>
    </row>
    <row r="15" spans="1:32">
      <c r="A15" s="58">
        <v>4</v>
      </c>
      <c r="B15" s="57" t="s">
        <v>139</v>
      </c>
      <c r="C15" s="86">
        <v>600000</v>
      </c>
      <c r="D15" s="87"/>
      <c r="E15" s="88"/>
      <c r="F15" s="86">
        <f>SUM(G15:H15)</f>
        <v>0</v>
      </c>
      <c r="G15" s="89"/>
      <c r="H15" s="90"/>
      <c r="I15" s="91">
        <f>SUM(F15:H15)</f>
        <v>0</v>
      </c>
      <c r="J15" s="92"/>
      <c r="K15" s="93"/>
      <c r="L15" s="144">
        <v>61129.9</v>
      </c>
      <c r="M15" s="141">
        <f>L15*0.75</f>
        <v>45847.425000000003</v>
      </c>
      <c r="N15" s="145">
        <f>L15*0.25</f>
        <v>15282.475</v>
      </c>
      <c r="O15" s="146">
        <v>98557.35</v>
      </c>
      <c r="P15" s="141">
        <f>O15*0.75</f>
        <v>73918.012500000012</v>
      </c>
      <c r="Q15" s="145">
        <f>O15*0.25</f>
        <v>24639.337500000001</v>
      </c>
      <c r="R15" s="146">
        <v>156762.75</v>
      </c>
      <c r="S15" s="141">
        <f>R15*0.75</f>
        <v>117572.0625</v>
      </c>
      <c r="T15" s="144">
        <f>R15*0.25</f>
        <v>39190.6875</v>
      </c>
      <c r="U15" s="146">
        <f>160500</f>
        <v>160500</v>
      </c>
      <c r="V15" s="141">
        <f>U15*0.75</f>
        <v>120375</v>
      </c>
      <c r="W15" s="145">
        <f>U15*0.25</f>
        <v>40125</v>
      </c>
      <c r="X15" s="146">
        <v>123050</v>
      </c>
      <c r="Y15" s="141">
        <f>X15*0.75</f>
        <v>92287.5</v>
      </c>
      <c r="Z15" s="145">
        <f>X15*0.25</f>
        <v>30762.5</v>
      </c>
      <c r="AA15" s="146">
        <v>0</v>
      </c>
      <c r="AB15" s="141">
        <f>AA15*0.85</f>
        <v>0</v>
      </c>
      <c r="AC15" s="145">
        <v>0</v>
      </c>
      <c r="AD15" s="146">
        <v>0</v>
      </c>
      <c r="AE15" s="141">
        <f>AD15*0.85</f>
        <v>0</v>
      </c>
      <c r="AF15" s="145">
        <v>0</v>
      </c>
    </row>
    <row r="16" spans="1:32" ht="53.1" customHeight="1" thickBot="1">
      <c r="A16" s="56">
        <v>5</v>
      </c>
      <c r="B16" s="57" t="s">
        <v>140</v>
      </c>
      <c r="C16" s="86">
        <v>150000</v>
      </c>
      <c r="D16" s="87">
        <f>C16*0.75</f>
        <v>112500</v>
      </c>
      <c r="E16" s="88">
        <f>C16*0.25</f>
        <v>37500</v>
      </c>
      <c r="F16" s="86">
        <f>SUM(G16:H16)</f>
        <v>0</v>
      </c>
      <c r="G16" s="89"/>
      <c r="H16" s="90"/>
      <c r="I16" s="91">
        <f>SUM(F16:H16)</f>
        <v>0</v>
      </c>
      <c r="J16" s="92"/>
      <c r="K16" s="93"/>
      <c r="L16" s="144">
        <v>50000</v>
      </c>
      <c r="M16" s="141">
        <f>L16*0.75</f>
        <v>37500</v>
      </c>
      <c r="N16" s="145">
        <f>L16*0.25</f>
        <v>12500</v>
      </c>
      <c r="O16" s="146">
        <v>100000</v>
      </c>
      <c r="P16" s="141">
        <f>O16*0.75</f>
        <v>75000</v>
      </c>
      <c r="Q16" s="145">
        <f>O16*0.25</f>
        <v>25000</v>
      </c>
      <c r="R16" s="146">
        <v>0</v>
      </c>
      <c r="S16" s="141">
        <v>0</v>
      </c>
      <c r="T16" s="144">
        <v>0</v>
      </c>
      <c r="U16" s="146">
        <v>0</v>
      </c>
      <c r="V16" s="141">
        <v>0</v>
      </c>
      <c r="W16" s="145">
        <v>0</v>
      </c>
      <c r="X16" s="146">
        <v>0</v>
      </c>
      <c r="Y16" s="141">
        <f>X16*0.85</f>
        <v>0</v>
      </c>
      <c r="Z16" s="145">
        <v>0</v>
      </c>
      <c r="AA16" s="146">
        <v>0</v>
      </c>
      <c r="AB16" s="141">
        <f>AA16*0.85</f>
        <v>0</v>
      </c>
      <c r="AC16" s="145">
        <v>0</v>
      </c>
      <c r="AD16" s="146">
        <v>0</v>
      </c>
      <c r="AE16" s="141">
        <f>AD16*0.85</f>
        <v>0</v>
      </c>
      <c r="AF16" s="145">
        <v>0</v>
      </c>
    </row>
    <row r="17" spans="1:32" ht="15" thickBot="1">
      <c r="A17" s="59"/>
      <c r="B17" s="71" t="s">
        <v>141</v>
      </c>
      <c r="C17" s="74">
        <f t="shared" ref="C17:AF17" si="0">SUM(C12:C16)</f>
        <v>2360000</v>
      </c>
      <c r="D17" s="72">
        <f t="shared" si="0"/>
        <v>1320000</v>
      </c>
      <c r="E17" s="74">
        <f t="shared" si="0"/>
        <v>440000</v>
      </c>
      <c r="F17" s="75">
        <f t="shared" si="0"/>
        <v>0</v>
      </c>
      <c r="G17" s="76">
        <f t="shared" si="0"/>
        <v>0</v>
      </c>
      <c r="H17" s="73">
        <f t="shared" si="0"/>
        <v>0</v>
      </c>
      <c r="I17" s="67">
        <f t="shared" si="0"/>
        <v>0</v>
      </c>
      <c r="J17" s="77">
        <f t="shared" si="0"/>
        <v>0</v>
      </c>
      <c r="K17" s="67">
        <f t="shared" si="0"/>
        <v>0</v>
      </c>
      <c r="L17" s="68">
        <f t="shared" si="0"/>
        <v>170095.97</v>
      </c>
      <c r="M17" s="68">
        <f t="shared" si="0"/>
        <v>127571.97750000001</v>
      </c>
      <c r="N17" s="68">
        <f t="shared" si="0"/>
        <v>42523.9925</v>
      </c>
      <c r="O17" s="68">
        <f t="shared" si="0"/>
        <v>390547.63</v>
      </c>
      <c r="P17" s="68">
        <f t="shared" si="0"/>
        <v>297990.60950000002</v>
      </c>
      <c r="Q17" s="68">
        <f t="shared" si="0"/>
        <v>97636.907500000001</v>
      </c>
      <c r="R17" s="68">
        <f t="shared" si="0"/>
        <v>538492.91999999993</v>
      </c>
      <c r="S17" s="68">
        <f t="shared" si="0"/>
        <v>403869.69</v>
      </c>
      <c r="T17" s="68">
        <f t="shared" si="0"/>
        <v>134623.22999999998</v>
      </c>
      <c r="U17" s="68">
        <f t="shared" si="0"/>
        <v>562572.71</v>
      </c>
      <c r="V17" s="68">
        <f t="shared" si="0"/>
        <v>433500.06449999998</v>
      </c>
      <c r="W17" s="68">
        <f t="shared" si="0"/>
        <v>140643.17749999999</v>
      </c>
      <c r="X17" s="68">
        <f t="shared" si="0"/>
        <v>521101.89</v>
      </c>
      <c r="Y17" s="68">
        <f t="shared" si="0"/>
        <v>402714.6655</v>
      </c>
      <c r="Z17" s="68">
        <f t="shared" si="0"/>
        <v>130275.4725</v>
      </c>
      <c r="AA17" s="68">
        <f t="shared" si="0"/>
        <v>123272.54</v>
      </c>
      <c r="AB17" s="68">
        <f t="shared" si="0"/>
        <v>92454.404999999999</v>
      </c>
      <c r="AC17" s="68">
        <f t="shared" si="0"/>
        <v>30818.134999999998</v>
      </c>
      <c r="AD17" s="68">
        <f t="shared" si="0"/>
        <v>63916.33</v>
      </c>
      <c r="AE17" s="68">
        <f t="shared" si="0"/>
        <v>47937.247499999998</v>
      </c>
      <c r="AF17" s="68">
        <f t="shared" si="0"/>
        <v>15979.0825</v>
      </c>
    </row>
    <row r="20" spans="1:32">
      <c r="A20" s="60"/>
    </row>
  </sheetData>
  <mergeCells count="42">
    <mergeCell ref="J10:J11"/>
    <mergeCell ref="M10:M11"/>
    <mergeCell ref="AD9:AF9"/>
    <mergeCell ref="AA10:AA11"/>
    <mergeCell ref="AB10:AB11"/>
    <mergeCell ref="AC10:AC11"/>
    <mergeCell ref="AD10:AD11"/>
    <mergeCell ref="AE10:AE11"/>
    <mergeCell ref="AF10:AF11"/>
    <mergeCell ref="L10:L11"/>
    <mergeCell ref="F10:F11"/>
    <mergeCell ref="P10:P11"/>
    <mergeCell ref="Z10:Z11"/>
    <mergeCell ref="AA9:AC9"/>
    <mergeCell ref="H10:H11"/>
    <mergeCell ref="F9:H9"/>
    <mergeCell ref="R9:T9"/>
    <mergeCell ref="U9:W9"/>
    <mergeCell ref="X9:Z9"/>
    <mergeCell ref="R10:R11"/>
    <mergeCell ref="S10:S11"/>
    <mergeCell ref="T10:T11"/>
    <mergeCell ref="U10:U11"/>
    <mergeCell ref="V10:V11"/>
    <mergeCell ref="W10:W11"/>
    <mergeCell ref="I10:I11"/>
    <mergeCell ref="E10:E11"/>
    <mergeCell ref="N10:N11"/>
    <mergeCell ref="X10:X11"/>
    <mergeCell ref="Y10:Y11"/>
    <mergeCell ref="A9:A11"/>
    <mergeCell ref="B9:B11"/>
    <mergeCell ref="I9:K9"/>
    <mergeCell ref="L9:N9"/>
    <mergeCell ref="O9:Q9"/>
    <mergeCell ref="Q10:Q11"/>
    <mergeCell ref="C9:E9"/>
    <mergeCell ref="C10:C11"/>
    <mergeCell ref="D10:D11"/>
    <mergeCell ref="G10:G11"/>
    <mergeCell ref="O10:O11"/>
    <mergeCell ref="K10:K11"/>
  </mergeCells>
  <phoneticPr fontId="4" type="noConversion"/>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C4362-26CE-45E3-8D58-B0385DE06732}">
  <dimension ref="A1:P32"/>
  <sheetViews>
    <sheetView zoomScale="75" zoomScaleNormal="75" workbookViewId="0">
      <selection activeCell="I20" sqref="I20:K20"/>
    </sheetView>
  </sheetViews>
  <sheetFormatPr defaultRowHeight="12.75"/>
  <cols>
    <col min="5" max="6" width="14.42578125" customWidth="1"/>
    <col min="7" max="7" width="14.5703125" customWidth="1"/>
    <col min="8" max="8" width="16.5703125" customWidth="1"/>
    <col min="9" max="9" width="19.42578125" customWidth="1"/>
    <col min="10" max="12" width="13.85546875" bestFit="1" customWidth="1"/>
    <col min="13" max="13" width="17.42578125" bestFit="1" customWidth="1"/>
    <col min="14" max="14" width="15.42578125" customWidth="1"/>
  </cols>
  <sheetData>
    <row r="1" spans="1:16" ht="15.75" thickBot="1">
      <c r="C1" s="116"/>
      <c r="D1" s="117"/>
      <c r="E1" s="117"/>
      <c r="F1" s="118">
        <v>2022</v>
      </c>
      <c r="G1" s="119">
        <v>2023</v>
      </c>
      <c r="H1" s="119">
        <v>2024</v>
      </c>
      <c r="I1" s="119">
        <v>2025</v>
      </c>
      <c r="J1" s="120">
        <v>2026</v>
      </c>
    </row>
    <row r="2" spans="1:16" ht="15">
      <c r="C2" s="121" t="s">
        <v>142</v>
      </c>
      <c r="D2" s="121"/>
      <c r="E2" s="121"/>
      <c r="F2" s="122">
        <v>1.0909</v>
      </c>
      <c r="G2" s="122">
        <v>1.0841000000000001</v>
      </c>
      <c r="H2" s="122">
        <v>1.0568</v>
      </c>
      <c r="I2" s="122">
        <v>1.0409999999999999</v>
      </c>
      <c r="J2" s="122">
        <v>1.044</v>
      </c>
    </row>
    <row r="3" spans="1:16" ht="15">
      <c r="C3" s="123" t="s">
        <v>143</v>
      </c>
      <c r="D3" s="123"/>
      <c r="E3" s="123"/>
      <c r="F3" s="124">
        <v>1.194</v>
      </c>
      <c r="G3" s="124">
        <v>1.0924</v>
      </c>
      <c r="H3" s="124">
        <v>1.0299</v>
      </c>
      <c r="I3" s="124">
        <v>1.0210999999999999</v>
      </c>
      <c r="J3" s="124">
        <v>1.0129999999999999</v>
      </c>
    </row>
    <row r="5" spans="1:16">
      <c r="A5" s="188" t="s">
        <v>144</v>
      </c>
      <c r="B5" s="113"/>
      <c r="C5" s="12"/>
      <c r="D5" s="12"/>
      <c r="E5" s="12"/>
      <c r="F5" s="12"/>
      <c r="G5" s="12"/>
      <c r="H5" s="12"/>
      <c r="I5" s="12"/>
    </row>
    <row r="6" spans="1:16" ht="13.5" customHeight="1">
      <c r="B6" s="2"/>
      <c r="C6" s="2"/>
      <c r="D6" s="2"/>
      <c r="E6" s="2" t="s">
        <v>145</v>
      </c>
      <c r="F6" s="2" t="s">
        <v>146</v>
      </c>
      <c r="G6" s="2">
        <v>2023</v>
      </c>
      <c r="H6" s="2">
        <v>2024</v>
      </c>
      <c r="I6" s="2">
        <v>2025</v>
      </c>
      <c r="J6" s="2">
        <v>2026</v>
      </c>
      <c r="K6" s="2">
        <v>2027</v>
      </c>
      <c r="L6" s="2">
        <v>2028</v>
      </c>
      <c r="M6" s="2">
        <v>2029</v>
      </c>
    </row>
    <row r="7" spans="1:16" s="132" customFormat="1">
      <c r="B7" s="133" t="s">
        <v>147</v>
      </c>
      <c r="C7" s="133"/>
      <c r="D7" s="133">
        <v>0.2</v>
      </c>
      <c r="E7" s="133">
        <v>2300</v>
      </c>
      <c r="F7" s="133">
        <f>D7*E7</f>
        <v>460</v>
      </c>
      <c r="G7" s="134">
        <f>8*F7*1.338*G2</f>
        <v>5337.9349440000005</v>
      </c>
      <c r="H7" s="134">
        <f>F7*G2*H2*12</f>
        <v>6324.1363775999998</v>
      </c>
      <c r="I7" s="134">
        <f>H7*I2</f>
        <v>6583.4259690815998</v>
      </c>
      <c r="J7" s="189">
        <f>I7*J2</f>
        <v>6873.0967117211903</v>
      </c>
      <c r="K7" s="189">
        <f>J7*J2</f>
        <v>7175.5129670369233</v>
      </c>
      <c r="L7" s="189">
        <f>K7*J2</f>
        <v>7491.2355375865482</v>
      </c>
      <c r="M7" s="189">
        <f>J2*L7*50%</f>
        <v>3910.4249506201782</v>
      </c>
      <c r="N7" s="135">
        <f>SUM(G7:M7)</f>
        <v>43695.767457646441</v>
      </c>
      <c r="P7" s="132" t="s">
        <v>148</v>
      </c>
    </row>
    <row r="8" spans="1:16" s="132" customFormat="1">
      <c r="B8" s="133" t="s">
        <v>149</v>
      </c>
      <c r="C8" s="133"/>
      <c r="D8" s="133">
        <v>0.2</v>
      </c>
      <c r="E8" s="133">
        <v>2300</v>
      </c>
      <c r="F8" s="133">
        <f>D8*E8</f>
        <v>460</v>
      </c>
      <c r="G8" s="134">
        <f>8*F8*1.338*G2</f>
        <v>5337.9349440000005</v>
      </c>
      <c r="H8" s="134">
        <f>F8*G2*H2*12</f>
        <v>6324.1363775999998</v>
      </c>
      <c r="I8" s="134">
        <f>H8*I2</f>
        <v>6583.4259690815998</v>
      </c>
      <c r="J8" s="189">
        <f>I8*J2</f>
        <v>6873.0967117211903</v>
      </c>
      <c r="K8" s="189">
        <f>J8*J2</f>
        <v>7175.5129670369233</v>
      </c>
      <c r="L8" s="189">
        <f>K8*J2</f>
        <v>7491.2355375865482</v>
      </c>
      <c r="M8" s="189">
        <f>J2*L8*50%</f>
        <v>3910.4249506201782</v>
      </c>
      <c r="N8" s="135">
        <f>SUM(G8:M8)</f>
        <v>43695.767457646441</v>
      </c>
    </row>
    <row r="9" spans="1:16">
      <c r="B9" s="2" t="s">
        <v>150</v>
      </c>
      <c r="C9" s="2"/>
      <c r="D9" s="2">
        <v>1</v>
      </c>
      <c r="E9" s="2">
        <v>2000</v>
      </c>
      <c r="F9" s="2">
        <v>1800</v>
      </c>
      <c r="G9" s="114">
        <f>6*F9*1.338*G2</f>
        <v>15665.678640000002</v>
      </c>
      <c r="H9" s="114">
        <f>12*F9*1.338*H2</f>
        <v>30542.365440000001</v>
      </c>
      <c r="I9" s="114">
        <f>H9*I2</f>
        <v>31794.60242304</v>
      </c>
      <c r="J9" s="125">
        <f>I9*J2</f>
        <v>33193.564929653759</v>
      </c>
      <c r="K9" s="125">
        <f>J9*J2</f>
        <v>34654.081786558527</v>
      </c>
      <c r="L9" s="125">
        <f>K9*J2</f>
        <v>36178.861385167103</v>
      </c>
      <c r="M9" s="125">
        <f>J2*L9*50%</f>
        <v>18885.36564305723</v>
      </c>
      <c r="N9" s="126">
        <f>SUM(G9:M9)</f>
        <v>200914.52024747664</v>
      </c>
    </row>
    <row r="10" spans="1:16">
      <c r="B10" s="2" t="s">
        <v>151</v>
      </c>
      <c r="C10" s="2"/>
      <c r="D10" s="2">
        <v>1</v>
      </c>
      <c r="E10" s="2">
        <v>2000</v>
      </c>
      <c r="F10" s="2">
        <v>1800</v>
      </c>
      <c r="G10" s="114">
        <f>6*F10*1.338*G2</f>
        <v>15665.678640000002</v>
      </c>
      <c r="H10" s="114">
        <f>H9</f>
        <v>30542.365440000001</v>
      </c>
      <c r="I10" s="114">
        <f>H10*I2</f>
        <v>31794.60242304</v>
      </c>
      <c r="J10" s="125">
        <f>I10*J2</f>
        <v>33193.564929653759</v>
      </c>
      <c r="K10" s="125">
        <f>J10*J2</f>
        <v>34654.081786558527</v>
      </c>
      <c r="L10" s="125">
        <f>K10*J2</f>
        <v>36178.861385167103</v>
      </c>
      <c r="M10" s="125">
        <f>J2*L10*50%</f>
        <v>18885.36564305723</v>
      </c>
      <c r="N10" s="126">
        <f>SUM(G10:M10)</f>
        <v>200914.52024747664</v>
      </c>
    </row>
    <row r="11" spans="1:16">
      <c r="B11" s="2"/>
      <c r="C11" s="2"/>
      <c r="D11" s="2"/>
      <c r="E11" s="2"/>
      <c r="F11" s="2"/>
      <c r="G11" s="2"/>
      <c r="H11" s="2"/>
      <c r="I11" s="114"/>
    </row>
    <row r="12" spans="1:16">
      <c r="B12" s="2"/>
      <c r="C12" s="2"/>
      <c r="D12" s="2"/>
      <c r="E12" s="2"/>
      <c r="F12" s="2"/>
      <c r="G12" s="2"/>
      <c r="H12" s="2"/>
      <c r="I12" s="115"/>
    </row>
    <row r="13" spans="1:16">
      <c r="A13" s="129"/>
      <c r="J13" t="s">
        <v>152</v>
      </c>
      <c r="L13" s="126">
        <f>N7</f>
        <v>43695.767457646441</v>
      </c>
    </row>
    <row r="14" spans="1:16">
      <c r="J14" t="s">
        <v>153</v>
      </c>
      <c r="L14" s="126">
        <f>SUM(N8:N10)</f>
        <v>445524.80795259972</v>
      </c>
    </row>
    <row r="17" spans="1:14">
      <c r="A17">
        <v>2</v>
      </c>
    </row>
    <row r="18" spans="1:14">
      <c r="B18" s="2"/>
      <c r="C18" s="2"/>
      <c r="D18" s="2"/>
      <c r="E18" s="2" t="s">
        <v>145</v>
      </c>
      <c r="F18" s="2" t="s">
        <v>146</v>
      </c>
      <c r="G18" s="2">
        <v>2023</v>
      </c>
      <c r="H18" s="2">
        <v>2024</v>
      </c>
      <c r="I18" s="2">
        <v>2025</v>
      </c>
      <c r="J18" s="2">
        <v>2026</v>
      </c>
      <c r="K18" s="2">
        <v>2027</v>
      </c>
      <c r="L18" s="2">
        <v>2028</v>
      </c>
      <c r="M18" s="2">
        <v>2029</v>
      </c>
    </row>
    <row r="19" spans="1:14">
      <c r="B19" s="2" t="s">
        <v>147</v>
      </c>
      <c r="C19" s="2"/>
      <c r="D19" s="2">
        <v>0.5</v>
      </c>
      <c r="E19" s="2">
        <v>2300</v>
      </c>
      <c r="F19" s="2">
        <f>D19*E19</f>
        <v>1150</v>
      </c>
      <c r="G19" s="114">
        <f>12*F19*1.338*G2</f>
        <v>20017.256040000004</v>
      </c>
      <c r="H19" s="114">
        <f>G19*H2</f>
        <v>21154.236183072004</v>
      </c>
      <c r="I19" s="114">
        <f>H19*I2</f>
        <v>22021.559866577954</v>
      </c>
      <c r="J19" s="125">
        <f>I19*J2</f>
        <v>22990.508500707387</v>
      </c>
      <c r="K19" s="125">
        <f>J19*J2</f>
        <v>24002.090874738511</v>
      </c>
      <c r="L19" s="125">
        <f>K19*J3</f>
        <v>24314.11805611011</v>
      </c>
      <c r="M19" s="125">
        <f>L19*J2</f>
        <v>25383.939250578955</v>
      </c>
      <c r="N19" s="126">
        <f>SUM(H19:M20)</f>
        <v>366086.16668053984</v>
      </c>
    </row>
    <row r="20" spans="1:14">
      <c r="D20">
        <v>0.8</v>
      </c>
      <c r="E20" s="2">
        <v>2300</v>
      </c>
      <c r="F20" s="2">
        <f>D20*E20</f>
        <v>1840</v>
      </c>
      <c r="G20" s="114">
        <f>12*F20*1.338*G2</f>
        <v>32027.609664000003</v>
      </c>
      <c r="H20" s="114">
        <f>G20*H2</f>
        <v>33846.777892915205</v>
      </c>
      <c r="I20" s="114">
        <f>H20*I2</f>
        <v>35234.495786524727</v>
      </c>
      <c r="J20" s="125">
        <f>I20*J2</f>
        <v>36784.813601131813</v>
      </c>
      <c r="K20" s="125">
        <f>J20*J2</f>
        <v>38403.345399581616</v>
      </c>
      <c r="L20" s="125">
        <f>K20*J2</f>
        <v>40093.09259716321</v>
      </c>
      <c r="M20" s="125">
        <f>L20*J2</f>
        <v>41857.188671438395</v>
      </c>
    </row>
    <row r="23" spans="1:14">
      <c r="B23" t="s">
        <v>154</v>
      </c>
      <c r="C23" t="s">
        <v>155</v>
      </c>
      <c r="D23" t="s">
        <v>156</v>
      </c>
      <c r="E23" t="s">
        <v>157</v>
      </c>
      <c r="F23" t="s">
        <v>158</v>
      </c>
    </row>
    <row r="24" spans="1:14">
      <c r="B24" t="s">
        <v>159</v>
      </c>
      <c r="C24" t="s">
        <v>160</v>
      </c>
      <c r="E24">
        <v>80</v>
      </c>
      <c r="F24">
        <v>85</v>
      </c>
      <c r="G24">
        <f>E24*F24</f>
        <v>6800</v>
      </c>
      <c r="H24" s="125"/>
    </row>
    <row r="25" spans="1:14">
      <c r="B25" t="s">
        <v>161</v>
      </c>
      <c r="C25" t="s">
        <v>162</v>
      </c>
      <c r="E25">
        <v>60</v>
      </c>
      <c r="F25">
        <v>125</v>
      </c>
      <c r="G25">
        <f>E25*F25</f>
        <v>7500</v>
      </c>
      <c r="J25">
        <f>90/30.5</f>
        <v>2.9508196721311477</v>
      </c>
    </row>
    <row r="26" spans="1:14">
      <c r="C26" t="s">
        <v>163</v>
      </c>
      <c r="E26">
        <v>4</v>
      </c>
      <c r="F26">
        <v>2000</v>
      </c>
      <c r="G26">
        <f>E26*F26</f>
        <v>8000</v>
      </c>
    </row>
    <row r="29" spans="1:14">
      <c r="G29">
        <f>SUM(G24:G25)</f>
        <v>14300</v>
      </c>
      <c r="H29">
        <f>G29+200</f>
        <v>14500</v>
      </c>
    </row>
    <row r="31" spans="1:14">
      <c r="G31" s="2">
        <v>2023</v>
      </c>
      <c r="H31" s="2">
        <v>2024</v>
      </c>
      <c r="I31" s="2">
        <v>2025</v>
      </c>
      <c r="J31" s="2">
        <v>2026</v>
      </c>
      <c r="K31" s="2">
        <v>2027</v>
      </c>
      <c r="L31" s="2">
        <v>2028</v>
      </c>
    </row>
    <row r="32" spans="1:14">
      <c r="A32">
        <v>4</v>
      </c>
      <c r="D32">
        <v>0.8</v>
      </c>
      <c r="E32">
        <v>2700</v>
      </c>
      <c r="F32">
        <f>D32*E32</f>
        <v>2160</v>
      </c>
      <c r="G32" s="126">
        <f>6*F32*G3*1.338</f>
        <v>18942.740352000001</v>
      </c>
      <c r="H32" s="126">
        <f>F32*1.338*12*H2</f>
        <v>36650.838528000007</v>
      </c>
      <c r="I32" s="126">
        <f>H32*I2</f>
        <v>38153.522907648003</v>
      </c>
      <c r="J32" s="126">
        <f>I32*J2</f>
        <v>39832.277915584513</v>
      </c>
      <c r="K32" s="126">
        <f>J32*J2*50%</f>
        <v>20792.449071935116</v>
      </c>
      <c r="L32" s="12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 ma:contentTypeID="0x010100CC1CE044DC451747BD4055C09D9A819D" ma:contentTypeVersion="4" ma:contentTypeDescription="Loo uus dokument" ma:contentTypeScope="" ma:versionID="63c4e360b0287112af6c08a89b6825b7">
  <xsd:schema xmlns:xsd="http://www.w3.org/2001/XMLSchema" xmlns:xs="http://www.w3.org/2001/XMLSchema" xmlns:p="http://schemas.microsoft.com/office/2006/metadata/properties" xmlns:ns2="aff8a95a-bdca-4bd1-9f28-df5ebd643b89" xmlns:ns3="a73be6a9-67eb-46ae-9de8-8938dc5167a5" targetNamespace="http://schemas.microsoft.com/office/2006/metadata/properties" ma:root="true" ma:fieldsID="93319b1cf83481d110aa40b781f74732" ns2:_="" ns3:_="">
    <xsd:import namespace="aff8a95a-bdca-4bd1-9f28-df5ebd643b89"/>
    <xsd:import namespace="a73be6a9-67eb-46ae-9de8-8938dc5167a5"/>
    <xsd:element name="properties">
      <xsd:complexType>
        <xsd:sequence>
          <xsd:element name="documentManagement">
            <xsd:complexType>
              <xsd:all>
                <xsd:element ref="ns2:_dlc_DocId" minOccurs="0"/>
                <xsd:element ref="ns2:_dlc_DocIdUrl" minOccurs="0"/>
                <xsd:element ref="ns2:_dlc_DocIdPersistId" minOccurs="0"/>
                <xsd:element ref="ns3:Vastutaja" minOccurs="0"/>
                <xsd:element ref="ns2:SharedWithUsers" minOccurs="0"/>
                <xsd:element ref="ns2:SharedWithDetails" minOccurs="0"/>
                <xsd:element ref="ns3:Lisainf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f8a95a-bdca-4bd1-9f28-df5ebd643b89" elementFormDefault="qualified">
    <xsd:import namespace="http://schemas.microsoft.com/office/2006/documentManagement/types"/>
    <xsd:import namespace="http://schemas.microsoft.com/office/infopath/2007/PartnerControls"/>
    <xsd:element name="_dlc_DocId" ma:index="8" nillable="true" ma:displayName="Dokumendi ID väärtus" ma:description="Sellele üksusele määratud dokumendi ID väärtus." ma:internalName="_dlc_DocId" ma:readOnly="true">
      <xsd:simpleType>
        <xsd:restriction base="dms:Text"/>
      </xsd:simpleType>
    </xsd:element>
    <xsd:element name="_dlc_DocIdUrl" ma:index="9" nillable="true" ma:displayName="Dokumendi ID" ma:description="Püsilink sellele dokumendile."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2"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Ühiskasutusse andmise üksikasjad"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3be6a9-67eb-46ae-9de8-8938dc5167a5" elementFormDefault="qualified">
    <xsd:import namespace="http://schemas.microsoft.com/office/2006/documentManagement/types"/>
    <xsd:import namespace="http://schemas.microsoft.com/office/infopath/2007/PartnerControls"/>
    <xsd:element name="Vastutaja" ma:index="11" nillable="true" ma:displayName="Vastutaja" ma:list="UserInfo" ma:SharePointGroup="0" ma:internalName="Vastutaja">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isainfo" ma:index="14" nillable="true" ma:displayName="Lisainfo" ma:internalName="Lisainfo">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A24393-ED5E-486E-A1C7-BE96FE94A516}">
  <ds:schemaRefs>
    <ds:schemaRef ds:uri="http://schemas.microsoft.com/sharepoint/v3/contenttype/forms"/>
  </ds:schemaRefs>
</ds:datastoreItem>
</file>

<file path=customXml/itemProps2.xml><?xml version="1.0" encoding="utf-8"?>
<ds:datastoreItem xmlns:ds="http://schemas.openxmlformats.org/officeDocument/2006/customXml" ds:itemID="{34E5F849-7C80-4E96-B8B3-5BA90408747F}">
  <ds:schemaRefs>
    <ds:schemaRef ds:uri="http://schemas.microsoft.com/sharepoint/events"/>
  </ds:schemaRefs>
</ds:datastoreItem>
</file>

<file path=customXml/itemProps3.xml><?xml version="1.0" encoding="utf-8"?>
<ds:datastoreItem xmlns:ds="http://schemas.openxmlformats.org/officeDocument/2006/customXml" ds:itemID="{8A76EBEA-19B6-42F1-879F-72DAC5C54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f8a95a-bdca-4bd1-9f28-df5ebd643b89"/>
    <ds:schemaRef ds:uri="a73be6a9-67eb-46ae-9de8-8938dc5167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4</vt:i4>
      </vt:variant>
    </vt:vector>
  </HeadingPairs>
  <TitlesOfParts>
    <vt:vector size="4" baseType="lpstr">
      <vt:lpstr>tegevuskava ja eelarve</vt:lpstr>
      <vt:lpstr>Leht2</vt:lpstr>
      <vt:lpstr>maksete prognoos</vt:lpstr>
      <vt:lpstr>Leht1</vt:lpstr>
    </vt:vector>
  </TitlesOfParts>
  <Manager/>
  <Company>Sotsiaalministeerium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katrin.soopalu</dc:creator>
  <cp:keywords/>
  <dc:description/>
  <cp:lastModifiedBy>Nikita Koros</cp:lastModifiedBy>
  <cp:revision/>
  <dcterms:created xsi:type="dcterms:W3CDTF">2008-10-09T12:25:50Z</dcterms:created>
  <dcterms:modified xsi:type="dcterms:W3CDTF">2026-08-05T10:09:14Z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Vastutaja">
    <vt:lpwstr/>
  </property>
  <property fmtid="{D5CDD505-2E9C-101B-9397-08002B2CF9AE}" pid="4" name="Lisainfo">
    <vt:lpwstr/>
  </property>
  <property fmtid="{D5CDD505-2E9C-101B-9397-08002B2CF9AE}" pid="5" name="MSIP_Label_8cbe7764-b9ce-4c4d-95f5-9a7e7bcac646_Enabled">
    <vt:lpwstr>true</vt:lpwstr>
  </property>
  <property fmtid="{D5CDD505-2E9C-101B-9397-08002B2CF9AE}" pid="6" name="MSIP_Label_8cbe7764-b9ce-4c4d-95f5-9a7e7bcac646_SetDate">
    <vt:lpwstr>2026-07-16T09:10:11Z</vt:lpwstr>
  </property>
  <property fmtid="{D5CDD505-2E9C-101B-9397-08002B2CF9AE}" pid="7" name="MSIP_Label_8cbe7764-b9ce-4c4d-95f5-9a7e7bcac646_Method">
    <vt:lpwstr>Standard</vt:lpwstr>
  </property>
  <property fmtid="{D5CDD505-2E9C-101B-9397-08002B2CF9AE}" pid="8" name="MSIP_Label_8cbe7764-b9ce-4c4d-95f5-9a7e7bcac646_Name">
    <vt:lpwstr>SIM VA - sisemine kasutus</vt:lpwstr>
  </property>
  <property fmtid="{D5CDD505-2E9C-101B-9397-08002B2CF9AE}" pid="9" name="MSIP_Label_8cbe7764-b9ce-4c4d-95f5-9a7e7bcac646_SiteId">
    <vt:lpwstr>7bae085e-3093-4c05-8334-7a5421e0af07</vt:lpwstr>
  </property>
  <property fmtid="{D5CDD505-2E9C-101B-9397-08002B2CF9AE}" pid="10" name="MSIP_Label_8cbe7764-b9ce-4c4d-95f5-9a7e7bcac646_ActionId">
    <vt:lpwstr>c867007e-1b4d-486a-acf0-78c76ddf3eee</vt:lpwstr>
  </property>
  <property fmtid="{D5CDD505-2E9C-101B-9397-08002B2CF9AE}" pid="11" name="MSIP_Label_8cbe7764-b9ce-4c4d-95f5-9a7e7bcac646_ContentBits">
    <vt:lpwstr>0</vt:lpwstr>
  </property>
  <property fmtid="{D5CDD505-2E9C-101B-9397-08002B2CF9AE}" pid="12" name="MSIP_Label_8cbe7764-b9ce-4c4d-95f5-9a7e7bcac646_Tag">
    <vt:lpwstr>10, 3, 0, 1</vt:lpwstr>
  </property>
</Properties>
</file>