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Märt\Digipööre\2024\MKMile\Versioon peale küsimusi\Versioon peale kaitsmist\"/>
    </mc:Choice>
  </mc:AlternateContent>
  <xr:revisionPtr revIDLastSave="0" documentId="13_ncr:1_{D1F41CEF-30B1-4293-8998-216B66FFABED}" xr6:coauthVersionLast="47" xr6:coauthVersionMax="47" xr10:uidLastSave="{00000000-0000-0000-0000-000000000000}"/>
  <bookViews>
    <workbookView xWindow="-38520" yWindow="-3225" windowWidth="38640" windowHeight="21240" tabRatio="692" xr2:uid="{00000000-000D-0000-FFFF-FFFF00000000}"/>
  </bookViews>
  <sheets>
    <sheet name="kuni 2025 detsember tegevuskava" sheetId="10" r:id="rId1"/>
    <sheet name="Seirearuanne" sheetId="24" r:id="rId2"/>
    <sheet name="KK_lisa" sheetId="22" r:id="rId3"/>
    <sheet name="Tegevuskava" sheetId="23" r:id="rId4"/>
    <sheet name="Ettekande arvutused" sheetId="26" r:id="rId5"/>
    <sheet name="Personal" sheetId="27" r:id="rId6"/>
  </sheets>
  <externalReferences>
    <externalReference r:id="rId7"/>
  </externalReferences>
  <definedNames>
    <definedName name="_xlnm._FilterDatabase" localSheetId="0" hidden="1">'kuni 2025 detsember tegevuskava'!$A$33:$AQ$95</definedName>
    <definedName name="JAH_EI">[1]Üldandmed!$E$3:$E$4</definedName>
    <definedName name="KUUS_TASET">[1]Üldandmed!$F$3:$F$9</definedName>
    <definedName name="_xlnm.Print_Area" localSheetId="3">Tegevuskava!$B$2:$P$565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 i="10" l="1"/>
  <c r="AD37" i="10" s="1"/>
  <c r="AG37" i="10" s="1"/>
  <c r="L7" i="27"/>
  <c r="AG59" i="10"/>
  <c r="AD38" i="10"/>
  <c r="AG38" i="10" s="1"/>
  <c r="L9" i="27"/>
  <c r="L8" i="27"/>
  <c r="L51" i="27" l="1"/>
  <c r="L18" i="27" l="1"/>
  <c r="AH63" i="10"/>
  <c r="AD63" i="10"/>
  <c r="AG63" i="10"/>
  <c r="AE63" i="10"/>
  <c r="S18" i="27" l="1"/>
  <c r="AD59" i="10" l="1"/>
  <c r="AA59" i="10"/>
  <c r="S36" i="27" l="1"/>
  <c r="S37" i="27"/>
  <c r="S41" i="27"/>
  <c r="S42" i="27"/>
  <c r="S44" i="27"/>
  <c r="S45" i="27"/>
  <c r="S46" i="27"/>
  <c r="S13" i="27"/>
  <c r="S14" i="27"/>
  <c r="S15" i="27"/>
  <c r="S16" i="27"/>
  <c r="S17" i="27"/>
  <c r="H53" i="26"/>
  <c r="AI35" i="10" l="1"/>
  <c r="AF35" i="10"/>
  <c r="AC35" i="10"/>
  <c r="Z35" i="10"/>
  <c r="S43" i="27"/>
  <c r="L40" i="27"/>
  <c r="S40" i="27" s="1"/>
  <c r="L39" i="27"/>
  <c r="S39" i="27" s="1"/>
  <c r="L38" i="27"/>
  <c r="S38" i="27" s="1"/>
  <c r="S35" i="27"/>
  <c r="S34" i="27"/>
  <c r="L33" i="27"/>
  <c r="S33" i="27" s="1"/>
  <c r="L29" i="27"/>
  <c r="S29" i="27" s="1"/>
  <c r="L28" i="27"/>
  <c r="S28" i="27" s="1"/>
  <c r="L27" i="27"/>
  <c r="S27" i="27" s="1"/>
  <c r="L26" i="27"/>
  <c r="S26" i="27" s="1"/>
  <c r="S25" i="27"/>
  <c r="L24" i="27"/>
  <c r="L23" i="27"/>
  <c r="S23" i="27" s="1"/>
  <c r="L22" i="27"/>
  <c r="S22" i="27" s="1"/>
  <c r="L21" i="27"/>
  <c r="S21" i="27" s="1"/>
  <c r="S20" i="27"/>
  <c r="S19" i="27"/>
  <c r="AC91" i="10"/>
  <c r="Z91" i="10"/>
  <c r="AC89" i="10"/>
  <c r="AJ88" i="10"/>
  <c r="AM88" i="10" s="1"/>
  <c r="AG88" i="10"/>
  <c r="AG87" i="10"/>
  <c r="AJ87" i="10" s="1"/>
  <c r="AM87" i="10" s="1"/>
  <c r="AD87" i="10"/>
  <c r="AB87" i="10"/>
  <c r="AH85" i="10"/>
  <c r="AN84" i="10"/>
  <c r="AK79" i="10"/>
  <c r="AN79" i="10" s="1"/>
  <c r="AD75" i="10"/>
  <c r="AG75" i="10" s="1"/>
  <c r="AJ75" i="10" s="1"/>
  <c r="AM75" i="10" s="1"/>
  <c r="AA75" i="10"/>
  <c r="AK69" i="10"/>
  <c r="AN69" i="10" s="1"/>
  <c r="AG66" i="10"/>
  <c r="AD66" i="10"/>
  <c r="AF65" i="10"/>
  <c r="AC65" i="10"/>
  <c r="AD64" i="10"/>
  <c r="AA64" i="10"/>
  <c r="AA46" i="10"/>
  <c r="AD46" i="10" s="1"/>
  <c r="AG46" i="10" s="1"/>
  <c r="AJ46" i="10" s="1"/>
  <c r="AM46" i="10" s="1"/>
  <c r="Z44" i="10"/>
  <c r="AC44" i="10" s="1"/>
  <c r="S24" i="27" l="1"/>
  <c r="L12" i="27"/>
  <c r="S12" i="27" s="1"/>
  <c r="L10" i="27"/>
  <c r="S10" i="27" s="1"/>
  <c r="L11" i="27"/>
  <c r="S11" i="27" s="1"/>
  <c r="L50" i="27"/>
  <c r="G53" i="26"/>
  <c r="I53" i="26"/>
  <c r="E53" i="26"/>
  <c r="F71" i="26"/>
  <c r="F53" i="26" s="1"/>
  <c r="F9" i="26"/>
  <c r="E9" i="26"/>
  <c r="F8" i="26"/>
  <c r="E8" i="26"/>
  <c r="F7" i="26"/>
  <c r="E7" i="26"/>
  <c r="L49" i="27" l="1"/>
  <c r="S8" i="27"/>
  <c r="D19" i="10" l="1"/>
  <c r="C22" i="22" l="1"/>
  <c r="D22" i="22"/>
  <c r="E22" i="22"/>
  <c r="F22" i="22"/>
  <c r="G22" i="22"/>
  <c r="H22" i="22"/>
  <c r="I22" i="22"/>
  <c r="B22" i="22"/>
  <c r="S7" i="27"/>
  <c r="S6" i="27"/>
  <c r="S5" i="27"/>
  <c r="Z37" i="24" l="1"/>
  <c r="AH35" i="24"/>
  <c r="AE35" i="24"/>
  <c r="AB35" i="24"/>
  <c r="Y35" i="24"/>
  <c r="AE106" i="10" l="1"/>
  <c r="AD106" i="10"/>
  <c r="AC106" i="10"/>
  <c r="AB106" i="10"/>
  <c r="AA106" i="10"/>
  <c r="Z106" i="10"/>
  <c r="Y106" i="10"/>
  <c r="X106" i="10"/>
  <c r="W106" i="10"/>
  <c r="AE103" i="10"/>
  <c r="AD103" i="10"/>
  <c r="AC103" i="10"/>
  <c r="AB103" i="10"/>
  <c r="AA103" i="10"/>
  <c r="Z103" i="10"/>
  <c r="Y103" i="10"/>
  <c r="X103" i="10"/>
  <c r="W103" i="10"/>
  <c r="AE100" i="10"/>
  <c r="AD100" i="10"/>
  <c r="AC100" i="10"/>
  <c r="AB100" i="10"/>
  <c r="AA100" i="10"/>
  <c r="Z100" i="10"/>
  <c r="Y100" i="10"/>
  <c r="X100" i="10"/>
  <c r="W100" i="10"/>
  <c r="AE97" i="10"/>
  <c r="AD97" i="10"/>
  <c r="AC97" i="10"/>
  <c r="AB97" i="10"/>
  <c r="AA97" i="10"/>
  <c r="Z97" i="10"/>
  <c r="Y97" i="10"/>
  <c r="X97" i="10"/>
  <c r="W97" i="10"/>
  <c r="F16" i="23" l="1" a="1"/>
  <c r="F16" i="23" s="1"/>
  <c r="D16" i="23" a="1"/>
  <c r="D16" i="23" s="1"/>
  <c r="E16" i="23" a="1"/>
  <c r="E16" i="23" s="1"/>
  <c r="R39" i="10"/>
  <c r="V35" i="10" l="1"/>
  <c r="U36" i="24"/>
  <c r="V94"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I54" i="26"/>
  <c r="H54" i="26"/>
  <c r="G54" i="26"/>
  <c r="F54" i="26"/>
  <c r="E54" i="26"/>
  <c r="D54" i="26"/>
  <c r="C42" i="26"/>
  <c r="H82" i="26"/>
  <c r="E8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E11" i="10"/>
  <c r="D11" i="10"/>
  <c r="C11" i="10"/>
  <c r="B11" i="10" l="1"/>
  <c r="D7" i="24"/>
  <c r="D10" i="24"/>
  <c r="D14" i="24"/>
  <c r="D13" i="24"/>
  <c r="D6" i="24"/>
  <c r="G71" i="26"/>
  <c r="C71" i="26"/>
  <c r="H83" i="26"/>
  <c r="H81" i="26"/>
  <c r="H80" i="26"/>
  <c r="H79" i="26"/>
  <c r="H78" i="26"/>
  <c r="H77" i="26"/>
  <c r="H76" i="26"/>
  <c r="H75" i="26"/>
  <c r="H74" i="26"/>
  <c r="H73" i="26"/>
  <c r="H72" i="26"/>
  <c r="E72" i="26"/>
  <c r="E73" i="26"/>
  <c r="E74" i="26"/>
  <c r="E75" i="26"/>
  <c r="E76" i="26"/>
  <c r="E77" i="26"/>
  <c r="E78" i="26"/>
  <c r="E79" i="26"/>
  <c r="E80" i="26"/>
  <c r="E81" i="26"/>
  <c r="E83" i="26"/>
  <c r="E350" i="23"/>
  <c r="G35" i="23" a="1"/>
  <c r="G35" i="23" s="1"/>
  <c r="E35" i="23"/>
  <c r="K110" i="23"/>
  <c r="K109" i="23"/>
  <c r="K108" i="23"/>
  <c r="O263" i="23"/>
  <c r="O268" i="23" s="1"/>
  <c r="O254" i="23"/>
  <c r="O259" i="23" s="1"/>
  <c r="O262" i="23"/>
  <c r="O267" i="23" s="1"/>
  <c r="O253" i="23"/>
  <c r="O258" i="23" s="1"/>
  <c r="O261" i="23"/>
  <c r="M263" i="23"/>
  <c r="M268" i="23" s="1"/>
  <c r="O252" i="23"/>
  <c r="M262" i="23"/>
  <c r="M267" i="23" s="1"/>
  <c r="M261" i="23"/>
  <c r="M254" i="23"/>
  <c r="M259" i="23" s="1"/>
  <c r="K263" i="23"/>
  <c r="K268" i="23" s="1"/>
  <c r="M253" i="23"/>
  <c r="M258" i="23" s="1"/>
  <c r="K262" i="23"/>
  <c r="K267" i="23" s="1"/>
  <c r="M252" i="23"/>
  <c r="M257" i="23" s="1"/>
  <c r="K261" i="23"/>
  <c r="K266" i="23" s="1"/>
  <c r="K254" i="23"/>
  <c r="K259" i="23" s="1"/>
  <c r="K253" i="23"/>
  <c r="K258" i="23" s="1"/>
  <c r="K252" i="23"/>
  <c r="K257" i="23" s="1"/>
  <c r="O272" i="23"/>
  <c r="O277" i="23" s="1"/>
  <c r="O271" i="23"/>
  <c r="O276" i="23" s="1"/>
  <c r="O270" i="23"/>
  <c r="O275" i="23" s="1"/>
  <c r="M272" i="23"/>
  <c r="M277" i="23" s="1"/>
  <c r="M271" i="23"/>
  <c r="M276" i="23" s="1"/>
  <c r="M270" i="23"/>
  <c r="K272" i="23"/>
  <c r="O245" i="23"/>
  <c r="O250" i="23" s="1"/>
  <c r="K271" i="23"/>
  <c r="K276" i="23" s="1"/>
  <c r="O244" i="23"/>
  <c r="O249" i="23" s="1"/>
  <c r="K270" i="23"/>
  <c r="K275" i="23" s="1"/>
  <c r="O243" i="23"/>
  <c r="O248" i="23" s="1"/>
  <c r="M245" i="23"/>
  <c r="M250" i="23" s="1"/>
  <c r="M244" i="23"/>
  <c r="M249" i="23" s="1"/>
  <c r="O281" i="23"/>
  <c r="O286" i="23" s="1"/>
  <c r="M243" i="23"/>
  <c r="O280" i="23"/>
  <c r="O285" i="23" s="1"/>
  <c r="O279" i="23"/>
  <c r="K245" i="23"/>
  <c r="K250" i="23" s="1"/>
  <c r="M281" i="23"/>
  <c r="M286" i="23" s="1"/>
  <c r="M280" i="23"/>
  <c r="M285" i="23" s="1"/>
  <c r="K244" i="23"/>
  <c r="K249" i="23" s="1"/>
  <c r="M279" i="23"/>
  <c r="K281" i="23"/>
  <c r="K286" i="23" s="1"/>
  <c r="K280" i="23"/>
  <c r="K285" i="23" s="1"/>
  <c r="K243" i="23"/>
  <c r="K279" i="23"/>
  <c r="K284" i="23" s="1"/>
  <c r="O290" i="23"/>
  <c r="O295" i="23" s="1"/>
  <c r="O289" i="23"/>
  <c r="O294" i="23" s="1"/>
  <c r="O288" i="23"/>
  <c r="M290" i="23"/>
  <c r="M295" i="23" s="1"/>
  <c r="M289" i="23"/>
  <c r="M294" i="23" s="1"/>
  <c r="O236" i="23"/>
  <c r="O241" i="23" s="1"/>
  <c r="M288" i="23"/>
  <c r="O235" i="23"/>
  <c r="O240" i="23" s="1"/>
  <c r="K290" i="23"/>
  <c r="O234" i="23"/>
  <c r="O239" i="23" s="1"/>
  <c r="K289" i="23"/>
  <c r="K294" i="23" s="1"/>
  <c r="K288" i="23"/>
  <c r="K293" i="23" s="1"/>
  <c r="O299" i="23"/>
  <c r="O304" i="23" s="1"/>
  <c r="O298" i="23"/>
  <c r="O303" i="23" s="1"/>
  <c r="O297" i="23"/>
  <c r="O302" i="23" s="1"/>
  <c r="M236" i="23"/>
  <c r="M241" i="23" s="1"/>
  <c r="M299" i="23"/>
  <c r="M304" i="23" s="1"/>
  <c r="M235" i="23"/>
  <c r="M240" i="23" s="1"/>
  <c r="M298" i="23"/>
  <c r="M303" i="23" s="1"/>
  <c r="M297" i="23"/>
  <c r="M234" i="23"/>
  <c r="M239" i="23" s="1"/>
  <c r="K299" i="23"/>
  <c r="K304" i="23" s="1"/>
  <c r="K236" i="23"/>
  <c r="K241" i="23" s="1"/>
  <c r="K298" i="23"/>
  <c r="K303" i="23" s="1"/>
  <c r="K235" i="23"/>
  <c r="K297" i="23"/>
  <c r="K302" i="23" s="1"/>
  <c r="K234" i="23"/>
  <c r="K239" i="23" s="1"/>
  <c r="O308" i="23"/>
  <c r="O313" i="23" s="1"/>
  <c r="O307" i="23"/>
  <c r="O312" i="23" s="1"/>
  <c r="O306" i="23"/>
  <c r="O311" i="23" s="1"/>
  <c r="O227" i="23"/>
  <c r="O232" i="23" s="1"/>
  <c r="M308" i="23"/>
  <c r="M313" i="23" s="1"/>
  <c r="M307" i="23"/>
  <c r="O226" i="23"/>
  <c r="M306" i="23"/>
  <c r="O225" i="23"/>
  <c r="O230" i="23" s="1"/>
  <c r="K308" i="23"/>
  <c r="K307" i="23"/>
  <c r="K312" i="23" s="1"/>
  <c r="M227" i="23"/>
  <c r="M232" i="23" s="1"/>
  <c r="M226" i="23"/>
  <c r="K306" i="23"/>
  <c r="K311" i="23" s="1"/>
  <c r="M225" i="23"/>
  <c r="M230" i="23" s="1"/>
  <c r="O317" i="23"/>
  <c r="O322" i="23" s="1"/>
  <c r="K227" i="23"/>
  <c r="K232" i="23" s="1"/>
  <c r="O316" i="23"/>
  <c r="O321" i="23" s="1"/>
  <c r="O315" i="23"/>
  <c r="O320" i="23" s="1"/>
  <c r="K226" i="23"/>
  <c r="M317" i="23"/>
  <c r="M322" i="23" s="1"/>
  <c r="M316" i="23"/>
  <c r="M321" i="23" s="1"/>
  <c r="K225" i="23"/>
  <c r="K230" i="23" s="1"/>
  <c r="M315" i="23"/>
  <c r="K317" i="23"/>
  <c r="K316" i="23"/>
  <c r="K321" i="23" s="1"/>
  <c r="K315" i="23"/>
  <c r="O326" i="23"/>
  <c r="O331" i="23" s="1"/>
  <c r="O218" i="23"/>
  <c r="O223" i="23" s="1"/>
  <c r="O325" i="23"/>
  <c r="O330" i="23" s="1"/>
  <c r="O324" i="23"/>
  <c r="O329" i="23" s="1"/>
  <c r="O217" i="23"/>
  <c r="O222" i="23" s="1"/>
  <c r="M326" i="23"/>
  <c r="M331" i="23" s="1"/>
  <c r="O216" i="23"/>
  <c r="O221" i="23" s="1"/>
  <c r="M325" i="23"/>
  <c r="M330" i="23" s="1"/>
  <c r="M324" i="23"/>
  <c r="M329" i="23" s="1"/>
  <c r="M218" i="23"/>
  <c r="M223" i="23" s="1"/>
  <c r="K326" i="23"/>
  <c r="M217" i="23"/>
  <c r="M222" i="23" s="1"/>
  <c r="K325" i="23"/>
  <c r="K330" i="23" s="1"/>
  <c r="M216" i="23"/>
  <c r="M221" i="23" s="1"/>
  <c r="K218" i="23"/>
  <c r="K223" i="23" s="1"/>
  <c r="K324" i="23"/>
  <c r="K329" i="23" s="1"/>
  <c r="K217" i="23"/>
  <c r="K222" i="23" s="1"/>
  <c r="O335" i="23"/>
  <c r="O340" i="23" s="1"/>
  <c r="O334" i="23"/>
  <c r="O339" i="23" s="1"/>
  <c r="K216" i="23"/>
  <c r="O333" i="23"/>
  <c r="O338" i="23" s="1"/>
  <c r="M335" i="23"/>
  <c r="M340" i="23" s="1"/>
  <c r="M334" i="23"/>
  <c r="M333" i="23"/>
  <c r="K335" i="23"/>
  <c r="K340" i="23" s="1"/>
  <c r="K334" i="23"/>
  <c r="K339" i="23" s="1"/>
  <c r="K333" i="23"/>
  <c r="K338" i="23" s="1"/>
  <c r="O200" i="23"/>
  <c r="O199" i="23"/>
  <c r="O204" i="23" s="1"/>
  <c r="O344" i="23"/>
  <c r="O349" i="23" s="1"/>
  <c r="O343" i="23"/>
  <c r="O348" i="23" s="1"/>
  <c r="O198" i="23"/>
  <c r="O203" i="23" s="1"/>
  <c r="O342" i="23"/>
  <c r="M344" i="23"/>
  <c r="M349" i="23" s="1"/>
  <c r="M343" i="23"/>
  <c r="M342" i="23"/>
  <c r="K344" i="23"/>
  <c r="K349" i="23" s="1"/>
  <c r="K343" i="23"/>
  <c r="K348" i="23" s="1"/>
  <c r="M200" i="23"/>
  <c r="M205" i="23" s="1"/>
  <c r="K342" i="23"/>
  <c r="K347" i="23" s="1"/>
  <c r="O353" i="23"/>
  <c r="O358" i="23" s="1"/>
  <c r="O352" i="23"/>
  <c r="O357" i="23" s="1"/>
  <c r="O351" i="23"/>
  <c r="O356" i="23" s="1"/>
  <c r="M199" i="23"/>
  <c r="M204" i="23" s="1"/>
  <c r="M353" i="23"/>
  <c r="M358" i="23" s="1"/>
  <c r="M352" i="23"/>
  <c r="M357" i="23" s="1"/>
  <c r="M198" i="23"/>
  <c r="M203" i="23" s="1"/>
  <c r="M351" i="23"/>
  <c r="K353" i="23"/>
  <c r="K200" i="23"/>
  <c r="K205" i="23" s="1"/>
  <c r="K352" i="23"/>
  <c r="K357" i="23" s="1"/>
  <c r="K199" i="23"/>
  <c r="K204" i="23" s="1"/>
  <c r="K198" i="23"/>
  <c r="K351" i="23"/>
  <c r="O362" i="23"/>
  <c r="O367" i="23" s="1"/>
  <c r="O361" i="23"/>
  <c r="O366" i="23" s="1"/>
  <c r="O191" i="23"/>
  <c r="O196" i="23" s="1"/>
  <c r="O360" i="23"/>
  <c r="O365" i="23" s="1"/>
  <c r="O190" i="23"/>
  <c r="O195" i="23" s="1"/>
  <c r="O189" i="23"/>
  <c r="O194" i="23" s="1"/>
  <c r="M191" i="23"/>
  <c r="M196" i="23" s="1"/>
  <c r="M362" i="23"/>
  <c r="M367" i="23" s="1"/>
  <c r="M190" i="23"/>
  <c r="M361" i="23"/>
  <c r="M366" i="23" s="1"/>
  <c r="M189" i="23"/>
  <c r="M194" i="23" s="1"/>
  <c r="M360" i="23"/>
  <c r="M365" i="23" s="1"/>
  <c r="K191" i="23"/>
  <c r="K362" i="23"/>
  <c r="K367" i="23" s="1"/>
  <c r="K361" i="23"/>
  <c r="K366" i="23" s="1"/>
  <c r="K360" i="23"/>
  <c r="K365" i="23" s="1"/>
  <c r="O371" i="23"/>
  <c r="O376" i="23" s="1"/>
  <c r="O370" i="23"/>
  <c r="O375" i="23" s="1"/>
  <c r="O369" i="23"/>
  <c r="O374" i="23" s="1"/>
  <c r="M371" i="23"/>
  <c r="M376" i="23" s="1"/>
  <c r="M370" i="23"/>
  <c r="M375" i="23" s="1"/>
  <c r="M369" i="23"/>
  <c r="M374" i="23" s="1"/>
  <c r="K371" i="23"/>
  <c r="K376" i="23" s="1"/>
  <c r="K370" i="23"/>
  <c r="K375" i="23" s="1"/>
  <c r="K190" i="23"/>
  <c r="K195" i="23" s="1"/>
  <c r="K369" i="23"/>
  <c r="K374" i="23" s="1"/>
  <c r="K189" i="23"/>
  <c r="O380" i="23"/>
  <c r="O385" i="23" s="1"/>
  <c r="O379" i="23"/>
  <c r="O384" i="23" s="1"/>
  <c r="O182" i="23"/>
  <c r="O187" i="23" s="1"/>
  <c r="O378" i="23"/>
  <c r="O181" i="23"/>
  <c r="O186" i="23" s="1"/>
  <c r="M380" i="23"/>
  <c r="M385" i="23" s="1"/>
  <c r="O180" i="23"/>
  <c r="M379" i="23"/>
  <c r="M384" i="23" s="1"/>
  <c r="M182" i="23"/>
  <c r="M187" i="23" s="1"/>
  <c r="M378" i="23"/>
  <c r="M181" i="23"/>
  <c r="K380" i="23"/>
  <c r="K385" i="23" s="1"/>
  <c r="K379" i="23"/>
  <c r="K384" i="23" s="1"/>
  <c r="M180" i="23"/>
  <c r="M185" i="23" s="1"/>
  <c r="K378" i="23"/>
  <c r="K182" i="23"/>
  <c r="K187" i="23" s="1"/>
  <c r="K181" i="23"/>
  <c r="K180" i="23"/>
  <c r="K185" i="23" s="1"/>
  <c r="O389" i="23"/>
  <c r="O394" i="23" s="1"/>
  <c r="O388" i="23"/>
  <c r="O393" i="23" s="1"/>
  <c r="O387" i="23"/>
  <c r="M389" i="23"/>
  <c r="M394" i="23" s="1"/>
  <c r="O173" i="23"/>
  <c r="O178" i="23" s="1"/>
  <c r="M388" i="23"/>
  <c r="M393" i="23" s="1"/>
  <c r="M387" i="23"/>
  <c r="M392" i="23" s="1"/>
  <c r="O172" i="23"/>
  <c r="O177" i="23" s="1"/>
  <c r="K389" i="23"/>
  <c r="K394" i="23" s="1"/>
  <c r="O171" i="23"/>
  <c r="O176" i="23" s="1"/>
  <c r="K388" i="23"/>
  <c r="K393" i="23" s="1"/>
  <c r="M173" i="23"/>
  <c r="M178" i="23" s="1"/>
  <c r="K387" i="23"/>
  <c r="K392" i="23" s="1"/>
  <c r="M172" i="23"/>
  <c r="M177" i="23" s="1"/>
  <c r="O398" i="23"/>
  <c r="O403" i="23" s="1"/>
  <c r="M171" i="23"/>
  <c r="M176" i="23" s="1"/>
  <c r="O397" i="23"/>
  <c r="O402" i="23" s="1"/>
  <c r="O396" i="23"/>
  <c r="K173" i="23"/>
  <c r="M398" i="23"/>
  <c r="M403" i="23" s="1"/>
  <c r="M397" i="23"/>
  <c r="M402" i="23" s="1"/>
  <c r="K172" i="23"/>
  <c r="K177" i="23" s="1"/>
  <c r="M396" i="23"/>
  <c r="M401" i="23" s="1"/>
  <c r="K171" i="23"/>
  <c r="K176" i="23" s="1"/>
  <c r="K398" i="23"/>
  <c r="K397" i="23"/>
  <c r="K402" i="23" s="1"/>
  <c r="K396" i="23"/>
  <c r="K401" i="23" s="1"/>
  <c r="O163" i="23"/>
  <c r="O168" i="23" s="1"/>
  <c r="O164" i="23"/>
  <c r="O169" i="23" s="1"/>
  <c r="O162" i="23"/>
  <c r="O167" i="23" s="1"/>
  <c r="M164" i="23"/>
  <c r="M169" i="23" s="1"/>
  <c r="M163" i="23"/>
  <c r="M168" i="23" s="1"/>
  <c r="M162" i="23"/>
  <c r="M167" i="23" s="1"/>
  <c r="K164" i="23"/>
  <c r="K169" i="23" s="1"/>
  <c r="O407" i="23"/>
  <c r="O412" i="23" s="1"/>
  <c r="O406" i="23"/>
  <c r="O411" i="23" s="1"/>
  <c r="O405" i="23"/>
  <c r="O410" i="23" s="1"/>
  <c r="M407" i="23"/>
  <c r="M412" i="23" s="1"/>
  <c r="M406" i="23"/>
  <c r="M405" i="23"/>
  <c r="M410" i="23" s="1"/>
  <c r="K407" i="23"/>
  <c r="K406" i="23"/>
  <c r="K411" i="23" s="1"/>
  <c r="K405" i="23"/>
  <c r="K410" i="23" s="1"/>
  <c r="O416" i="23"/>
  <c r="O421" i="23" s="1"/>
  <c r="O415" i="23"/>
  <c r="O420" i="23" s="1"/>
  <c r="O414" i="23"/>
  <c r="M416" i="23"/>
  <c r="M421" i="23" s="1"/>
  <c r="M415" i="23"/>
  <c r="M420" i="23" s="1"/>
  <c r="M414" i="23"/>
  <c r="K416" i="23"/>
  <c r="K415" i="23"/>
  <c r="K420" i="23" s="1"/>
  <c r="K414" i="23"/>
  <c r="K419" i="23" s="1"/>
  <c r="O425" i="23"/>
  <c r="O430" i="23" s="1"/>
  <c r="O424" i="23"/>
  <c r="O429" i="23" s="1"/>
  <c r="O423" i="23"/>
  <c r="M425" i="23"/>
  <c r="M430" i="23" s="1"/>
  <c r="M424" i="23"/>
  <c r="M423" i="23"/>
  <c r="M428" i="23" s="1"/>
  <c r="K425" i="23"/>
  <c r="K430" i="23" s="1"/>
  <c r="K424" i="23"/>
  <c r="K429" i="23" s="1"/>
  <c r="K423" i="23"/>
  <c r="K428" i="23" s="1"/>
  <c r="O434" i="23"/>
  <c r="O439" i="23" s="1"/>
  <c r="O433" i="23"/>
  <c r="O438" i="23" s="1"/>
  <c r="O432" i="23"/>
  <c r="M434" i="23"/>
  <c r="M439" i="23" s="1"/>
  <c r="M433" i="23"/>
  <c r="M438" i="23" s="1"/>
  <c r="M432" i="23"/>
  <c r="M437" i="23" s="1"/>
  <c r="K434" i="23"/>
  <c r="K439" i="23" s="1"/>
  <c r="K433" i="23"/>
  <c r="K438" i="23" s="1"/>
  <c r="K163" i="23"/>
  <c r="K168" i="23" s="1"/>
  <c r="K162" i="23"/>
  <c r="K167" i="23" s="1"/>
  <c r="K432" i="23"/>
  <c r="K437" i="23" s="1"/>
  <c r="O443" i="23"/>
  <c r="O442" i="23"/>
  <c r="O447" i="23" s="1"/>
  <c r="O441" i="23"/>
  <c r="O446" i="23" s="1"/>
  <c r="M443" i="23"/>
  <c r="M448" i="23" s="1"/>
  <c r="M442" i="23"/>
  <c r="M447" i="23" s="1"/>
  <c r="M441" i="23"/>
  <c r="M446" i="23" s="1"/>
  <c r="K443" i="23"/>
  <c r="K448" i="23" s="1"/>
  <c r="O155" i="23"/>
  <c r="O160" i="23" s="1"/>
  <c r="K442" i="23"/>
  <c r="K447" i="23" s="1"/>
  <c r="O154" i="23"/>
  <c r="O159" i="23" s="1"/>
  <c r="O153" i="23"/>
  <c r="O158" i="23" s="1"/>
  <c r="K441" i="23"/>
  <c r="K446" i="23" s="1"/>
  <c r="M155" i="23"/>
  <c r="M160" i="23" s="1"/>
  <c r="M154" i="23"/>
  <c r="M159" i="23" s="1"/>
  <c r="M153" i="23"/>
  <c r="M158" i="23" s="1"/>
  <c r="O452" i="23"/>
  <c r="O457" i="23" s="1"/>
  <c r="K155" i="23"/>
  <c r="O451" i="23"/>
  <c r="K154" i="23"/>
  <c r="K159" i="23" s="1"/>
  <c r="K153" i="23"/>
  <c r="K158" i="23" s="1"/>
  <c r="O450" i="23"/>
  <c r="M452" i="23"/>
  <c r="M457" i="23" s="1"/>
  <c r="M451" i="23"/>
  <c r="M456" i="23" s="1"/>
  <c r="M450" i="23"/>
  <c r="K452" i="23"/>
  <c r="K457" i="23" s="1"/>
  <c r="K451" i="23"/>
  <c r="K456" i="23" s="1"/>
  <c r="K450" i="23"/>
  <c r="O461" i="23"/>
  <c r="O466" i="23" s="1"/>
  <c r="O460" i="23"/>
  <c r="O465" i="23" s="1"/>
  <c r="O459" i="23"/>
  <c r="M461" i="23"/>
  <c r="M466" i="23" s="1"/>
  <c r="M460" i="23"/>
  <c r="M465" i="23" s="1"/>
  <c r="M459" i="23"/>
  <c r="M464" i="23" s="1"/>
  <c r="K461" i="23"/>
  <c r="K460" i="23"/>
  <c r="K465" i="23" s="1"/>
  <c r="K459" i="23"/>
  <c r="K464" i="23" s="1"/>
  <c r="O470" i="23"/>
  <c r="O475" i="23" s="1"/>
  <c r="O469" i="23"/>
  <c r="O474" i="23" s="1"/>
  <c r="O468" i="23"/>
  <c r="M470" i="23"/>
  <c r="M469" i="23"/>
  <c r="M474" i="23" s="1"/>
  <c r="M468" i="23"/>
  <c r="K470" i="23"/>
  <c r="K475" i="23" s="1"/>
  <c r="K469" i="23"/>
  <c r="K474" i="23" s="1"/>
  <c r="K468" i="23"/>
  <c r="K473" i="23" s="1"/>
  <c r="O479" i="23"/>
  <c r="O484" i="23" s="1"/>
  <c r="O478" i="23"/>
  <c r="O483" i="23" s="1"/>
  <c r="O477" i="23"/>
  <c r="O482" i="23" s="1"/>
  <c r="M479" i="23"/>
  <c r="M484" i="23" s="1"/>
  <c r="M478" i="23"/>
  <c r="M477" i="23"/>
  <c r="K479" i="23"/>
  <c r="K478" i="23"/>
  <c r="K483" i="23" s="1"/>
  <c r="K477" i="23"/>
  <c r="K482" i="23" s="1"/>
  <c r="O488" i="23"/>
  <c r="O493" i="23" s="1"/>
  <c r="O487" i="23"/>
  <c r="O492" i="23" s="1"/>
  <c r="O486" i="23"/>
  <c r="O491" i="23" s="1"/>
  <c r="M488" i="23"/>
  <c r="M493" i="23" s="1"/>
  <c r="M487" i="23"/>
  <c r="M492" i="23" s="1"/>
  <c r="M486" i="23"/>
  <c r="M491" i="23" s="1"/>
  <c r="K488" i="23"/>
  <c r="K493" i="23" s="1"/>
  <c r="O146" i="23"/>
  <c r="K487" i="23"/>
  <c r="K492" i="23" s="1"/>
  <c r="O145" i="23"/>
  <c r="K486" i="23"/>
  <c r="O144" i="23"/>
  <c r="O497" i="23"/>
  <c r="O502" i="23" s="1"/>
  <c r="O496" i="23"/>
  <c r="O501" i="23" s="1"/>
  <c r="M146" i="23"/>
  <c r="O495" i="23"/>
  <c r="O500" i="23" s="1"/>
  <c r="M145" i="23"/>
  <c r="M497" i="23"/>
  <c r="M502" i="23" s="1"/>
  <c r="M496" i="23"/>
  <c r="M501" i="23" s="1"/>
  <c r="M144" i="23"/>
  <c r="M495" i="23"/>
  <c r="M500" i="23" s="1"/>
  <c r="K146" i="23"/>
  <c r="K497" i="23"/>
  <c r="K502" i="23" s="1"/>
  <c r="K496" i="23"/>
  <c r="K501" i="23" s="1"/>
  <c r="K145" i="23"/>
  <c r="K495" i="23"/>
  <c r="K144" i="23"/>
  <c r="O506" i="23"/>
  <c r="O511" i="23" s="1"/>
  <c r="O505" i="23"/>
  <c r="O510" i="23" s="1"/>
  <c r="O504" i="23"/>
  <c r="M506" i="23"/>
  <c r="M511" i="23" s="1"/>
  <c r="M505" i="23"/>
  <c r="M510" i="23" s="1"/>
  <c r="M504" i="23"/>
  <c r="K506" i="23"/>
  <c r="K511" i="23" s="1"/>
  <c r="K505" i="23"/>
  <c r="K510" i="23" s="1"/>
  <c r="K504" i="23"/>
  <c r="K509" i="23" s="1"/>
  <c r="O137" i="23"/>
  <c r="O515" i="23"/>
  <c r="O520" i="23" s="1"/>
  <c r="O136" i="23"/>
  <c r="O514" i="23"/>
  <c r="O519" i="23" s="1"/>
  <c r="O513" i="23"/>
  <c r="O135" i="23"/>
  <c r="M515" i="23"/>
  <c r="M520" i="23" s="1"/>
  <c r="M514" i="23"/>
  <c r="M519" i="23" s="1"/>
  <c r="M513" i="23"/>
  <c r="K515" i="23"/>
  <c r="K520" i="23" s="1"/>
  <c r="M137" i="23"/>
  <c r="K514" i="23"/>
  <c r="K519" i="23" s="1"/>
  <c r="M136" i="23"/>
  <c r="M135" i="23"/>
  <c r="K513" i="23"/>
  <c r="K518" i="23" s="1"/>
  <c r="K137" i="23"/>
  <c r="O524" i="23"/>
  <c r="O529" i="23" s="1"/>
  <c r="K136" i="23"/>
  <c r="O523" i="23"/>
  <c r="O528" i="23" s="1"/>
  <c r="K135" i="23"/>
  <c r="O522" i="23"/>
  <c r="M524" i="23"/>
  <c r="M529" i="23" s="1"/>
  <c r="M523" i="23"/>
  <c r="M528" i="23" s="1"/>
  <c r="M522" i="23"/>
  <c r="K524" i="23"/>
  <c r="K529" i="23" s="1"/>
  <c r="K523" i="23"/>
  <c r="K528" i="23" s="1"/>
  <c r="K522" i="23"/>
  <c r="O533" i="23"/>
  <c r="O538" i="23" s="1"/>
  <c r="O128" i="23"/>
  <c r="O532" i="23"/>
  <c r="O537" i="23" s="1"/>
  <c r="O531" i="23"/>
  <c r="O127" i="23"/>
  <c r="M533" i="23"/>
  <c r="M538" i="23" s="1"/>
  <c r="O126" i="23"/>
  <c r="M532" i="23"/>
  <c r="M537" i="23" s="1"/>
  <c r="M531" i="23"/>
  <c r="M128" i="23"/>
  <c r="K533" i="23"/>
  <c r="K538" i="23" s="1"/>
  <c r="K532" i="23"/>
  <c r="K537" i="23" s="1"/>
  <c r="M127" i="23"/>
  <c r="K531" i="23"/>
  <c r="K536" i="23" s="1"/>
  <c r="M126" i="23"/>
  <c r="O542" i="23"/>
  <c r="O547" i="23" s="1"/>
  <c r="K128" i="23"/>
  <c r="O541" i="23"/>
  <c r="O546" i="23" s="1"/>
  <c r="K127" i="23"/>
  <c r="O540" i="23"/>
  <c r="O545" i="23" s="1"/>
  <c r="M542" i="23"/>
  <c r="M547" i="23" s="1"/>
  <c r="M541" i="23"/>
  <c r="M546" i="23" s="1"/>
  <c r="M540" i="23"/>
  <c r="K542" i="23"/>
  <c r="K126" i="23"/>
  <c r="K541" i="23"/>
  <c r="K540" i="23"/>
  <c r="O119" i="23"/>
  <c r="O118" i="23"/>
  <c r="O117" i="23"/>
  <c r="O551" i="23"/>
  <c r="O556" i="23" s="1"/>
  <c r="O550" i="23"/>
  <c r="O555" i="23" s="1"/>
  <c r="M119" i="23"/>
  <c r="O549" i="23"/>
  <c r="M118" i="23"/>
  <c r="M551" i="23"/>
  <c r="M556" i="23" s="1"/>
  <c r="M550" i="23"/>
  <c r="M117" i="23"/>
  <c r="M549" i="23"/>
  <c r="M554" i="23" s="1"/>
  <c r="K551" i="23"/>
  <c r="K118" i="23"/>
  <c r="K550" i="23"/>
  <c r="K555" i="23" s="1"/>
  <c r="K119" i="23"/>
  <c r="K549" i="23"/>
  <c r="K554" i="23" s="1"/>
  <c r="K117" i="23"/>
  <c r="O110" i="23"/>
  <c r="O109" i="23"/>
  <c r="O108" i="23"/>
  <c r="M110" i="23"/>
  <c r="M109" i="23"/>
  <c r="M108" i="23"/>
  <c r="O560" i="23"/>
  <c r="O559" i="23"/>
  <c r="O564" i="23" s="1"/>
  <c r="O558" i="23"/>
  <c r="O101" i="23"/>
  <c r="O100" i="23"/>
  <c r="M560" i="23"/>
  <c r="M565" i="23" s="1"/>
  <c r="O99" i="23"/>
  <c r="M559" i="23"/>
  <c r="M564" i="23" s="1"/>
  <c r="M101" i="23"/>
  <c r="M558" i="23"/>
  <c r="M100" i="23"/>
  <c r="M99" i="23"/>
  <c r="K560" i="23"/>
  <c r="K565" i="23" s="1"/>
  <c r="K559" i="23"/>
  <c r="K564" i="23" s="1"/>
  <c r="K101" i="23"/>
  <c r="K558" i="23"/>
  <c r="K563" i="23" s="1"/>
  <c r="K100" i="23"/>
  <c r="K99" i="23"/>
  <c r="O92" i="23"/>
  <c r="O91" i="23"/>
  <c r="O90" i="23"/>
  <c r="M92" i="23"/>
  <c r="M91" i="23"/>
  <c r="M90" i="23"/>
  <c r="K92" i="23"/>
  <c r="K91" i="23"/>
  <c r="K90" i="23"/>
  <c r="M36" i="23"/>
  <c r="O83" i="23"/>
  <c r="O82" i="23"/>
  <c r="O81" i="23"/>
  <c r="M83" i="23"/>
  <c r="M82" i="23"/>
  <c r="M81" i="23"/>
  <c r="K83" i="23"/>
  <c r="K82" i="23"/>
  <c r="K81" i="23"/>
  <c r="O74" i="23"/>
  <c r="O73" i="23"/>
  <c r="M74" i="23"/>
  <c r="M73" i="23"/>
  <c r="K74" i="23"/>
  <c r="K73" i="23"/>
  <c r="O72" i="23"/>
  <c r="W127" i="10"/>
  <c r="M72" i="23"/>
  <c r="K72" i="23"/>
  <c r="X136" i="10"/>
  <c r="Y136" i="10"/>
  <c r="Z136" i="10"/>
  <c r="AA136" i="10"/>
  <c r="AB136" i="10"/>
  <c r="AC136" i="10"/>
  <c r="AD136" i="10"/>
  <c r="AE136" i="10"/>
  <c r="X133" i="10"/>
  <c r="Y133" i="10"/>
  <c r="Z133" i="10"/>
  <c r="AA133" i="10"/>
  <c r="AB133" i="10"/>
  <c r="AC133" i="10"/>
  <c r="AD133" i="10"/>
  <c r="AE133" i="10"/>
  <c r="X130" i="10"/>
  <c r="Y130" i="10"/>
  <c r="Z130" i="10"/>
  <c r="AA130" i="10"/>
  <c r="AB130" i="10"/>
  <c r="AC130" i="10"/>
  <c r="AD130" i="10"/>
  <c r="AE130" i="10"/>
  <c r="W136" i="10"/>
  <c r="W133" i="10"/>
  <c r="W130" i="10"/>
  <c r="P565" i="23"/>
  <c r="N565" i="23"/>
  <c r="L565" i="23"/>
  <c r="J565" i="23"/>
  <c r="P564" i="23"/>
  <c r="N564" i="23"/>
  <c r="L564" i="23"/>
  <c r="J564" i="23"/>
  <c r="P563" i="23"/>
  <c r="N563" i="23"/>
  <c r="L563" i="23"/>
  <c r="J563" i="23"/>
  <c r="P560" i="23"/>
  <c r="N560" i="23"/>
  <c r="L560" i="23"/>
  <c r="J560" i="23"/>
  <c r="P559" i="23"/>
  <c r="N559" i="23"/>
  <c r="L559" i="23"/>
  <c r="J559" i="23"/>
  <c r="P558" i="23"/>
  <c r="N558" i="23"/>
  <c r="L558" i="23"/>
  <c r="J558" i="23"/>
  <c r="P556" i="23"/>
  <c r="N556" i="23"/>
  <c r="L556" i="23"/>
  <c r="J556" i="23"/>
  <c r="P555" i="23"/>
  <c r="N555" i="23"/>
  <c r="L555" i="23"/>
  <c r="J555" i="23"/>
  <c r="P554" i="23"/>
  <c r="N554" i="23"/>
  <c r="L554" i="23"/>
  <c r="J554" i="23"/>
  <c r="P551" i="23"/>
  <c r="N551" i="23"/>
  <c r="L551" i="23"/>
  <c r="J551" i="23"/>
  <c r="P550" i="23"/>
  <c r="N550" i="23"/>
  <c r="L550" i="23"/>
  <c r="J550" i="23"/>
  <c r="P549" i="23"/>
  <c r="N549" i="23"/>
  <c r="L549" i="23"/>
  <c r="J549" i="23"/>
  <c r="P547" i="23"/>
  <c r="N547" i="23"/>
  <c r="L547" i="23"/>
  <c r="J547" i="23"/>
  <c r="P546" i="23"/>
  <c r="N546" i="23"/>
  <c r="L546" i="23"/>
  <c r="J546" i="23"/>
  <c r="P545" i="23"/>
  <c r="N545" i="23"/>
  <c r="L545" i="23"/>
  <c r="J545" i="23"/>
  <c r="P542" i="23"/>
  <c r="N542" i="23"/>
  <c r="L542" i="23"/>
  <c r="J542" i="23"/>
  <c r="P541" i="23"/>
  <c r="N541" i="23"/>
  <c r="L541" i="23"/>
  <c r="J541" i="23"/>
  <c r="P540" i="23"/>
  <c r="N540" i="23"/>
  <c r="L540" i="23"/>
  <c r="J540" i="23"/>
  <c r="X127" i="10"/>
  <c r="Y127" i="10"/>
  <c r="Z127" i="10"/>
  <c r="AA127" i="10"/>
  <c r="AB127" i="10"/>
  <c r="AC127" i="10"/>
  <c r="AD127" i="10"/>
  <c r="AE127" i="10"/>
  <c r="P538" i="23"/>
  <c r="N538" i="23"/>
  <c r="L538" i="23"/>
  <c r="J538" i="23"/>
  <c r="P537" i="23"/>
  <c r="N537" i="23"/>
  <c r="L537" i="23"/>
  <c r="J537" i="23"/>
  <c r="P536" i="23"/>
  <c r="N536" i="23"/>
  <c r="L536" i="23"/>
  <c r="J536" i="23"/>
  <c r="P533" i="23"/>
  <c r="N533" i="23"/>
  <c r="L533" i="23"/>
  <c r="J533" i="23"/>
  <c r="P532" i="23"/>
  <c r="N532" i="23"/>
  <c r="L532" i="23"/>
  <c r="J532" i="23"/>
  <c r="P531" i="23"/>
  <c r="N531" i="23"/>
  <c r="L531" i="23"/>
  <c r="J531" i="23"/>
  <c r="P529" i="23"/>
  <c r="N529" i="23"/>
  <c r="L529" i="23"/>
  <c r="J529" i="23"/>
  <c r="P528" i="23"/>
  <c r="N528" i="23"/>
  <c r="L528" i="23"/>
  <c r="J528" i="23"/>
  <c r="P527" i="23"/>
  <c r="N527" i="23"/>
  <c r="L527" i="23"/>
  <c r="J527" i="23"/>
  <c r="P524" i="23"/>
  <c r="N524" i="23"/>
  <c r="L524" i="23"/>
  <c r="J524" i="23"/>
  <c r="P523" i="23"/>
  <c r="N523" i="23"/>
  <c r="L523" i="23"/>
  <c r="J523" i="23"/>
  <c r="P522" i="23"/>
  <c r="N522" i="23"/>
  <c r="L522" i="23"/>
  <c r="J522" i="23"/>
  <c r="P520" i="23"/>
  <c r="N520" i="23"/>
  <c r="L520" i="23"/>
  <c r="J520" i="23"/>
  <c r="P519" i="23"/>
  <c r="N519" i="23"/>
  <c r="L519" i="23"/>
  <c r="J519" i="23"/>
  <c r="P518" i="23"/>
  <c r="N518" i="23"/>
  <c r="L518" i="23"/>
  <c r="J518" i="23"/>
  <c r="P515" i="23"/>
  <c r="N515" i="23"/>
  <c r="L515" i="23"/>
  <c r="J515" i="23"/>
  <c r="P514" i="23"/>
  <c r="N514" i="23"/>
  <c r="L514" i="23"/>
  <c r="J514" i="23"/>
  <c r="P513" i="23"/>
  <c r="N513" i="23"/>
  <c r="L513" i="23"/>
  <c r="J513" i="23"/>
  <c r="P511" i="23"/>
  <c r="N511" i="23"/>
  <c r="L511" i="23"/>
  <c r="J511" i="23"/>
  <c r="P510" i="23"/>
  <c r="N510" i="23"/>
  <c r="L510" i="23"/>
  <c r="J510" i="23"/>
  <c r="P509" i="23"/>
  <c r="N509" i="23"/>
  <c r="L509" i="23"/>
  <c r="J509" i="23"/>
  <c r="P506" i="23"/>
  <c r="N506" i="23"/>
  <c r="L506" i="23"/>
  <c r="J506" i="23"/>
  <c r="P505" i="23"/>
  <c r="N505" i="23"/>
  <c r="L505" i="23"/>
  <c r="J505" i="23"/>
  <c r="P504" i="23"/>
  <c r="N504" i="23"/>
  <c r="L504" i="23"/>
  <c r="J504" i="23"/>
  <c r="P502" i="23"/>
  <c r="N502" i="23"/>
  <c r="L502" i="23"/>
  <c r="J502" i="23"/>
  <c r="P501" i="23"/>
  <c r="N501" i="23"/>
  <c r="L501" i="23"/>
  <c r="J501" i="23"/>
  <c r="P500" i="23"/>
  <c r="N500" i="23"/>
  <c r="L500" i="23"/>
  <c r="J500" i="23"/>
  <c r="P497" i="23"/>
  <c r="N497" i="23"/>
  <c r="L497" i="23"/>
  <c r="J497" i="23"/>
  <c r="P496" i="23"/>
  <c r="N496" i="23"/>
  <c r="L496" i="23"/>
  <c r="J496" i="23"/>
  <c r="P495" i="23"/>
  <c r="N495" i="23"/>
  <c r="L495" i="23"/>
  <c r="J495" i="23"/>
  <c r="P493" i="23"/>
  <c r="N493" i="23"/>
  <c r="L493" i="23"/>
  <c r="J493" i="23"/>
  <c r="P492" i="23"/>
  <c r="N492" i="23"/>
  <c r="L492" i="23"/>
  <c r="J492" i="23"/>
  <c r="P491" i="23"/>
  <c r="N491" i="23"/>
  <c r="L491" i="23"/>
  <c r="J491" i="23"/>
  <c r="P488" i="23"/>
  <c r="N488" i="23"/>
  <c r="L488" i="23"/>
  <c r="J488" i="23"/>
  <c r="P487" i="23"/>
  <c r="N487" i="23"/>
  <c r="L487" i="23"/>
  <c r="J487" i="23"/>
  <c r="P486" i="23"/>
  <c r="N486" i="23"/>
  <c r="L486" i="23"/>
  <c r="J486" i="23"/>
  <c r="P484" i="23"/>
  <c r="N484" i="23"/>
  <c r="L484" i="23"/>
  <c r="J484" i="23"/>
  <c r="P483" i="23"/>
  <c r="N483" i="23"/>
  <c r="L483" i="23"/>
  <c r="J483" i="23"/>
  <c r="P482" i="23"/>
  <c r="N482" i="23"/>
  <c r="L482" i="23"/>
  <c r="J482" i="23"/>
  <c r="P479" i="23"/>
  <c r="N479" i="23"/>
  <c r="L479" i="23"/>
  <c r="J479" i="23"/>
  <c r="P478" i="23"/>
  <c r="N478" i="23"/>
  <c r="L478" i="23"/>
  <c r="J478" i="23"/>
  <c r="P477" i="23"/>
  <c r="N477" i="23"/>
  <c r="L477" i="23"/>
  <c r="J477" i="23"/>
  <c r="X121" i="10"/>
  <c r="Y121" i="10"/>
  <c r="Z121" i="10"/>
  <c r="AA121" i="10"/>
  <c r="AB121" i="10"/>
  <c r="AC121" i="10"/>
  <c r="AD121" i="10"/>
  <c r="AE121" i="10"/>
  <c r="W121" i="10"/>
  <c r="P475" i="23"/>
  <c r="N475" i="23"/>
  <c r="L475" i="23"/>
  <c r="J475" i="23"/>
  <c r="P474" i="23"/>
  <c r="N474" i="23"/>
  <c r="L474" i="23"/>
  <c r="J474" i="23"/>
  <c r="P473" i="23"/>
  <c r="N473" i="23"/>
  <c r="L473" i="23"/>
  <c r="J473" i="23"/>
  <c r="P470" i="23"/>
  <c r="N470" i="23"/>
  <c r="M475" i="23"/>
  <c r="L470" i="23"/>
  <c r="J470" i="23"/>
  <c r="P469" i="23"/>
  <c r="N469" i="23"/>
  <c r="L469" i="23"/>
  <c r="J469" i="23"/>
  <c r="P468" i="23"/>
  <c r="N468" i="23"/>
  <c r="L468" i="23"/>
  <c r="J468" i="23"/>
  <c r="P466" i="23"/>
  <c r="N466" i="23"/>
  <c r="L466" i="23"/>
  <c r="J466" i="23"/>
  <c r="P465" i="23"/>
  <c r="N465" i="23"/>
  <c r="L465" i="23"/>
  <c r="J465" i="23"/>
  <c r="P464" i="23"/>
  <c r="N464" i="23"/>
  <c r="L464" i="23"/>
  <c r="J464" i="23"/>
  <c r="P461" i="23"/>
  <c r="N461" i="23"/>
  <c r="L461" i="23"/>
  <c r="J461" i="23"/>
  <c r="P460" i="23"/>
  <c r="N460" i="23"/>
  <c r="L460" i="23"/>
  <c r="J460" i="23"/>
  <c r="P459" i="23"/>
  <c r="N459" i="23"/>
  <c r="L459" i="23"/>
  <c r="J459" i="23"/>
  <c r="P457" i="23"/>
  <c r="N457" i="23"/>
  <c r="L457" i="23"/>
  <c r="J457" i="23"/>
  <c r="P456" i="23"/>
  <c r="N456" i="23"/>
  <c r="L456" i="23"/>
  <c r="J456" i="23"/>
  <c r="P455" i="23"/>
  <c r="N455" i="23"/>
  <c r="L455" i="23"/>
  <c r="J455" i="23"/>
  <c r="P452" i="23"/>
  <c r="N452" i="23"/>
  <c r="L452" i="23"/>
  <c r="J452" i="23"/>
  <c r="P451" i="23"/>
  <c r="N451" i="23"/>
  <c r="L451" i="23"/>
  <c r="J451" i="23"/>
  <c r="P450" i="23"/>
  <c r="N450" i="23"/>
  <c r="L450" i="23"/>
  <c r="J450" i="23"/>
  <c r="P448" i="23"/>
  <c r="N448" i="23"/>
  <c r="L448" i="23"/>
  <c r="J448" i="23"/>
  <c r="P447" i="23"/>
  <c r="N447" i="23"/>
  <c r="L447" i="23"/>
  <c r="J447" i="23"/>
  <c r="P446" i="23"/>
  <c r="N446" i="23"/>
  <c r="L446" i="23"/>
  <c r="J446" i="23"/>
  <c r="P443" i="23"/>
  <c r="N443" i="23"/>
  <c r="L443" i="23"/>
  <c r="J443" i="23"/>
  <c r="P442" i="23"/>
  <c r="N442" i="23"/>
  <c r="L442" i="23"/>
  <c r="J442" i="23"/>
  <c r="P441" i="23"/>
  <c r="N441" i="23"/>
  <c r="L441" i="23"/>
  <c r="J441" i="23"/>
  <c r="P439" i="23"/>
  <c r="N439" i="23"/>
  <c r="L439" i="23"/>
  <c r="J439" i="23"/>
  <c r="P438" i="23"/>
  <c r="N438" i="23"/>
  <c r="L438" i="23"/>
  <c r="J438" i="23"/>
  <c r="P437" i="23"/>
  <c r="N437" i="23"/>
  <c r="L437" i="23"/>
  <c r="J437" i="23"/>
  <c r="P434" i="23"/>
  <c r="N434" i="23"/>
  <c r="L434" i="23"/>
  <c r="J434" i="23"/>
  <c r="P433" i="23"/>
  <c r="N433" i="23"/>
  <c r="L433" i="23"/>
  <c r="J433" i="23"/>
  <c r="P432" i="23"/>
  <c r="N432" i="23"/>
  <c r="L432" i="23"/>
  <c r="J432" i="23"/>
  <c r="P430" i="23"/>
  <c r="N430" i="23"/>
  <c r="L430" i="23"/>
  <c r="J430" i="23"/>
  <c r="P429" i="23"/>
  <c r="N429" i="23"/>
  <c r="L429" i="23"/>
  <c r="J429" i="23"/>
  <c r="P428" i="23"/>
  <c r="N428" i="23"/>
  <c r="L428" i="23"/>
  <c r="J428" i="23"/>
  <c r="P425" i="23"/>
  <c r="N425" i="23"/>
  <c r="L425" i="23"/>
  <c r="J425" i="23"/>
  <c r="P424" i="23"/>
  <c r="N424" i="23"/>
  <c r="L424" i="23"/>
  <c r="J424" i="23"/>
  <c r="P423" i="23"/>
  <c r="N423" i="23"/>
  <c r="L423" i="23"/>
  <c r="J423" i="23"/>
  <c r="P421" i="23"/>
  <c r="N421" i="23"/>
  <c r="L421" i="23"/>
  <c r="J421" i="23"/>
  <c r="P420" i="23"/>
  <c r="N420" i="23"/>
  <c r="L420" i="23"/>
  <c r="J420" i="23"/>
  <c r="P419" i="23"/>
  <c r="N419" i="23"/>
  <c r="L419" i="23"/>
  <c r="J419" i="23"/>
  <c r="P416" i="23"/>
  <c r="N416" i="23"/>
  <c r="L416" i="23"/>
  <c r="J416" i="23"/>
  <c r="P415" i="23"/>
  <c r="N415" i="23"/>
  <c r="L415" i="23"/>
  <c r="J415" i="23"/>
  <c r="P414" i="23"/>
  <c r="N414" i="23"/>
  <c r="L414" i="23"/>
  <c r="J414" i="23"/>
  <c r="X118" i="10"/>
  <c r="Y118" i="10"/>
  <c r="Z118" i="10"/>
  <c r="AA118" i="10"/>
  <c r="AB118" i="10"/>
  <c r="AC118" i="10"/>
  <c r="AD118" i="10"/>
  <c r="AE118" i="10"/>
  <c r="P412" i="23"/>
  <c r="N412" i="23"/>
  <c r="L412" i="23"/>
  <c r="J412" i="23"/>
  <c r="P411" i="23"/>
  <c r="N411" i="23"/>
  <c r="L411" i="23"/>
  <c r="J411" i="23"/>
  <c r="P410" i="23"/>
  <c r="N410" i="23"/>
  <c r="L410" i="23"/>
  <c r="J410" i="23"/>
  <c r="P407" i="23"/>
  <c r="N407" i="23"/>
  <c r="L407" i="23"/>
  <c r="K412" i="23"/>
  <c r="J407" i="23"/>
  <c r="P406" i="23"/>
  <c r="N406" i="23"/>
  <c r="L406" i="23"/>
  <c r="J406" i="23"/>
  <c r="P405" i="23"/>
  <c r="N405" i="23"/>
  <c r="L405" i="23"/>
  <c r="J405" i="23"/>
  <c r="P403" i="23"/>
  <c r="N403" i="23"/>
  <c r="L403" i="23"/>
  <c r="J403" i="23"/>
  <c r="P402" i="23"/>
  <c r="N402" i="23"/>
  <c r="L402" i="23"/>
  <c r="J402" i="23"/>
  <c r="P401" i="23"/>
  <c r="N401" i="23"/>
  <c r="L401" i="23"/>
  <c r="J401" i="23"/>
  <c r="P398" i="23"/>
  <c r="N398" i="23"/>
  <c r="L398" i="23"/>
  <c r="J398" i="23"/>
  <c r="P397" i="23"/>
  <c r="N397" i="23"/>
  <c r="L397" i="23"/>
  <c r="J397" i="23"/>
  <c r="P396" i="23"/>
  <c r="N396" i="23"/>
  <c r="L396" i="23"/>
  <c r="J396" i="23"/>
  <c r="W118" i="10"/>
  <c r="P394" i="23"/>
  <c r="N394" i="23"/>
  <c r="L394" i="23"/>
  <c r="J394" i="23"/>
  <c r="P393" i="23"/>
  <c r="N393" i="23"/>
  <c r="L393" i="23"/>
  <c r="J393" i="23"/>
  <c r="P392" i="23"/>
  <c r="N392" i="23"/>
  <c r="L392" i="23"/>
  <c r="J392" i="23"/>
  <c r="P389" i="23"/>
  <c r="N389" i="23"/>
  <c r="L389" i="23"/>
  <c r="J389" i="23"/>
  <c r="P388" i="23"/>
  <c r="N388" i="23"/>
  <c r="L388" i="23"/>
  <c r="J388" i="23"/>
  <c r="P387" i="23"/>
  <c r="N387" i="23"/>
  <c r="L387" i="23"/>
  <c r="J387" i="23"/>
  <c r="P385" i="23"/>
  <c r="N385" i="23"/>
  <c r="L385" i="23"/>
  <c r="J385" i="23"/>
  <c r="P384" i="23"/>
  <c r="N384" i="23"/>
  <c r="L384" i="23"/>
  <c r="J384" i="23"/>
  <c r="P383" i="23"/>
  <c r="N383" i="23"/>
  <c r="L383" i="23"/>
  <c r="J383" i="23"/>
  <c r="P380" i="23"/>
  <c r="N380" i="23"/>
  <c r="L380" i="23"/>
  <c r="J380" i="23"/>
  <c r="P379" i="23"/>
  <c r="N379" i="23"/>
  <c r="L379" i="23"/>
  <c r="J379" i="23"/>
  <c r="P378" i="23"/>
  <c r="N378" i="23"/>
  <c r="L378" i="23"/>
  <c r="J378" i="23"/>
  <c r="P376" i="23"/>
  <c r="N376" i="23"/>
  <c r="L376" i="23"/>
  <c r="J376" i="23"/>
  <c r="P375" i="23"/>
  <c r="N375" i="23"/>
  <c r="L375" i="23"/>
  <c r="J375" i="23"/>
  <c r="P374" i="23"/>
  <c r="N374" i="23"/>
  <c r="L374" i="23"/>
  <c r="J374" i="23"/>
  <c r="P371" i="23"/>
  <c r="N371" i="23"/>
  <c r="L371" i="23"/>
  <c r="J371" i="23"/>
  <c r="P370" i="23"/>
  <c r="N370" i="23"/>
  <c r="L370" i="23"/>
  <c r="J370" i="23"/>
  <c r="P369" i="23"/>
  <c r="N369" i="23"/>
  <c r="L369" i="23"/>
  <c r="J369" i="23"/>
  <c r="P367" i="23"/>
  <c r="N367" i="23"/>
  <c r="L367" i="23"/>
  <c r="J367" i="23"/>
  <c r="P366" i="23"/>
  <c r="N366" i="23"/>
  <c r="L366" i="23"/>
  <c r="J366" i="23"/>
  <c r="P365" i="23"/>
  <c r="N365" i="23"/>
  <c r="L365" i="23"/>
  <c r="J365" i="23"/>
  <c r="P362" i="23"/>
  <c r="N362" i="23"/>
  <c r="L362" i="23"/>
  <c r="J362" i="23"/>
  <c r="P361" i="23"/>
  <c r="N361" i="23"/>
  <c r="L361" i="23"/>
  <c r="J361" i="23"/>
  <c r="P360" i="23"/>
  <c r="N360" i="23"/>
  <c r="L360" i="23"/>
  <c r="J360" i="23"/>
  <c r="P358" i="23"/>
  <c r="N358" i="23"/>
  <c r="L358" i="23"/>
  <c r="J358" i="23"/>
  <c r="P357" i="23"/>
  <c r="N357" i="23"/>
  <c r="L357" i="23"/>
  <c r="J357" i="23"/>
  <c r="P356" i="23"/>
  <c r="N356" i="23"/>
  <c r="L356" i="23"/>
  <c r="J356" i="23"/>
  <c r="P353" i="23"/>
  <c r="N353" i="23"/>
  <c r="L353" i="23"/>
  <c r="J353" i="23"/>
  <c r="P352" i="23"/>
  <c r="N352" i="23"/>
  <c r="L352" i="23"/>
  <c r="J352" i="23"/>
  <c r="P351" i="23"/>
  <c r="N351" i="23"/>
  <c r="L351" i="23"/>
  <c r="J351" i="23"/>
  <c r="P349" i="23"/>
  <c r="N349" i="23"/>
  <c r="L349" i="23"/>
  <c r="J349" i="23"/>
  <c r="P348" i="23"/>
  <c r="N348" i="23"/>
  <c r="L348" i="23"/>
  <c r="J348" i="23"/>
  <c r="P347" i="23"/>
  <c r="N347" i="23"/>
  <c r="L347" i="23"/>
  <c r="J347" i="23"/>
  <c r="P344" i="23"/>
  <c r="N344" i="23"/>
  <c r="L344" i="23"/>
  <c r="J344" i="23"/>
  <c r="P343" i="23"/>
  <c r="N343" i="23"/>
  <c r="L343" i="23"/>
  <c r="J343" i="23"/>
  <c r="P342" i="23"/>
  <c r="N342" i="23"/>
  <c r="L342" i="23"/>
  <c r="J342" i="23"/>
  <c r="P340" i="23"/>
  <c r="N340" i="23"/>
  <c r="L340" i="23"/>
  <c r="J340" i="23"/>
  <c r="P339" i="23"/>
  <c r="N339" i="23"/>
  <c r="L339" i="23"/>
  <c r="J339" i="23"/>
  <c r="P338" i="23"/>
  <c r="N338" i="23"/>
  <c r="L338" i="23"/>
  <c r="J338" i="23"/>
  <c r="P335" i="23"/>
  <c r="N335" i="23"/>
  <c r="L335" i="23"/>
  <c r="J335" i="23"/>
  <c r="P334" i="23"/>
  <c r="N334" i="23"/>
  <c r="L334" i="23"/>
  <c r="J334" i="23"/>
  <c r="P333" i="23"/>
  <c r="N333" i="23"/>
  <c r="L333" i="23"/>
  <c r="J333" i="23"/>
  <c r="P331" i="23"/>
  <c r="N331" i="23"/>
  <c r="L331" i="23"/>
  <c r="J331" i="23"/>
  <c r="P330" i="23"/>
  <c r="N330" i="23"/>
  <c r="L330" i="23"/>
  <c r="J330" i="23"/>
  <c r="P329" i="23"/>
  <c r="N329" i="23"/>
  <c r="L329" i="23"/>
  <c r="J329" i="23"/>
  <c r="P326" i="23"/>
  <c r="N326" i="23"/>
  <c r="L326" i="23"/>
  <c r="J326" i="23"/>
  <c r="P325" i="23"/>
  <c r="N325" i="23"/>
  <c r="L325" i="23"/>
  <c r="J325" i="23"/>
  <c r="P324" i="23"/>
  <c r="N324" i="23"/>
  <c r="L324" i="23"/>
  <c r="J324" i="23"/>
  <c r="P322" i="23"/>
  <c r="N322" i="23"/>
  <c r="L322" i="23"/>
  <c r="J322" i="23"/>
  <c r="P321" i="23"/>
  <c r="N321" i="23"/>
  <c r="L321" i="23"/>
  <c r="J321" i="23"/>
  <c r="P320" i="23"/>
  <c r="N320" i="23"/>
  <c r="L320" i="23"/>
  <c r="J320" i="23"/>
  <c r="P317" i="23"/>
  <c r="N317" i="23"/>
  <c r="L317" i="23"/>
  <c r="J317" i="23"/>
  <c r="P316" i="23"/>
  <c r="N316" i="23"/>
  <c r="L316" i="23"/>
  <c r="J316" i="23"/>
  <c r="P315" i="23"/>
  <c r="N315" i="23"/>
  <c r="L315" i="23"/>
  <c r="J315" i="23"/>
  <c r="P313" i="23"/>
  <c r="N313" i="23"/>
  <c r="L313" i="23"/>
  <c r="J313" i="23"/>
  <c r="P312" i="23"/>
  <c r="N312" i="23"/>
  <c r="L312" i="23"/>
  <c r="J312" i="23"/>
  <c r="P311" i="23"/>
  <c r="N311" i="23"/>
  <c r="L311" i="23"/>
  <c r="J311" i="23"/>
  <c r="P308" i="23"/>
  <c r="N308" i="23"/>
  <c r="L308" i="23"/>
  <c r="J308" i="23"/>
  <c r="P307" i="23"/>
  <c r="N307" i="23"/>
  <c r="L307" i="23"/>
  <c r="J307" i="23"/>
  <c r="P306" i="23"/>
  <c r="N306" i="23"/>
  <c r="L306" i="23"/>
  <c r="J306" i="23"/>
  <c r="P304" i="23"/>
  <c r="N304" i="23"/>
  <c r="L304" i="23"/>
  <c r="J304" i="23"/>
  <c r="P303" i="23"/>
  <c r="N303" i="23"/>
  <c r="L303" i="23"/>
  <c r="J303" i="23"/>
  <c r="P302" i="23"/>
  <c r="N302" i="23"/>
  <c r="L302" i="23"/>
  <c r="J302" i="23"/>
  <c r="P299" i="23"/>
  <c r="N299" i="23"/>
  <c r="L299" i="23"/>
  <c r="J299" i="23"/>
  <c r="P298" i="23"/>
  <c r="N298" i="23"/>
  <c r="L298" i="23"/>
  <c r="J298" i="23"/>
  <c r="P297" i="23"/>
  <c r="N297" i="23"/>
  <c r="L297" i="23"/>
  <c r="J297" i="23"/>
  <c r="P295" i="23"/>
  <c r="N295" i="23"/>
  <c r="L295" i="23"/>
  <c r="J295" i="23"/>
  <c r="P294" i="23"/>
  <c r="N294" i="23"/>
  <c r="L294" i="23"/>
  <c r="J294" i="23"/>
  <c r="P293" i="23"/>
  <c r="N293" i="23"/>
  <c r="L293" i="23"/>
  <c r="J293" i="23"/>
  <c r="P290" i="23"/>
  <c r="N290" i="23"/>
  <c r="L290" i="23"/>
  <c r="K295" i="23"/>
  <c r="J290" i="23"/>
  <c r="P289" i="23"/>
  <c r="N289" i="23"/>
  <c r="L289" i="23"/>
  <c r="J289" i="23"/>
  <c r="P288" i="23"/>
  <c r="N288" i="23"/>
  <c r="L288" i="23"/>
  <c r="J288" i="23"/>
  <c r="X115" i="10"/>
  <c r="Y115" i="10"/>
  <c r="Z115" i="10"/>
  <c r="AA115" i="10"/>
  <c r="AB115" i="10"/>
  <c r="AC115" i="10"/>
  <c r="AD115" i="10"/>
  <c r="AE115" i="10"/>
  <c r="P286" i="23"/>
  <c r="N286" i="23"/>
  <c r="L286" i="23"/>
  <c r="J286" i="23"/>
  <c r="P285" i="23"/>
  <c r="N285" i="23"/>
  <c r="L285" i="23"/>
  <c r="J285" i="23"/>
  <c r="P284" i="23"/>
  <c r="N284" i="23"/>
  <c r="L284" i="23"/>
  <c r="J284" i="23"/>
  <c r="P281" i="23"/>
  <c r="N281" i="23"/>
  <c r="L281" i="23"/>
  <c r="J281" i="23"/>
  <c r="P280" i="23"/>
  <c r="N280" i="23"/>
  <c r="L280" i="23"/>
  <c r="J280" i="23"/>
  <c r="P279" i="23"/>
  <c r="N279" i="23"/>
  <c r="L279" i="23"/>
  <c r="J279" i="23"/>
  <c r="P277" i="23"/>
  <c r="N277" i="23"/>
  <c r="L277" i="23"/>
  <c r="J277" i="23"/>
  <c r="P276" i="23"/>
  <c r="N276" i="23"/>
  <c r="L276" i="23"/>
  <c r="J276" i="23"/>
  <c r="P275" i="23"/>
  <c r="N275" i="23"/>
  <c r="L275" i="23"/>
  <c r="J275" i="23"/>
  <c r="P272" i="23"/>
  <c r="N272" i="23"/>
  <c r="L272" i="23"/>
  <c r="J272" i="23"/>
  <c r="P271" i="23"/>
  <c r="N271" i="23"/>
  <c r="L271" i="23"/>
  <c r="J271" i="23"/>
  <c r="P270" i="23"/>
  <c r="N270" i="23"/>
  <c r="L270" i="23"/>
  <c r="J270" i="23"/>
  <c r="W115" i="10"/>
  <c r="P268" i="23"/>
  <c r="N268" i="23"/>
  <c r="L268" i="23"/>
  <c r="J268" i="23"/>
  <c r="P267" i="23"/>
  <c r="N267" i="23"/>
  <c r="L267" i="23"/>
  <c r="J267" i="23"/>
  <c r="P266" i="23"/>
  <c r="N266" i="23"/>
  <c r="L266" i="23"/>
  <c r="J266" i="23"/>
  <c r="P263" i="23"/>
  <c r="N263" i="23"/>
  <c r="L263" i="23"/>
  <c r="J263" i="23"/>
  <c r="P262" i="23"/>
  <c r="N262" i="23"/>
  <c r="L262" i="23"/>
  <c r="J262" i="23"/>
  <c r="P261" i="23"/>
  <c r="N261" i="23"/>
  <c r="L261" i="23"/>
  <c r="J261" i="23"/>
  <c r="P259" i="23"/>
  <c r="N259" i="23"/>
  <c r="L259" i="23"/>
  <c r="J259" i="23"/>
  <c r="P258" i="23"/>
  <c r="N258" i="23"/>
  <c r="L258" i="23"/>
  <c r="J258" i="23"/>
  <c r="P257" i="23"/>
  <c r="N257" i="23"/>
  <c r="L257" i="23"/>
  <c r="J257" i="23"/>
  <c r="P254" i="23"/>
  <c r="N254" i="23"/>
  <c r="L254" i="23"/>
  <c r="J254" i="23"/>
  <c r="P253" i="23"/>
  <c r="N253" i="23"/>
  <c r="L253" i="23"/>
  <c r="J253" i="23"/>
  <c r="P252" i="23"/>
  <c r="O257" i="23"/>
  <c r="N252" i="23"/>
  <c r="L252" i="23"/>
  <c r="J252" i="23"/>
  <c r="X112" i="10"/>
  <c r="Y112" i="10"/>
  <c r="Z112" i="10"/>
  <c r="AA112" i="10"/>
  <c r="AB112" i="10"/>
  <c r="AC112" i="10"/>
  <c r="AD112" i="10"/>
  <c r="AE112" i="10"/>
  <c r="W112" i="10"/>
  <c r="P250" i="23"/>
  <c r="N250" i="23"/>
  <c r="L250" i="23"/>
  <c r="J250" i="23"/>
  <c r="P249" i="23"/>
  <c r="N249" i="23"/>
  <c r="L249" i="23"/>
  <c r="J249" i="23"/>
  <c r="P248" i="23"/>
  <c r="N248" i="23"/>
  <c r="L248" i="23"/>
  <c r="J248" i="23"/>
  <c r="P245" i="23"/>
  <c r="N245" i="23"/>
  <c r="L245" i="23"/>
  <c r="J245" i="23"/>
  <c r="P244" i="23"/>
  <c r="N244" i="23"/>
  <c r="L244" i="23"/>
  <c r="J244" i="23"/>
  <c r="P243" i="23"/>
  <c r="N243" i="23"/>
  <c r="L243" i="23"/>
  <c r="J243" i="23"/>
  <c r="B548" i="23"/>
  <c r="C548" i="23"/>
  <c r="D548" i="23"/>
  <c r="E548" i="23"/>
  <c r="F548" i="23"/>
  <c r="G548" i="23" a="1"/>
  <c r="G548" i="23" s="1"/>
  <c r="H548" i="23" a="1"/>
  <c r="H548" i="23" s="1"/>
  <c r="B557" i="23"/>
  <c r="C557" i="23"/>
  <c r="D557" i="23"/>
  <c r="E557" i="23"/>
  <c r="F557" i="23"/>
  <c r="G557" i="23" a="1"/>
  <c r="G557" i="23" s="1"/>
  <c r="H557" i="23" a="1"/>
  <c r="H557" i="23" s="1"/>
  <c r="J234" i="23"/>
  <c r="L234" i="23"/>
  <c r="N234" i="23"/>
  <c r="P234" i="23"/>
  <c r="J235" i="23"/>
  <c r="L235" i="23"/>
  <c r="N235" i="23"/>
  <c r="P235" i="23"/>
  <c r="J236" i="23"/>
  <c r="L236" i="23"/>
  <c r="N236" i="23"/>
  <c r="P236" i="23"/>
  <c r="J239" i="23"/>
  <c r="L239" i="23"/>
  <c r="N239" i="23"/>
  <c r="P239" i="23"/>
  <c r="J240" i="23"/>
  <c r="L240" i="23"/>
  <c r="N240" i="23"/>
  <c r="P240" i="23"/>
  <c r="J241" i="23"/>
  <c r="L241" i="23"/>
  <c r="N241" i="23"/>
  <c r="P241" i="23"/>
  <c r="J225" i="23"/>
  <c r="L225" i="23"/>
  <c r="N225" i="23"/>
  <c r="P225" i="23"/>
  <c r="J226" i="23"/>
  <c r="L226" i="23"/>
  <c r="M231" i="23"/>
  <c r="N226" i="23"/>
  <c r="O231" i="23"/>
  <c r="P226" i="23"/>
  <c r="J227" i="23"/>
  <c r="L227" i="23"/>
  <c r="N227" i="23"/>
  <c r="P227" i="23"/>
  <c r="J230" i="23"/>
  <c r="L230" i="23"/>
  <c r="N230" i="23"/>
  <c r="P230" i="23"/>
  <c r="J231" i="23"/>
  <c r="L231" i="23"/>
  <c r="N231" i="23"/>
  <c r="P231" i="23"/>
  <c r="J232" i="23"/>
  <c r="L232" i="23"/>
  <c r="N232" i="23"/>
  <c r="P232" i="23"/>
  <c r="J216" i="23"/>
  <c r="L216" i="23"/>
  <c r="N216" i="23"/>
  <c r="P216" i="23"/>
  <c r="J217" i="23"/>
  <c r="L217" i="23"/>
  <c r="N217" i="23"/>
  <c r="P217" i="23"/>
  <c r="J218" i="23"/>
  <c r="L218" i="23"/>
  <c r="N218" i="23"/>
  <c r="P218" i="23"/>
  <c r="J221" i="23"/>
  <c r="L221" i="23"/>
  <c r="N221" i="23"/>
  <c r="P221" i="23"/>
  <c r="J222" i="23"/>
  <c r="L222" i="23"/>
  <c r="N222" i="23"/>
  <c r="P222" i="23"/>
  <c r="J223" i="23"/>
  <c r="L223" i="23"/>
  <c r="N223" i="23"/>
  <c r="P223" i="23"/>
  <c r="J207" i="23"/>
  <c r="K207" i="23"/>
  <c r="L207" i="23"/>
  <c r="M207" i="23"/>
  <c r="M212" i="23" s="1"/>
  <c r="N207" i="23"/>
  <c r="O207" i="23"/>
  <c r="O212" i="23" s="1"/>
  <c r="P207" i="23"/>
  <c r="J208" i="23"/>
  <c r="K208" i="23"/>
  <c r="K213" i="23" s="1"/>
  <c r="L208" i="23"/>
  <c r="M208" i="23"/>
  <c r="M213" i="23" s="1"/>
  <c r="N208" i="23"/>
  <c r="O208" i="23"/>
  <c r="O213" i="23" s="1"/>
  <c r="P208" i="23"/>
  <c r="J209" i="23"/>
  <c r="K209" i="23"/>
  <c r="K214" i="23" s="1"/>
  <c r="L209" i="23"/>
  <c r="M209" i="23"/>
  <c r="M214" i="23" s="1"/>
  <c r="N209" i="23"/>
  <c r="O209" i="23"/>
  <c r="O214" i="23" s="1"/>
  <c r="P209" i="23"/>
  <c r="J212" i="23"/>
  <c r="L212" i="23"/>
  <c r="N212" i="23"/>
  <c r="P212" i="23"/>
  <c r="J213" i="23"/>
  <c r="L213" i="23"/>
  <c r="N213" i="23"/>
  <c r="P213" i="23"/>
  <c r="J214" i="23"/>
  <c r="L214" i="23"/>
  <c r="N214" i="23"/>
  <c r="P214" i="23"/>
  <c r="J198" i="23"/>
  <c r="L198" i="23"/>
  <c r="N198" i="23"/>
  <c r="P198" i="23"/>
  <c r="J199" i="23"/>
  <c r="L199" i="23"/>
  <c r="N199" i="23"/>
  <c r="P199" i="23"/>
  <c r="J200" i="23"/>
  <c r="L200" i="23"/>
  <c r="N200" i="23"/>
  <c r="O205" i="23"/>
  <c r="P200" i="23"/>
  <c r="J203" i="23"/>
  <c r="L203" i="23"/>
  <c r="N203" i="23"/>
  <c r="P203" i="23"/>
  <c r="J204" i="23"/>
  <c r="L204" i="23"/>
  <c r="N204" i="23"/>
  <c r="P204" i="23"/>
  <c r="J205" i="23"/>
  <c r="L205" i="23"/>
  <c r="N205" i="23"/>
  <c r="P205" i="23"/>
  <c r="J189" i="23"/>
  <c r="L189" i="23"/>
  <c r="N189" i="23"/>
  <c r="P189" i="23"/>
  <c r="J190" i="23"/>
  <c r="L190" i="23"/>
  <c r="N190" i="23"/>
  <c r="P190" i="23"/>
  <c r="J191" i="23"/>
  <c r="K196" i="23"/>
  <c r="L191" i="23"/>
  <c r="N191" i="23"/>
  <c r="P191" i="23"/>
  <c r="J194" i="23"/>
  <c r="L194" i="23"/>
  <c r="N194" i="23"/>
  <c r="P194" i="23"/>
  <c r="J195" i="23"/>
  <c r="L195" i="23"/>
  <c r="N195" i="23"/>
  <c r="P195" i="23"/>
  <c r="J196" i="23"/>
  <c r="L196" i="23"/>
  <c r="N196" i="23"/>
  <c r="P196" i="23"/>
  <c r="J180" i="23"/>
  <c r="L180" i="23"/>
  <c r="N180" i="23"/>
  <c r="P180" i="23"/>
  <c r="J181" i="23"/>
  <c r="L181" i="23"/>
  <c r="M186" i="23"/>
  <c r="N181" i="23"/>
  <c r="P181" i="23"/>
  <c r="J182" i="23"/>
  <c r="L182" i="23"/>
  <c r="N182" i="23"/>
  <c r="P182" i="23"/>
  <c r="J185" i="23"/>
  <c r="L185" i="23"/>
  <c r="N185" i="23"/>
  <c r="P185" i="23"/>
  <c r="J186" i="23"/>
  <c r="L186" i="23"/>
  <c r="N186" i="23"/>
  <c r="P186" i="23"/>
  <c r="J187" i="23"/>
  <c r="L187" i="23"/>
  <c r="N187" i="23"/>
  <c r="P187" i="23"/>
  <c r="J171" i="23"/>
  <c r="L171" i="23"/>
  <c r="N171" i="23"/>
  <c r="P171" i="23"/>
  <c r="J172" i="23"/>
  <c r="L172" i="23"/>
  <c r="N172" i="23"/>
  <c r="P172" i="23"/>
  <c r="J173" i="23"/>
  <c r="L173" i="23"/>
  <c r="N173" i="23"/>
  <c r="P173" i="23"/>
  <c r="J176" i="23"/>
  <c r="L176" i="23"/>
  <c r="N176" i="23"/>
  <c r="P176" i="23"/>
  <c r="J177" i="23"/>
  <c r="L177" i="23"/>
  <c r="N177" i="23"/>
  <c r="P177" i="23"/>
  <c r="J178" i="23"/>
  <c r="L178" i="23"/>
  <c r="N178" i="23"/>
  <c r="P178" i="23"/>
  <c r="J162" i="23"/>
  <c r="L162" i="23"/>
  <c r="N162" i="23"/>
  <c r="P162" i="23"/>
  <c r="J163" i="23"/>
  <c r="L163" i="23"/>
  <c r="N163" i="23"/>
  <c r="P163" i="23"/>
  <c r="J164" i="23"/>
  <c r="L164" i="23"/>
  <c r="N164" i="23"/>
  <c r="P164" i="23"/>
  <c r="J167" i="23"/>
  <c r="L167" i="23"/>
  <c r="N167" i="23"/>
  <c r="P167" i="23"/>
  <c r="J168" i="23"/>
  <c r="L168" i="23"/>
  <c r="N168" i="23"/>
  <c r="P168" i="23"/>
  <c r="J169" i="23"/>
  <c r="L169" i="23"/>
  <c r="N169" i="23"/>
  <c r="P169" i="23"/>
  <c r="J153" i="23"/>
  <c r="L153" i="23"/>
  <c r="N153" i="23"/>
  <c r="P153" i="23"/>
  <c r="J154" i="23"/>
  <c r="L154" i="23"/>
  <c r="N154" i="23"/>
  <c r="P154" i="23"/>
  <c r="J155" i="23"/>
  <c r="L155" i="23"/>
  <c r="N155" i="23"/>
  <c r="P155" i="23"/>
  <c r="J158" i="23"/>
  <c r="L158" i="23"/>
  <c r="N158" i="23"/>
  <c r="P158" i="23"/>
  <c r="J159" i="23"/>
  <c r="L159" i="23"/>
  <c r="N159" i="23"/>
  <c r="P159" i="23"/>
  <c r="J160" i="23"/>
  <c r="L160" i="23"/>
  <c r="N160" i="23"/>
  <c r="P160" i="23"/>
  <c r="E17" i="23" l="1" a="1"/>
  <c r="E17" i="23" s="1"/>
  <c r="F15" i="23" a="1"/>
  <c r="F15" i="23" s="1"/>
  <c r="E15" i="23" a="1"/>
  <c r="E15" i="23" s="1"/>
  <c r="D17" i="23" a="1"/>
  <c r="D17" i="23" s="1"/>
  <c r="D15" i="23" a="1"/>
  <c r="D15" i="23" s="1"/>
  <c r="F17" i="23" a="1"/>
  <c r="F17" i="23" s="1"/>
  <c r="H71" i="26"/>
  <c r="D71" i="26"/>
  <c r="E71" i="26"/>
  <c r="M287" i="23"/>
  <c r="I344" i="23"/>
  <c r="I317" i="23"/>
  <c r="M539" i="23"/>
  <c r="O422" i="23"/>
  <c r="I334" i="23"/>
  <c r="I486" i="23"/>
  <c r="I396" i="23"/>
  <c r="I290" i="23"/>
  <c r="O530" i="23"/>
  <c r="O503" i="23"/>
  <c r="I558" i="23"/>
  <c r="I550" i="23"/>
  <c r="K377" i="23"/>
  <c r="K491" i="23"/>
  <c r="K490" i="23" s="1"/>
  <c r="K521" i="23"/>
  <c r="O548" i="23"/>
  <c r="M530" i="23"/>
  <c r="M521" i="23"/>
  <c r="O557" i="23"/>
  <c r="K548" i="23"/>
  <c r="M503" i="23"/>
  <c r="I540" i="23"/>
  <c r="I351" i="23"/>
  <c r="I524" i="23"/>
  <c r="I505" i="23"/>
  <c r="I343" i="23"/>
  <c r="I560" i="23"/>
  <c r="I243" i="23"/>
  <c r="I506" i="23"/>
  <c r="I551" i="23"/>
  <c r="I549" i="23"/>
  <c r="M555" i="23"/>
  <c r="I555" i="23" s="1"/>
  <c r="I515" i="23"/>
  <c r="K248" i="23"/>
  <c r="K247" i="23" s="1"/>
  <c r="I407" i="23"/>
  <c r="I315" i="23"/>
  <c r="O512" i="23"/>
  <c r="I542" i="23"/>
  <c r="K341" i="23"/>
  <c r="I495" i="23"/>
  <c r="I308" i="23"/>
  <c r="I496" i="23"/>
  <c r="I559" i="23"/>
  <c r="O565" i="23"/>
  <c r="I565" i="23" s="1"/>
  <c r="K527" i="23"/>
  <c r="K526" i="23" s="1"/>
  <c r="I533" i="23"/>
  <c r="I477" i="23"/>
  <c r="I564" i="23"/>
  <c r="M320" i="23"/>
  <c r="M319" i="23" s="1"/>
  <c r="I479" i="23"/>
  <c r="K545" i="23"/>
  <c r="I528" i="23"/>
  <c r="K500" i="23"/>
  <c r="K499" i="23" s="1"/>
  <c r="I398" i="23"/>
  <c r="I513" i="23"/>
  <c r="M512" i="23"/>
  <c r="O521" i="23"/>
  <c r="I532" i="23"/>
  <c r="M557" i="23"/>
  <c r="I268" i="23"/>
  <c r="I304" i="23"/>
  <c r="I349" i="23"/>
  <c r="K364" i="23"/>
  <c r="K409" i="23"/>
  <c r="I478" i="23"/>
  <c r="I502" i="23"/>
  <c r="I519" i="23"/>
  <c r="I520" i="23"/>
  <c r="I529" i="23"/>
  <c r="I537" i="23"/>
  <c r="I538" i="23"/>
  <c r="O544" i="23"/>
  <c r="K546" i="23"/>
  <c r="I546" i="23" s="1"/>
  <c r="I541" i="23"/>
  <c r="K539" i="23"/>
  <c r="K562" i="23"/>
  <c r="K557" i="23"/>
  <c r="M563" i="23"/>
  <c r="O563" i="23"/>
  <c r="M548" i="23"/>
  <c r="O554" i="23"/>
  <c r="O553" i="23" s="1"/>
  <c r="K556" i="23"/>
  <c r="I556" i="23" s="1"/>
  <c r="M545" i="23"/>
  <c r="K547" i="23"/>
  <c r="I547" i="23" s="1"/>
  <c r="O539" i="23"/>
  <c r="K535" i="23"/>
  <c r="K530" i="23"/>
  <c r="O536" i="23"/>
  <c r="O535" i="23" s="1"/>
  <c r="I531" i="23"/>
  <c r="M536" i="23"/>
  <c r="I523" i="23"/>
  <c r="M527" i="23"/>
  <c r="I522" i="23"/>
  <c r="O527" i="23"/>
  <c r="O526" i="23" s="1"/>
  <c r="K517" i="23"/>
  <c r="I514" i="23"/>
  <c r="M518" i="23"/>
  <c r="K512" i="23"/>
  <c r="O518" i="23"/>
  <c r="O517" i="23" s="1"/>
  <c r="I492" i="23"/>
  <c r="I501" i="23"/>
  <c r="K323" i="23"/>
  <c r="I424" i="23"/>
  <c r="M269" i="23"/>
  <c r="M339" i="23"/>
  <c r="I339" i="23" s="1"/>
  <c r="I361" i="23"/>
  <c r="I289" i="23"/>
  <c r="I325" i="23"/>
  <c r="K449" i="23"/>
  <c r="I470" i="23"/>
  <c r="M483" i="23"/>
  <c r="I483" i="23" s="1"/>
  <c r="M476" i="23"/>
  <c r="I367" i="23"/>
  <c r="O386" i="23"/>
  <c r="O481" i="23"/>
  <c r="I452" i="23"/>
  <c r="O490" i="23"/>
  <c r="I493" i="23"/>
  <c r="I447" i="23"/>
  <c r="I342" i="23"/>
  <c r="I272" i="23"/>
  <c r="I376" i="23"/>
  <c r="K476" i="23"/>
  <c r="I488" i="23"/>
  <c r="I393" i="23"/>
  <c r="I425" i="23"/>
  <c r="K458" i="23"/>
  <c r="I475" i="23"/>
  <c r="M494" i="23"/>
  <c r="M332" i="23"/>
  <c r="K494" i="23"/>
  <c r="I258" i="23"/>
  <c r="I271" i="23"/>
  <c r="I307" i="23"/>
  <c r="K320" i="23"/>
  <c r="K359" i="23"/>
  <c r="I487" i="23"/>
  <c r="I267" i="23"/>
  <c r="K383" i="23"/>
  <c r="K382" i="23" s="1"/>
  <c r="I406" i="23"/>
  <c r="I416" i="23"/>
  <c r="O449" i="23"/>
  <c r="O494" i="23"/>
  <c r="I511" i="23"/>
  <c r="I510" i="23"/>
  <c r="K508" i="23"/>
  <c r="M509" i="23"/>
  <c r="O509" i="23"/>
  <c r="O508" i="23" s="1"/>
  <c r="I504" i="23"/>
  <c r="K503" i="23"/>
  <c r="M499" i="23"/>
  <c r="O499" i="23"/>
  <c r="I497" i="23"/>
  <c r="M490" i="23"/>
  <c r="K485" i="23"/>
  <c r="M485" i="23"/>
  <c r="O485" i="23"/>
  <c r="K484" i="23"/>
  <c r="I484" i="23" s="1"/>
  <c r="O476" i="23"/>
  <c r="M482" i="23"/>
  <c r="O260" i="23"/>
  <c r="O332" i="23"/>
  <c r="M368" i="23"/>
  <c r="I388" i="23"/>
  <c r="I442" i="23"/>
  <c r="M449" i="23"/>
  <c r="I357" i="23"/>
  <c r="I249" i="23"/>
  <c r="I321" i="23"/>
  <c r="I384" i="23"/>
  <c r="I438" i="23"/>
  <c r="K251" i="23"/>
  <c r="O274" i="23"/>
  <c r="K269" i="23"/>
  <c r="M278" i="23"/>
  <c r="I281" i="23"/>
  <c r="O287" i="23"/>
  <c r="I295" i="23"/>
  <c r="M296" i="23"/>
  <c r="I299" i="23"/>
  <c r="I330" i="23"/>
  <c r="I340" i="23"/>
  <c r="K356" i="23"/>
  <c r="I366" i="23"/>
  <c r="I405" i="23"/>
  <c r="I414" i="23"/>
  <c r="I423" i="23"/>
  <c r="O440" i="23"/>
  <c r="I461" i="23"/>
  <c r="O341" i="23"/>
  <c r="M350" i="23"/>
  <c r="I353" i="23"/>
  <c r="I370" i="23"/>
  <c r="K386" i="23"/>
  <c r="K440" i="23"/>
  <c r="K413" i="23"/>
  <c r="O458" i="23"/>
  <c r="M242" i="23"/>
  <c r="I245" i="23"/>
  <c r="M251" i="23"/>
  <c r="I276" i="23"/>
  <c r="I280" i="23"/>
  <c r="I294" i="23"/>
  <c r="I298" i="23"/>
  <c r="K305" i="23"/>
  <c r="M348" i="23"/>
  <c r="I348" i="23" s="1"/>
  <c r="I378" i="23"/>
  <c r="I380" i="23"/>
  <c r="I397" i="23"/>
  <c r="I415" i="23"/>
  <c r="I430" i="23"/>
  <c r="I434" i="23"/>
  <c r="I460" i="23"/>
  <c r="O467" i="23"/>
  <c r="O368" i="23"/>
  <c r="O278" i="23"/>
  <c r="K395" i="23"/>
  <c r="M312" i="23"/>
  <c r="I312" i="23" s="1"/>
  <c r="K332" i="23"/>
  <c r="O355" i="23"/>
  <c r="K350" i="23"/>
  <c r="I375" i="23"/>
  <c r="M411" i="23"/>
  <c r="M409" i="23" s="1"/>
  <c r="M429" i="23"/>
  <c r="I429" i="23" s="1"/>
  <c r="O247" i="23"/>
  <c r="I250" i="23"/>
  <c r="O251" i="23"/>
  <c r="I261" i="23"/>
  <c r="I285" i="23"/>
  <c r="I303" i="23"/>
  <c r="O319" i="23"/>
  <c r="K314" i="23"/>
  <c r="I326" i="23"/>
  <c r="M359" i="23"/>
  <c r="O377" i="23"/>
  <c r="I402" i="23"/>
  <c r="I420" i="23"/>
  <c r="O431" i="23"/>
  <c r="I439" i="23"/>
  <c r="I465" i="23"/>
  <c r="O301" i="23"/>
  <c r="M305" i="23"/>
  <c r="O395" i="23"/>
  <c r="O413" i="23"/>
  <c r="M467" i="23"/>
  <c r="I263" i="23"/>
  <c r="I333" i="23"/>
  <c r="M338" i="23"/>
  <c r="I352" i="23"/>
  <c r="K368" i="23"/>
  <c r="M386" i="23"/>
  <c r="O392" i="23"/>
  <c r="O391" i="23" s="1"/>
  <c r="I441" i="23"/>
  <c r="I474" i="23"/>
  <c r="I244" i="23"/>
  <c r="I253" i="23"/>
  <c r="M260" i="23"/>
  <c r="I316" i="23"/>
  <c r="O328" i="23"/>
  <c r="O359" i="23"/>
  <c r="I379" i="23"/>
  <c r="I433" i="23"/>
  <c r="I451" i="23"/>
  <c r="K472" i="23"/>
  <c r="I469" i="23"/>
  <c r="M473" i="23"/>
  <c r="K467" i="23"/>
  <c r="I468" i="23"/>
  <c r="O473" i="23"/>
  <c r="O472" i="23" s="1"/>
  <c r="M463" i="23"/>
  <c r="O464" i="23"/>
  <c r="O463" i="23" s="1"/>
  <c r="K466" i="23"/>
  <c r="I466" i="23" s="1"/>
  <c r="I459" i="23"/>
  <c r="M458" i="23"/>
  <c r="I457" i="23"/>
  <c r="O456" i="23"/>
  <c r="I456" i="23" s="1"/>
  <c r="O455" i="23"/>
  <c r="I450" i="23"/>
  <c r="K455" i="23"/>
  <c r="M455" i="23"/>
  <c r="M454" i="23" s="1"/>
  <c r="M445" i="23"/>
  <c r="K445" i="23"/>
  <c r="I443" i="23"/>
  <c r="I446" i="23"/>
  <c r="M440" i="23"/>
  <c r="O448" i="23"/>
  <c r="I448" i="23" s="1"/>
  <c r="M436" i="23"/>
  <c r="K436" i="23"/>
  <c r="M431" i="23"/>
  <c r="O437" i="23"/>
  <c r="O436" i="23" s="1"/>
  <c r="I432" i="23"/>
  <c r="K431" i="23"/>
  <c r="K427" i="23"/>
  <c r="M422" i="23"/>
  <c r="O428" i="23"/>
  <c r="O427" i="23" s="1"/>
  <c r="K422" i="23"/>
  <c r="M413" i="23"/>
  <c r="O419" i="23"/>
  <c r="O418" i="23" s="1"/>
  <c r="K421" i="23"/>
  <c r="I421" i="23" s="1"/>
  <c r="M419" i="23"/>
  <c r="I410" i="23"/>
  <c r="O409" i="23"/>
  <c r="I412" i="23"/>
  <c r="O404" i="23"/>
  <c r="K404" i="23"/>
  <c r="M404" i="23"/>
  <c r="M400" i="23"/>
  <c r="M395" i="23"/>
  <c r="O401" i="23"/>
  <c r="O400" i="23" s="1"/>
  <c r="K403" i="23"/>
  <c r="I403" i="23" s="1"/>
  <c r="I394" i="23"/>
  <c r="M391" i="23"/>
  <c r="K391" i="23"/>
  <c r="I389" i="23"/>
  <c r="I387" i="23"/>
  <c r="I385" i="23"/>
  <c r="M377" i="23"/>
  <c r="O383" i="23"/>
  <c r="O382" i="23" s="1"/>
  <c r="M383" i="23"/>
  <c r="K373" i="23"/>
  <c r="M373" i="23"/>
  <c r="O373" i="23"/>
  <c r="I371" i="23"/>
  <c r="I374" i="23"/>
  <c r="I369" i="23"/>
  <c r="M364" i="23"/>
  <c r="O364" i="23"/>
  <c r="I362" i="23"/>
  <c r="I365" i="23"/>
  <c r="I360" i="23"/>
  <c r="M356" i="23"/>
  <c r="K358" i="23"/>
  <c r="I358" i="23" s="1"/>
  <c r="O350" i="23"/>
  <c r="K346" i="23"/>
  <c r="M347" i="23"/>
  <c r="M341" i="23"/>
  <c r="O347" i="23"/>
  <c r="O346" i="23" s="1"/>
  <c r="K337" i="23"/>
  <c r="O337" i="23"/>
  <c r="I335" i="23"/>
  <c r="M328" i="23"/>
  <c r="I329" i="23"/>
  <c r="K331" i="23"/>
  <c r="I331" i="23" s="1"/>
  <c r="O323" i="23"/>
  <c r="I324" i="23"/>
  <c r="M323" i="23"/>
  <c r="K322" i="23"/>
  <c r="I322" i="23" s="1"/>
  <c r="O314" i="23"/>
  <c r="M314" i="23"/>
  <c r="O310" i="23"/>
  <c r="M311" i="23"/>
  <c r="K313" i="23"/>
  <c r="I313" i="23" s="1"/>
  <c r="O305" i="23"/>
  <c r="I306" i="23"/>
  <c r="K301" i="23"/>
  <c r="O296" i="23"/>
  <c r="I297" i="23"/>
  <c r="M302" i="23"/>
  <c r="K296" i="23"/>
  <c r="K292" i="23"/>
  <c r="I288" i="23"/>
  <c r="M293" i="23"/>
  <c r="O293" i="23"/>
  <c r="O292" i="23" s="1"/>
  <c r="K287" i="23"/>
  <c r="I286" i="23"/>
  <c r="K283" i="23"/>
  <c r="I279" i="23"/>
  <c r="M284" i="23"/>
  <c r="O284" i="23"/>
  <c r="O283" i="23" s="1"/>
  <c r="K278" i="23"/>
  <c r="K277" i="23"/>
  <c r="I277" i="23" s="1"/>
  <c r="O269" i="23"/>
  <c r="M275" i="23"/>
  <c r="I270" i="23"/>
  <c r="K265" i="23"/>
  <c r="I262" i="23"/>
  <c r="M266" i="23"/>
  <c r="K260" i="23"/>
  <c r="O266" i="23"/>
  <c r="O265" i="23" s="1"/>
  <c r="I259" i="23"/>
  <c r="M256" i="23"/>
  <c r="K256" i="23"/>
  <c r="O256" i="23"/>
  <c r="I254" i="23"/>
  <c r="I257" i="23"/>
  <c r="I252" i="23"/>
  <c r="K242" i="23"/>
  <c r="O242" i="23"/>
  <c r="M248" i="23"/>
  <c r="M188" i="23"/>
  <c r="I180" i="23"/>
  <c r="I205" i="23"/>
  <c r="I214" i="23"/>
  <c r="I230" i="23"/>
  <c r="I204" i="23"/>
  <c r="K197" i="23"/>
  <c r="K206" i="23"/>
  <c r="I208" i="23"/>
  <c r="I222" i="23"/>
  <c r="O220" i="23"/>
  <c r="I223" i="23"/>
  <c r="I235" i="23"/>
  <c r="K215" i="23"/>
  <c r="K203" i="23"/>
  <c r="K202" i="23" s="1"/>
  <c r="O238" i="23"/>
  <c r="O193" i="23"/>
  <c r="I199" i="23"/>
  <c r="K221" i="23"/>
  <c r="K220" i="23" s="1"/>
  <c r="I241" i="23"/>
  <c r="I196" i="23"/>
  <c r="I217" i="23"/>
  <c r="K233" i="23"/>
  <c r="M229" i="23"/>
  <c r="K224" i="23"/>
  <c r="O202" i="23"/>
  <c r="O211" i="23"/>
  <c r="M202" i="23"/>
  <c r="O229" i="23"/>
  <c r="I190" i="23"/>
  <c r="I232" i="23"/>
  <c r="K240" i="23"/>
  <c r="K238" i="23" s="1"/>
  <c r="K188" i="23"/>
  <c r="I226" i="23"/>
  <c r="I234" i="23"/>
  <c r="M238" i="23"/>
  <c r="I239" i="23"/>
  <c r="I236" i="23"/>
  <c r="O233" i="23"/>
  <c r="M233" i="23"/>
  <c r="I227" i="23"/>
  <c r="K231" i="23"/>
  <c r="I231" i="23" s="1"/>
  <c r="I225" i="23"/>
  <c r="O224" i="23"/>
  <c r="M224" i="23"/>
  <c r="M220" i="23"/>
  <c r="I218" i="23"/>
  <c r="O215" i="23"/>
  <c r="I216" i="23"/>
  <c r="M215" i="23"/>
  <c r="M211" i="23"/>
  <c r="I213" i="23"/>
  <c r="K212" i="23"/>
  <c r="I209" i="23"/>
  <c r="O206" i="23"/>
  <c r="M206" i="23"/>
  <c r="I207" i="23"/>
  <c r="I200" i="23"/>
  <c r="I198" i="23"/>
  <c r="O197" i="23"/>
  <c r="M197" i="23"/>
  <c r="K194" i="23"/>
  <c r="M195" i="23"/>
  <c r="M193" i="23" s="1"/>
  <c r="I191" i="23"/>
  <c r="O188" i="23"/>
  <c r="I189" i="23"/>
  <c r="I181" i="23"/>
  <c r="I187" i="23"/>
  <c r="K179" i="23"/>
  <c r="M184" i="23"/>
  <c r="I182" i="23"/>
  <c r="K186" i="23"/>
  <c r="I186" i="23" s="1"/>
  <c r="O185" i="23"/>
  <c r="O184" i="23" s="1"/>
  <c r="M179" i="23"/>
  <c r="O179" i="23"/>
  <c r="I177" i="23"/>
  <c r="O175" i="23"/>
  <c r="I173" i="23"/>
  <c r="M175" i="23"/>
  <c r="K170" i="23"/>
  <c r="I172" i="23"/>
  <c r="I171" i="23"/>
  <c r="O170" i="23"/>
  <c r="I176" i="23"/>
  <c r="K178" i="23"/>
  <c r="I178" i="23" s="1"/>
  <c r="M170" i="23"/>
  <c r="I168" i="23"/>
  <c r="O166" i="23"/>
  <c r="I169" i="23"/>
  <c r="M166" i="23"/>
  <c r="K166" i="23"/>
  <c r="I163" i="23"/>
  <c r="K161" i="23"/>
  <c r="I162" i="23"/>
  <c r="I167" i="23"/>
  <c r="O161" i="23"/>
  <c r="I164" i="23"/>
  <c r="M161" i="23"/>
  <c r="I154" i="23"/>
  <c r="I159" i="23"/>
  <c r="I155" i="23"/>
  <c r="M157" i="23"/>
  <c r="K152" i="23"/>
  <c r="O157" i="23"/>
  <c r="I153" i="23"/>
  <c r="I158" i="23"/>
  <c r="O152" i="23"/>
  <c r="K160" i="23"/>
  <c r="I160" i="23" s="1"/>
  <c r="M152" i="23"/>
  <c r="I500" i="23" l="1"/>
  <c r="I499" i="23" s="1"/>
  <c r="I485" i="23"/>
  <c r="M553" i="23"/>
  <c r="O562" i="23"/>
  <c r="I341" i="23"/>
  <c r="I503" i="23"/>
  <c r="I557" i="23"/>
  <c r="I548" i="23"/>
  <c r="I491" i="23"/>
  <c r="I490" i="23" s="1"/>
  <c r="I411" i="23"/>
  <c r="I409" i="23" s="1"/>
  <c r="I539" i="23"/>
  <c r="I314" i="23"/>
  <c r="I476" i="23"/>
  <c r="I449" i="23"/>
  <c r="I512" i="23"/>
  <c r="I494" i="23"/>
  <c r="I530" i="23"/>
  <c r="I320" i="23"/>
  <c r="I319" i="23" s="1"/>
  <c r="I395" i="23"/>
  <c r="I242" i="23"/>
  <c r="I278" i="23"/>
  <c r="I323" i="23"/>
  <c r="I332" i="23"/>
  <c r="I350" i="23"/>
  <c r="I197" i="23"/>
  <c r="I404" i="23"/>
  <c r="M427" i="23"/>
  <c r="I422" i="23"/>
  <c r="O454" i="23"/>
  <c r="I521" i="23"/>
  <c r="M562" i="23"/>
  <c r="I563" i="23"/>
  <c r="I562" i="23" s="1"/>
  <c r="K553" i="23"/>
  <c r="I554" i="23"/>
  <c r="I553" i="23" s="1"/>
  <c r="I545" i="23"/>
  <c r="I544" i="23" s="1"/>
  <c r="M544" i="23"/>
  <c r="K544" i="23"/>
  <c r="M535" i="23"/>
  <c r="I536" i="23"/>
  <c r="I535" i="23" s="1"/>
  <c r="I527" i="23"/>
  <c r="I526" i="23" s="1"/>
  <c r="M526" i="23"/>
  <c r="M517" i="23"/>
  <c r="I518" i="23"/>
  <c r="I517" i="23" s="1"/>
  <c r="O445" i="23"/>
  <c r="I392" i="23"/>
  <c r="I391" i="23" s="1"/>
  <c r="M337" i="23"/>
  <c r="I269" i="23"/>
  <c r="I373" i="23"/>
  <c r="I287" i="23"/>
  <c r="I431" i="23"/>
  <c r="I467" i="23"/>
  <c r="I305" i="23"/>
  <c r="M508" i="23"/>
  <c r="I509" i="23"/>
  <c r="I508" i="23" s="1"/>
  <c r="M481" i="23"/>
  <c r="I482" i="23"/>
  <c r="I481" i="23" s="1"/>
  <c r="K481" i="23"/>
  <c r="I221" i="23"/>
  <c r="I220" i="23" s="1"/>
  <c r="I260" i="23"/>
  <c r="I251" i="23"/>
  <c r="I338" i="23"/>
  <c r="I337" i="23" s="1"/>
  <c r="I359" i="23"/>
  <c r="I188" i="23"/>
  <c r="I256" i="23"/>
  <c r="I364" i="23"/>
  <c r="I458" i="23"/>
  <c r="I413" i="23"/>
  <c r="I386" i="23"/>
  <c r="I440" i="23"/>
  <c r="I377" i="23"/>
  <c r="I296" i="23"/>
  <c r="I368" i="23"/>
  <c r="M472" i="23"/>
  <c r="I473" i="23"/>
  <c r="I472" i="23" s="1"/>
  <c r="K463" i="23"/>
  <c r="I464" i="23"/>
  <c r="I463" i="23" s="1"/>
  <c r="K454" i="23"/>
  <c r="I455" i="23"/>
  <c r="I454" i="23" s="1"/>
  <c r="I445" i="23"/>
  <c r="I437" i="23"/>
  <c r="I436" i="23" s="1"/>
  <c r="I428" i="23"/>
  <c r="I427" i="23" s="1"/>
  <c r="M418" i="23"/>
  <c r="I419" i="23"/>
  <c r="I418" i="23" s="1"/>
  <c r="K418" i="23"/>
  <c r="K400" i="23"/>
  <c r="I401" i="23"/>
  <c r="I400" i="23" s="1"/>
  <c r="M382" i="23"/>
  <c r="I383" i="23"/>
  <c r="I382" i="23" s="1"/>
  <c r="M355" i="23"/>
  <c r="I356" i="23"/>
  <c r="I355" i="23" s="1"/>
  <c r="K355" i="23"/>
  <c r="M346" i="23"/>
  <c r="I347" i="23"/>
  <c r="I346" i="23" s="1"/>
  <c r="I328" i="23"/>
  <c r="K328" i="23"/>
  <c r="K319" i="23"/>
  <c r="M310" i="23"/>
  <c r="I311" i="23"/>
  <c r="I310" i="23" s="1"/>
  <c r="K310" i="23"/>
  <c r="M301" i="23"/>
  <c r="I302" i="23"/>
  <c r="I301" i="23" s="1"/>
  <c r="I293" i="23"/>
  <c r="I292" i="23" s="1"/>
  <c r="M292" i="23"/>
  <c r="M283" i="23"/>
  <c r="I284" i="23"/>
  <c r="I283" i="23" s="1"/>
  <c r="M274" i="23"/>
  <c r="I275" i="23"/>
  <c r="I274" i="23" s="1"/>
  <c r="K274" i="23"/>
  <c r="I266" i="23"/>
  <c r="I265" i="23" s="1"/>
  <c r="M265" i="23"/>
  <c r="M247" i="23"/>
  <c r="I248" i="23"/>
  <c r="I247" i="23" s="1"/>
  <c r="I179" i="23"/>
  <c r="I203" i="23"/>
  <c r="I202" i="23" s="1"/>
  <c r="I206" i="23"/>
  <c r="I229" i="23"/>
  <c r="I215" i="23"/>
  <c r="I233" i="23"/>
  <c r="I224" i="23"/>
  <c r="K229" i="23"/>
  <c r="I240" i="23"/>
  <c r="I238" i="23" s="1"/>
  <c r="K211" i="23"/>
  <c r="I212" i="23"/>
  <c r="I211" i="23" s="1"/>
  <c r="K193" i="23"/>
  <c r="I194" i="23"/>
  <c r="I195" i="23"/>
  <c r="I185" i="23"/>
  <c r="I184" i="23" s="1"/>
  <c r="K184" i="23"/>
  <c r="I170" i="23"/>
  <c r="I166" i="23"/>
  <c r="I152" i="23"/>
  <c r="I175" i="23"/>
  <c r="K175" i="23"/>
  <c r="I161" i="23"/>
  <c r="I157" i="23"/>
  <c r="K157" i="23"/>
  <c r="I193" i="23" l="1"/>
  <c r="Y116" i="10" l="1"/>
  <c r="X116" i="10"/>
  <c r="W116" i="10"/>
  <c r="AE113" i="10"/>
  <c r="AC113" i="10"/>
  <c r="AA113" i="10"/>
  <c r="Y113" i="10"/>
  <c r="W113" i="10"/>
  <c r="AE137" i="10"/>
  <c r="AD137" i="10"/>
  <c r="AC137" i="10"/>
  <c r="AB137" i="10"/>
  <c r="AA137" i="10"/>
  <c r="Z137" i="10"/>
  <c r="Y137" i="10"/>
  <c r="X137" i="10"/>
  <c r="W137" i="10"/>
  <c r="AE134" i="10"/>
  <c r="AD134" i="10"/>
  <c r="AC134" i="10"/>
  <c r="AB134" i="10"/>
  <c r="AA134" i="10"/>
  <c r="Z134" i="10"/>
  <c r="Y134" i="10"/>
  <c r="X134" i="10"/>
  <c r="W134" i="10"/>
  <c r="AE131" i="10"/>
  <c r="AE122" i="10"/>
  <c r="AD131" i="10"/>
  <c r="AD122" i="10"/>
  <c r="AC122" i="10"/>
  <c r="AB122" i="10"/>
  <c r="AC131" i="10"/>
  <c r="AA122" i="10"/>
  <c r="AB131" i="10"/>
  <c r="Z122" i="10"/>
  <c r="Y122" i="10"/>
  <c r="AA131" i="10"/>
  <c r="X122" i="10"/>
  <c r="W122" i="10"/>
  <c r="Z131" i="10"/>
  <c r="Y131" i="10"/>
  <c r="X131" i="10"/>
  <c r="AE119" i="10"/>
  <c r="AD119" i="10"/>
  <c r="AC119" i="10"/>
  <c r="W131" i="10"/>
  <c r="AB119" i="10"/>
  <c r="AA119" i="10"/>
  <c r="Z119" i="10"/>
  <c r="Y119" i="10"/>
  <c r="X119" i="10"/>
  <c r="W119" i="10"/>
  <c r="AE116" i="10"/>
  <c r="AE128" i="10"/>
  <c r="AD128" i="10"/>
  <c r="AC128" i="10"/>
  <c r="AB128" i="10"/>
  <c r="AA128" i="10"/>
  <c r="Y128" i="10"/>
  <c r="X128" i="10"/>
  <c r="AD116" i="10"/>
  <c r="AC116" i="10"/>
  <c r="AB116" i="10"/>
  <c r="AA116" i="10"/>
  <c r="Z116" i="10"/>
  <c r="X94" i="10"/>
  <c r="Y94" i="10"/>
  <c r="Z94" i="10"/>
  <c r="AA94" i="10"/>
  <c r="AB94" i="10"/>
  <c r="AC94" i="10"/>
  <c r="AD94" i="10"/>
  <c r="AE94" i="10"/>
  <c r="W94" i="10"/>
  <c r="AA95" i="10" l="1"/>
  <c r="AC95" i="10"/>
  <c r="AD95" i="10"/>
  <c r="AE95" i="10"/>
  <c r="Z95" i="10"/>
  <c r="AB95" i="10"/>
  <c r="AB113" i="10"/>
  <c r="Z113" i="10"/>
  <c r="X113" i="10"/>
  <c r="W128" i="10"/>
  <c r="Z128" i="10"/>
  <c r="AD113" i="10"/>
  <c r="AE98" i="10" l="1"/>
  <c r="AC98" i="10"/>
  <c r="AA98" i="10"/>
  <c r="AB98" i="10"/>
  <c r="AD98" i="10"/>
  <c r="Y107" i="10"/>
  <c r="X107" i="10"/>
  <c r="W107" i="10"/>
  <c r="Y104" i="10"/>
  <c r="X104" i="10"/>
  <c r="W104" i="10"/>
  <c r="Z98" i="10"/>
  <c r="AE107" i="10"/>
  <c r="AD107" i="10"/>
  <c r="AC107" i="10"/>
  <c r="AB107" i="10"/>
  <c r="AA107" i="10"/>
  <c r="Z107" i="10"/>
  <c r="AE104" i="10"/>
  <c r="AD104" i="10"/>
  <c r="AC104" i="10"/>
  <c r="AB104" i="10"/>
  <c r="AA104" i="10"/>
  <c r="Z104" i="10"/>
  <c r="AE101" i="10"/>
  <c r="AD101" i="10"/>
  <c r="AC101" i="10"/>
  <c r="AB101" i="10"/>
  <c r="AA101" i="10"/>
  <c r="Z101" i="10"/>
  <c r="E23" i="23" l="1"/>
  <c r="D5" i="22" s="1"/>
  <c r="F24" i="23"/>
  <c r="E6" i="22" s="1"/>
  <c r="D25" i="23"/>
  <c r="C7" i="22" s="1"/>
  <c r="E25" i="23"/>
  <c r="D7" i="22" s="1"/>
  <c r="F25" i="23"/>
  <c r="E7" i="22" s="1"/>
  <c r="E24" i="23"/>
  <c r="D6" i="22" s="1"/>
  <c r="E26" i="23"/>
  <c r="D8" i="22" s="1"/>
  <c r="Y101" i="10"/>
  <c r="Y95" i="10"/>
  <c r="F26" i="23"/>
  <c r="E8" i="22" s="1"/>
  <c r="X101" i="10"/>
  <c r="K132" i="23" s="1"/>
  <c r="X95" i="10"/>
  <c r="D26" i="23"/>
  <c r="C8" i="22" s="1"/>
  <c r="W101" i="10"/>
  <c r="W95" i="10"/>
  <c r="F23" i="23"/>
  <c r="E5" i="22" s="1"/>
  <c r="C6" i="26"/>
  <c r="C36" i="26"/>
  <c r="D20" i="26"/>
  <c r="E20" i="26"/>
  <c r="C20" i="26"/>
  <c r="D6" i="26"/>
  <c r="F6" i="26" s="1"/>
  <c r="E6" i="26"/>
  <c r="Y98" i="10"/>
  <c r="X98" i="10"/>
  <c r="W98" i="10"/>
  <c r="J144" i="23"/>
  <c r="K149" i="23"/>
  <c r="L144" i="23"/>
  <c r="M149" i="23"/>
  <c r="N144" i="23"/>
  <c r="O149" i="23"/>
  <c r="P144" i="23"/>
  <c r="J145" i="23"/>
  <c r="K150" i="23"/>
  <c r="L145" i="23"/>
  <c r="M150" i="23"/>
  <c r="N145" i="23"/>
  <c r="O150" i="23"/>
  <c r="P145" i="23"/>
  <c r="J146" i="23"/>
  <c r="K151" i="23"/>
  <c r="L146" i="23"/>
  <c r="M151" i="23"/>
  <c r="N146" i="23"/>
  <c r="O151" i="23"/>
  <c r="P146" i="23"/>
  <c r="J149" i="23"/>
  <c r="L149" i="23"/>
  <c r="N149" i="23"/>
  <c r="P149" i="23"/>
  <c r="J150" i="23"/>
  <c r="L150" i="23"/>
  <c r="N150" i="23"/>
  <c r="P150" i="23"/>
  <c r="J151" i="23"/>
  <c r="L151" i="23"/>
  <c r="N151" i="23"/>
  <c r="P151" i="23"/>
  <c r="J135" i="23"/>
  <c r="L135" i="23"/>
  <c r="M140" i="23"/>
  <c r="N135" i="23"/>
  <c r="O140" i="23"/>
  <c r="P135" i="23"/>
  <c r="J136" i="23"/>
  <c r="K141" i="23"/>
  <c r="L136" i="23"/>
  <c r="M141" i="23"/>
  <c r="N136" i="23"/>
  <c r="O141" i="23"/>
  <c r="P136" i="23"/>
  <c r="J137" i="23"/>
  <c r="K142" i="23"/>
  <c r="L137" i="23"/>
  <c r="M142" i="23"/>
  <c r="N137" i="23"/>
  <c r="O142" i="23"/>
  <c r="P137" i="23"/>
  <c r="J140" i="23"/>
  <c r="L140" i="23"/>
  <c r="N140" i="23"/>
  <c r="P140" i="23"/>
  <c r="J141" i="23"/>
  <c r="L141" i="23"/>
  <c r="N141" i="23"/>
  <c r="P141" i="23"/>
  <c r="J142" i="23"/>
  <c r="L142" i="23"/>
  <c r="N142" i="23"/>
  <c r="P142" i="23"/>
  <c r="J126" i="23"/>
  <c r="L126" i="23"/>
  <c r="N126" i="23"/>
  <c r="P126" i="23"/>
  <c r="J127" i="23"/>
  <c r="L127" i="23"/>
  <c r="M132" i="23"/>
  <c r="N127" i="23"/>
  <c r="O132" i="23"/>
  <c r="P127" i="23"/>
  <c r="J128" i="23"/>
  <c r="K133" i="23"/>
  <c r="L128" i="23"/>
  <c r="N128" i="23"/>
  <c r="O133" i="23"/>
  <c r="P128" i="23"/>
  <c r="J131" i="23"/>
  <c r="L131" i="23"/>
  <c r="N131" i="23"/>
  <c r="P131" i="23"/>
  <c r="J132" i="23"/>
  <c r="L132" i="23"/>
  <c r="N132" i="23"/>
  <c r="P132" i="23"/>
  <c r="J133" i="23"/>
  <c r="L133" i="23"/>
  <c r="N133" i="23"/>
  <c r="P133" i="23"/>
  <c r="J117" i="23"/>
  <c r="K122" i="23"/>
  <c r="L117" i="23"/>
  <c r="M122" i="23"/>
  <c r="N117" i="23"/>
  <c r="O122" i="23"/>
  <c r="P117" i="23"/>
  <c r="J118" i="23"/>
  <c r="L118" i="23"/>
  <c r="M123" i="23"/>
  <c r="N118" i="23"/>
  <c r="O123" i="23"/>
  <c r="P118" i="23"/>
  <c r="J119" i="23"/>
  <c r="K124" i="23"/>
  <c r="L119" i="23"/>
  <c r="M124" i="23"/>
  <c r="N119" i="23"/>
  <c r="O124" i="23"/>
  <c r="P119" i="23"/>
  <c r="J122" i="23"/>
  <c r="L122" i="23"/>
  <c r="N122" i="23"/>
  <c r="P122" i="23"/>
  <c r="J123" i="23"/>
  <c r="L123" i="23"/>
  <c r="N123" i="23"/>
  <c r="P123" i="23"/>
  <c r="J124" i="23"/>
  <c r="L124" i="23"/>
  <c r="N124" i="23"/>
  <c r="P124" i="23"/>
  <c r="J108" i="23"/>
  <c r="L108" i="23"/>
  <c r="M113" i="23"/>
  <c r="N108" i="23"/>
  <c r="O113" i="23"/>
  <c r="P108" i="23"/>
  <c r="J109" i="23"/>
  <c r="K114" i="23"/>
  <c r="L109" i="23"/>
  <c r="M114" i="23"/>
  <c r="N109" i="23"/>
  <c r="O114" i="23"/>
  <c r="P109" i="23"/>
  <c r="J110" i="23"/>
  <c r="L110" i="23"/>
  <c r="M115" i="23"/>
  <c r="N110" i="23"/>
  <c r="O115" i="23"/>
  <c r="P110" i="23"/>
  <c r="J113" i="23"/>
  <c r="L113" i="23"/>
  <c r="N113" i="23"/>
  <c r="P113" i="23"/>
  <c r="J114" i="23"/>
  <c r="L114" i="23"/>
  <c r="N114" i="23"/>
  <c r="P114" i="23"/>
  <c r="J115" i="23"/>
  <c r="L115" i="23"/>
  <c r="N115" i="23"/>
  <c r="P115" i="23"/>
  <c r="J99" i="23"/>
  <c r="K104" i="23"/>
  <c r="L99" i="23"/>
  <c r="M104" i="23"/>
  <c r="N99" i="23"/>
  <c r="O104" i="23"/>
  <c r="P99" i="23"/>
  <c r="J100" i="23"/>
  <c r="K105" i="23"/>
  <c r="L100" i="23"/>
  <c r="M105" i="23"/>
  <c r="N100" i="23"/>
  <c r="O105" i="23"/>
  <c r="P100" i="23"/>
  <c r="J101" i="23"/>
  <c r="K106" i="23"/>
  <c r="L101" i="23"/>
  <c r="M106" i="23"/>
  <c r="N101" i="23"/>
  <c r="O106" i="23"/>
  <c r="P101" i="23"/>
  <c r="J104" i="23"/>
  <c r="L104" i="23"/>
  <c r="N104" i="23"/>
  <c r="P104" i="23"/>
  <c r="J105" i="23"/>
  <c r="L105" i="23"/>
  <c r="N105" i="23"/>
  <c r="P105" i="23"/>
  <c r="J106" i="23"/>
  <c r="L106" i="23"/>
  <c r="N106" i="23"/>
  <c r="P106" i="23"/>
  <c r="J90" i="23"/>
  <c r="L90" i="23"/>
  <c r="M95" i="23"/>
  <c r="N90" i="23"/>
  <c r="O95" i="23"/>
  <c r="P90" i="23"/>
  <c r="J91" i="23"/>
  <c r="L91" i="23"/>
  <c r="M96" i="23"/>
  <c r="N91" i="23"/>
  <c r="O96" i="23"/>
  <c r="P91" i="23"/>
  <c r="J92" i="23"/>
  <c r="K97" i="23"/>
  <c r="L92" i="23"/>
  <c r="M97" i="23"/>
  <c r="N92" i="23"/>
  <c r="O97" i="23"/>
  <c r="P92" i="23"/>
  <c r="J95" i="23"/>
  <c r="L95" i="23"/>
  <c r="N95" i="23"/>
  <c r="P95" i="23"/>
  <c r="J96" i="23"/>
  <c r="L96" i="23"/>
  <c r="N96" i="23"/>
  <c r="P96" i="23"/>
  <c r="J97" i="23"/>
  <c r="L97" i="23"/>
  <c r="N97" i="23"/>
  <c r="P97" i="23"/>
  <c r="K86" i="23"/>
  <c r="J81" i="23"/>
  <c r="L81" i="23"/>
  <c r="M86" i="23"/>
  <c r="N81" i="23"/>
  <c r="O86" i="23"/>
  <c r="P81" i="23"/>
  <c r="J82" i="23"/>
  <c r="L82" i="23"/>
  <c r="M87" i="23"/>
  <c r="N82" i="23"/>
  <c r="O87" i="23"/>
  <c r="P82" i="23"/>
  <c r="J83" i="23"/>
  <c r="L83" i="23"/>
  <c r="M88" i="23"/>
  <c r="N83" i="23"/>
  <c r="O88" i="23"/>
  <c r="P83" i="23"/>
  <c r="J86" i="23"/>
  <c r="L86" i="23"/>
  <c r="N86" i="23"/>
  <c r="P86" i="23"/>
  <c r="J87" i="23"/>
  <c r="L87" i="23"/>
  <c r="N87" i="23"/>
  <c r="P87" i="23"/>
  <c r="J88" i="23"/>
  <c r="L88" i="23"/>
  <c r="N88" i="23"/>
  <c r="P88" i="23"/>
  <c r="J72" i="23"/>
  <c r="L72" i="23"/>
  <c r="M77" i="23"/>
  <c r="N72" i="23"/>
  <c r="O77" i="23"/>
  <c r="P72" i="23"/>
  <c r="J73" i="23"/>
  <c r="L73" i="23"/>
  <c r="M78" i="23"/>
  <c r="N73" i="23"/>
  <c r="O78" i="23"/>
  <c r="P73" i="23"/>
  <c r="J74" i="23"/>
  <c r="L74" i="23"/>
  <c r="M79" i="23"/>
  <c r="N74" i="23"/>
  <c r="P74" i="23"/>
  <c r="J77" i="23"/>
  <c r="L77" i="23"/>
  <c r="N77" i="23"/>
  <c r="P77" i="23"/>
  <c r="J78" i="23"/>
  <c r="L78" i="23"/>
  <c r="N78" i="23"/>
  <c r="P78" i="23"/>
  <c r="J79" i="23"/>
  <c r="L79" i="23"/>
  <c r="N79" i="23"/>
  <c r="P79" i="23"/>
  <c r="E14" i="23"/>
  <c r="F14" i="23"/>
  <c r="C15" i="23"/>
  <c r="C17" i="23"/>
  <c r="D9" i="22" l="1"/>
  <c r="B8" i="22"/>
  <c r="F20" i="26"/>
  <c r="E9" i="22"/>
  <c r="B7" i="22"/>
  <c r="I150" i="23"/>
  <c r="C25" i="23"/>
  <c r="D24" i="23"/>
  <c r="K131" i="23"/>
  <c r="K130" i="23" s="1"/>
  <c r="E22" i="23"/>
  <c r="C26" i="23"/>
  <c r="F22" i="23"/>
  <c r="D23" i="23"/>
  <c r="C5" i="22" s="1"/>
  <c r="K134" i="23"/>
  <c r="I145" i="23"/>
  <c r="I128" i="23"/>
  <c r="O148" i="23"/>
  <c r="M143" i="23"/>
  <c r="K148" i="23"/>
  <c r="K143" i="23"/>
  <c r="I151" i="23"/>
  <c r="M148" i="23"/>
  <c r="I142" i="23"/>
  <c r="I149" i="23"/>
  <c r="I127" i="23"/>
  <c r="K140" i="23"/>
  <c r="K139" i="23" s="1"/>
  <c r="I144" i="23"/>
  <c r="I146" i="23"/>
  <c r="O125" i="23"/>
  <c r="I136" i="23"/>
  <c r="O143" i="23"/>
  <c r="O139" i="23"/>
  <c r="I141" i="23"/>
  <c r="M139" i="23"/>
  <c r="I135" i="23"/>
  <c r="O134" i="23"/>
  <c r="I137" i="23"/>
  <c r="M134" i="23"/>
  <c r="O131" i="23"/>
  <c r="O130" i="23" s="1"/>
  <c r="I132" i="23"/>
  <c r="M125" i="23"/>
  <c r="M131" i="23"/>
  <c r="M133" i="23"/>
  <c r="I133" i="23" s="1"/>
  <c r="I118" i="23"/>
  <c r="K116" i="23"/>
  <c r="O121" i="23"/>
  <c r="I124" i="23"/>
  <c r="M121" i="23"/>
  <c r="I119" i="23"/>
  <c r="K123" i="23"/>
  <c r="I123" i="23" s="1"/>
  <c r="I122" i="23"/>
  <c r="I117" i="23"/>
  <c r="M116" i="23"/>
  <c r="O116" i="23"/>
  <c r="I114" i="23"/>
  <c r="I86" i="23"/>
  <c r="K107" i="23"/>
  <c r="K103" i="23"/>
  <c r="I110" i="23"/>
  <c r="K113" i="23"/>
  <c r="I113" i="23" s="1"/>
  <c r="O112" i="23"/>
  <c r="M112" i="23"/>
  <c r="I109" i="23"/>
  <c r="I108" i="23"/>
  <c r="O107" i="23"/>
  <c r="K115" i="23"/>
  <c r="I115" i="23" s="1"/>
  <c r="M107" i="23"/>
  <c r="O103" i="23"/>
  <c r="I105" i="23"/>
  <c r="I100" i="23"/>
  <c r="M103" i="23"/>
  <c r="I106" i="23"/>
  <c r="K98" i="23"/>
  <c r="I101" i="23"/>
  <c r="O98" i="23"/>
  <c r="M98" i="23"/>
  <c r="I99" i="23"/>
  <c r="I104" i="23"/>
  <c r="O94" i="23"/>
  <c r="I97" i="23"/>
  <c r="I90" i="23"/>
  <c r="I81" i="23"/>
  <c r="M94" i="23"/>
  <c r="K95" i="23"/>
  <c r="I92" i="23"/>
  <c r="O89" i="23"/>
  <c r="M89" i="23"/>
  <c r="K71" i="23"/>
  <c r="O85" i="23"/>
  <c r="M71" i="23"/>
  <c r="M85" i="23"/>
  <c r="K77" i="23"/>
  <c r="I77" i="23" s="1"/>
  <c r="I73" i="23"/>
  <c r="O71" i="23"/>
  <c r="K78" i="23"/>
  <c r="I78" i="23" s="1"/>
  <c r="O80" i="23"/>
  <c r="M80" i="23"/>
  <c r="O79" i="23"/>
  <c r="O76" i="23" s="1"/>
  <c r="I74" i="23"/>
  <c r="K79" i="23"/>
  <c r="M76" i="23"/>
  <c r="I72" i="23"/>
  <c r="D14" i="23" l="1"/>
  <c r="C14" i="23" s="1"/>
  <c r="C16" i="23"/>
  <c r="B5" i="22"/>
  <c r="C24" i="23"/>
  <c r="C6" i="22"/>
  <c r="B6" i="22" s="1"/>
  <c r="I126" i="23"/>
  <c r="I125" i="23" s="1"/>
  <c r="I143" i="23"/>
  <c r="I116" i="23"/>
  <c r="D22" i="23"/>
  <c r="C22" i="23" s="1"/>
  <c r="K125" i="23"/>
  <c r="I131" i="23"/>
  <c r="I130" i="23" s="1"/>
  <c r="C23" i="23"/>
  <c r="I140" i="23"/>
  <c r="I139" i="23" s="1"/>
  <c r="I121" i="23"/>
  <c r="I148" i="23"/>
  <c r="I98" i="23"/>
  <c r="I79" i="23"/>
  <c r="I76" i="23" s="1"/>
  <c r="I107" i="23"/>
  <c r="I134" i="23"/>
  <c r="M130" i="23"/>
  <c r="I112" i="23"/>
  <c r="K121" i="23"/>
  <c r="I103" i="23"/>
  <c r="K112" i="23"/>
  <c r="I95" i="23"/>
  <c r="K76" i="23"/>
  <c r="I71"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Q37" i="10"/>
  <c r="R37" i="10"/>
  <c r="S37" i="10"/>
  <c r="T37" i="10"/>
  <c r="U37" i="10"/>
  <c r="Q38" i="10"/>
  <c r="U38" i="10"/>
  <c r="Q39" i="10"/>
  <c r="S39" i="10"/>
  <c r="U39" i="10"/>
  <c r="Q40" i="10"/>
  <c r="R40" i="10"/>
  <c r="S40" i="10"/>
  <c r="T40" i="10"/>
  <c r="U40" i="10"/>
  <c r="Q41" i="10"/>
  <c r="R41" i="10"/>
  <c r="S41" i="10"/>
  <c r="T41" i="10"/>
  <c r="U41" i="10"/>
  <c r="Q42" i="10"/>
  <c r="R42" i="10"/>
  <c r="S42" i="10"/>
  <c r="T42" i="10"/>
  <c r="U42" i="10"/>
  <c r="Q44" i="10"/>
  <c r="R44" i="10"/>
  <c r="S44" i="10"/>
  <c r="T44" i="10"/>
  <c r="Q46" i="10"/>
  <c r="R46" i="10"/>
  <c r="S46" i="10"/>
  <c r="T46" i="10"/>
  <c r="U46" i="10"/>
  <c r="Q47" i="10"/>
  <c r="R47" i="10"/>
  <c r="S47" i="10"/>
  <c r="T47" i="10"/>
  <c r="U47" i="10"/>
  <c r="R49" i="10"/>
  <c r="S49" i="10"/>
  <c r="T49" i="10"/>
  <c r="U49" i="10"/>
  <c r="Q51" i="10"/>
  <c r="R51" i="10"/>
  <c r="S51" i="10"/>
  <c r="T51" i="10"/>
  <c r="Q52" i="10"/>
  <c r="R52" i="10"/>
  <c r="S52" i="10"/>
  <c r="T52" i="10"/>
  <c r="U52" i="10"/>
  <c r="Q53" i="10"/>
  <c r="R53" i="10"/>
  <c r="S53" i="10"/>
  <c r="T53" i="10"/>
  <c r="U53" i="10"/>
  <c r="Q55" i="10"/>
  <c r="R55" i="10"/>
  <c r="S55" i="10"/>
  <c r="T55" i="10"/>
  <c r="R56" i="10"/>
  <c r="S56" i="10"/>
  <c r="T56" i="10"/>
  <c r="U56" i="10"/>
  <c r="Q58" i="10"/>
  <c r="R58" i="10"/>
  <c r="S58" i="10"/>
  <c r="T58" i="10"/>
  <c r="U58" i="10"/>
  <c r="Q62" i="10"/>
  <c r="Q63" i="10"/>
  <c r="R63" i="10"/>
  <c r="S63" i="10"/>
  <c r="T63" i="10"/>
  <c r="U63" i="10"/>
  <c r="Q64" i="10"/>
  <c r="R64" i="10"/>
  <c r="S64" i="10"/>
  <c r="T64" i="10"/>
  <c r="U64" i="10"/>
  <c r="R65" i="10"/>
  <c r="S65" i="10"/>
  <c r="E8" i="10" s="1"/>
  <c r="T65" i="10"/>
  <c r="U65" i="10"/>
  <c r="Q66" i="10"/>
  <c r="R66" i="10"/>
  <c r="S66" i="10"/>
  <c r="T66" i="10"/>
  <c r="U66" i="10"/>
  <c r="Q67" i="10"/>
  <c r="R67" i="10"/>
  <c r="S67" i="10"/>
  <c r="T67" i="10"/>
  <c r="U67" i="10"/>
  <c r="Q68" i="10"/>
  <c r="R68" i="10"/>
  <c r="S68" i="10"/>
  <c r="T68" i="10"/>
  <c r="U68" i="10"/>
  <c r="Q69" i="10"/>
  <c r="R69" i="10"/>
  <c r="S69" i="10"/>
  <c r="T69" i="10"/>
  <c r="U69" i="10"/>
  <c r="Q72" i="10"/>
  <c r="R72" i="10"/>
  <c r="S72" i="10"/>
  <c r="T72" i="10"/>
  <c r="U72" i="10"/>
  <c r="Q73" i="10"/>
  <c r="R73" i="10"/>
  <c r="S73" i="10"/>
  <c r="T73" i="10"/>
  <c r="U73" i="10"/>
  <c r="Q74" i="10"/>
  <c r="R74" i="10"/>
  <c r="S74" i="10"/>
  <c r="T74" i="10"/>
  <c r="U74" i="10"/>
  <c r="Q75" i="10"/>
  <c r="R75" i="10"/>
  <c r="S75" i="10"/>
  <c r="T75" i="10"/>
  <c r="U75" i="10"/>
  <c r="Q76" i="10"/>
  <c r="R76" i="10"/>
  <c r="S76" i="10"/>
  <c r="T76" i="10"/>
  <c r="U76" i="10"/>
  <c r="Q77" i="10"/>
  <c r="R77" i="10"/>
  <c r="S77" i="10"/>
  <c r="T77" i="10"/>
  <c r="U77" i="10"/>
  <c r="Q78" i="10"/>
  <c r="R78" i="10"/>
  <c r="S78" i="10"/>
  <c r="T78" i="10"/>
  <c r="U78" i="10"/>
  <c r="Q79" i="10"/>
  <c r="R79" i="10"/>
  <c r="S79" i="10"/>
  <c r="T79" i="10"/>
  <c r="U79" i="10"/>
  <c r="Q80" i="10"/>
  <c r="R80" i="10"/>
  <c r="S80" i="10"/>
  <c r="T80" i="10"/>
  <c r="U80" i="10"/>
  <c r="Q81" i="10"/>
  <c r="R81" i="10"/>
  <c r="S81" i="10"/>
  <c r="T81" i="10"/>
  <c r="U81" i="10"/>
  <c r="Q82" i="10"/>
  <c r="R82" i="10"/>
  <c r="S82" i="10"/>
  <c r="T82" i="10"/>
  <c r="U82" i="10"/>
  <c r="Q83" i="10"/>
  <c r="R83" i="10"/>
  <c r="S83" i="10"/>
  <c r="T83" i="10"/>
  <c r="U83" i="10"/>
  <c r="Q84" i="10"/>
  <c r="R84" i="10"/>
  <c r="S84" i="10"/>
  <c r="T84" i="10"/>
  <c r="U84" i="10"/>
  <c r="Q85" i="10"/>
  <c r="R85" i="10"/>
  <c r="S85" i="10"/>
  <c r="T85" i="10"/>
  <c r="U85" i="10"/>
  <c r="Q86" i="10"/>
  <c r="R86" i="10"/>
  <c r="S86" i="10"/>
  <c r="T86" i="10"/>
  <c r="U86" i="10"/>
  <c r="Q87" i="10"/>
  <c r="R87" i="10"/>
  <c r="S87" i="10"/>
  <c r="T87" i="10"/>
  <c r="U87" i="10"/>
  <c r="Q88" i="10"/>
  <c r="R88" i="10"/>
  <c r="S88" i="10"/>
  <c r="T88" i="10"/>
  <c r="U88" i="10"/>
  <c r="Q89" i="10"/>
  <c r="R89" i="10"/>
  <c r="S89" i="10"/>
  <c r="T89" i="10"/>
  <c r="U89" i="10"/>
  <c r="Q90" i="10"/>
  <c r="R90" i="10"/>
  <c r="S90" i="10"/>
  <c r="T90" i="10"/>
  <c r="U90" i="10"/>
  <c r="Q91" i="10"/>
  <c r="R91" i="10"/>
  <c r="S91" i="10"/>
  <c r="T91" i="10"/>
  <c r="U91" i="10"/>
  <c r="Q92" i="10"/>
  <c r="R92" i="10"/>
  <c r="S92" i="10"/>
  <c r="T92" i="10"/>
  <c r="U92" i="10"/>
  <c r="Q93" i="10"/>
  <c r="R93" i="10"/>
  <c r="S93" i="10"/>
  <c r="T93" i="10"/>
  <c r="U93" i="10"/>
  <c r="Q94" i="10"/>
  <c r="R94" i="10"/>
  <c r="S94" i="10"/>
  <c r="T94" i="10"/>
  <c r="U94" i="10"/>
  <c r="U35" i="10"/>
  <c r="T35" i="10"/>
  <c r="S35" i="10"/>
  <c r="R35" i="10"/>
  <c r="Q35" i="10"/>
  <c r="U36" i="10"/>
  <c r="O65" i="23"/>
  <c r="O70" i="23" s="1"/>
  <c r="O64" i="23"/>
  <c r="O69" i="23" s="1"/>
  <c r="M65" i="23"/>
  <c r="M70" i="23" s="1"/>
  <c r="M64" i="23"/>
  <c r="M69" i="23" s="1"/>
  <c r="K65" i="23"/>
  <c r="K70" i="23" s="1"/>
  <c r="K64" i="23"/>
  <c r="K69" i="23" s="1"/>
  <c r="K63" i="23"/>
  <c r="K68" i="23" s="1"/>
  <c r="P70" i="23"/>
  <c r="N70" i="23"/>
  <c r="L70" i="23"/>
  <c r="J70" i="23"/>
  <c r="P69" i="23"/>
  <c r="N69" i="23"/>
  <c r="L69" i="23"/>
  <c r="J69" i="23"/>
  <c r="P68" i="23"/>
  <c r="N68" i="23"/>
  <c r="L68" i="23"/>
  <c r="J68" i="23"/>
  <c r="P65" i="23"/>
  <c r="N65" i="23"/>
  <c r="L65" i="23"/>
  <c r="J65" i="23"/>
  <c r="P64" i="23"/>
  <c r="N64" i="23"/>
  <c r="L64" i="23"/>
  <c r="J64" i="23"/>
  <c r="P63" i="23"/>
  <c r="N63" i="23"/>
  <c r="L63" i="23"/>
  <c r="J63" i="23"/>
  <c r="M41" i="23"/>
  <c r="O56" i="23"/>
  <c r="O61" i="23" s="1"/>
  <c r="O55" i="23"/>
  <c r="O54" i="23"/>
  <c r="O59" i="23" s="1"/>
  <c r="M56" i="23"/>
  <c r="M61" i="23" s="1"/>
  <c r="M55" i="23"/>
  <c r="M60" i="23" s="1"/>
  <c r="M54" i="23"/>
  <c r="K56" i="23"/>
  <c r="K61" i="23" s="1"/>
  <c r="K55" i="23"/>
  <c r="K60" i="23" s="1"/>
  <c r="K54" i="23"/>
  <c r="P61" i="23"/>
  <c r="N61" i="23"/>
  <c r="L61" i="23"/>
  <c r="J61" i="23"/>
  <c r="P60" i="23"/>
  <c r="N60" i="23"/>
  <c r="L60" i="23"/>
  <c r="J60" i="23"/>
  <c r="P59" i="23"/>
  <c r="N59" i="23"/>
  <c r="L59" i="23"/>
  <c r="J59" i="23"/>
  <c r="P56" i="23"/>
  <c r="N56" i="23"/>
  <c r="L56" i="23"/>
  <c r="J56" i="23"/>
  <c r="P55" i="23"/>
  <c r="N55" i="23"/>
  <c r="L55" i="23"/>
  <c r="J55" i="23"/>
  <c r="P54" i="23"/>
  <c r="N54" i="23"/>
  <c r="L54" i="23"/>
  <c r="J54" i="23"/>
  <c r="O47" i="23"/>
  <c r="O52" i="23" s="1"/>
  <c r="O46" i="23"/>
  <c r="O45" i="23"/>
  <c r="M47" i="23"/>
  <c r="M52" i="23" s="1"/>
  <c r="M46" i="23"/>
  <c r="M51" i="23" s="1"/>
  <c r="M45" i="23"/>
  <c r="K47" i="23"/>
  <c r="K52" i="23" s="1"/>
  <c r="K46" i="23"/>
  <c r="K51" i="23" s="1"/>
  <c r="K45" i="23"/>
  <c r="P52" i="23"/>
  <c r="N52" i="23"/>
  <c r="L52" i="23"/>
  <c r="J52" i="23"/>
  <c r="P51" i="23"/>
  <c r="N51" i="23"/>
  <c r="L51" i="23"/>
  <c r="J51" i="23"/>
  <c r="P50" i="23"/>
  <c r="N50" i="23"/>
  <c r="L50" i="23"/>
  <c r="J50" i="23"/>
  <c r="P47" i="23"/>
  <c r="N47" i="23"/>
  <c r="L47" i="23"/>
  <c r="J47" i="23"/>
  <c r="P46" i="23"/>
  <c r="N46" i="23"/>
  <c r="L46" i="23"/>
  <c r="J46" i="23"/>
  <c r="P45" i="23"/>
  <c r="N45" i="23"/>
  <c r="L45" i="23"/>
  <c r="J45" i="23"/>
  <c r="P43" i="23"/>
  <c r="P42" i="23"/>
  <c r="P41" i="23"/>
  <c r="N43" i="23"/>
  <c r="N42" i="23"/>
  <c r="N41" i="23"/>
  <c r="O38" i="23"/>
  <c r="O37" i="23"/>
  <c r="O36" i="23"/>
  <c r="M38" i="23"/>
  <c r="M37" i="23"/>
  <c r="K38" i="23"/>
  <c r="K37" i="23"/>
  <c r="K36" i="23"/>
  <c r="P38" i="23"/>
  <c r="P37" i="23"/>
  <c r="P36" i="23"/>
  <c r="N38" i="23"/>
  <c r="N37" i="23"/>
  <c r="N36" i="23"/>
  <c r="L43" i="23"/>
  <c r="J43" i="23"/>
  <c r="L42" i="23"/>
  <c r="J42" i="23"/>
  <c r="L41" i="23"/>
  <c r="J41" i="23"/>
  <c r="L38" i="23"/>
  <c r="J38" i="23"/>
  <c r="L37" i="23"/>
  <c r="J37" i="23"/>
  <c r="L36" i="23"/>
  <c r="J36" i="23"/>
  <c r="P34" i="23"/>
  <c r="P33" i="23"/>
  <c r="P32" i="23"/>
  <c r="B44" i="23"/>
  <c r="C44" i="23"/>
  <c r="D44" i="23"/>
  <c r="E44" i="23"/>
  <c r="F44" i="23"/>
  <c r="G44" i="23" a="1"/>
  <c r="G44" i="23" s="1"/>
  <c r="H44" i="23" a="1"/>
  <c r="H44" i="23" s="1"/>
  <c r="B53" i="23"/>
  <c r="C53" i="23"/>
  <c r="D53" i="23"/>
  <c r="E53" i="23"/>
  <c r="F53" i="23"/>
  <c r="G53" i="23" a="1"/>
  <c r="G53" i="23" s="1"/>
  <c r="H53" i="23" a="1"/>
  <c r="H53" i="23" s="1"/>
  <c r="B62" i="23"/>
  <c r="C62" i="23"/>
  <c r="D62" i="23"/>
  <c r="E62" i="23"/>
  <c r="F62" i="23"/>
  <c r="G62" i="23" a="1"/>
  <c r="G62" i="23" s="1"/>
  <c r="H62" i="23" a="1"/>
  <c r="H62" i="23" s="1"/>
  <c r="B71" i="23"/>
  <c r="C71" i="23"/>
  <c r="D71" i="23"/>
  <c r="E71" i="23"/>
  <c r="F71" i="23"/>
  <c r="G71" i="23" a="1"/>
  <c r="G71" i="23" s="1"/>
  <c r="H71" i="23" a="1"/>
  <c r="H71" i="23" s="1"/>
  <c r="B80" i="23"/>
  <c r="C80" i="23"/>
  <c r="D80" i="23"/>
  <c r="E80" i="23"/>
  <c r="F80" i="23"/>
  <c r="G80" i="23" a="1"/>
  <c r="G80" i="23" s="1"/>
  <c r="H80" i="23" a="1"/>
  <c r="H80" i="23" s="1"/>
  <c r="B89" i="23"/>
  <c r="C89" i="23"/>
  <c r="D89" i="23"/>
  <c r="E89" i="23"/>
  <c r="F89" i="23"/>
  <c r="G89" i="23" a="1"/>
  <c r="G89" i="23" s="1"/>
  <c r="H89" i="23" a="1"/>
  <c r="H89" i="23" s="1"/>
  <c r="B98" i="23"/>
  <c r="C98" i="23"/>
  <c r="D98" i="23"/>
  <c r="E98" i="23"/>
  <c r="F98" i="23"/>
  <c r="G98" i="23" a="1"/>
  <c r="G98" i="23" s="1"/>
  <c r="H98" i="23" a="1"/>
  <c r="H98" i="23" s="1"/>
  <c r="B107" i="23"/>
  <c r="C107" i="23"/>
  <c r="D107" i="23"/>
  <c r="E107" i="23"/>
  <c r="F107" i="23"/>
  <c r="G107" i="23" a="1"/>
  <c r="G107" i="23" s="1"/>
  <c r="H107" i="23" a="1"/>
  <c r="H107" i="23" s="1"/>
  <c r="B116" i="23"/>
  <c r="C116" i="23"/>
  <c r="D116" i="23"/>
  <c r="E116" i="23"/>
  <c r="F116" i="23"/>
  <c r="G116" i="23" a="1"/>
  <c r="G116" i="23" s="1"/>
  <c r="H116" i="23" a="1"/>
  <c r="H116" i="23" s="1"/>
  <c r="B125" i="23"/>
  <c r="C125" i="23"/>
  <c r="D125" i="23"/>
  <c r="E125" i="23"/>
  <c r="F125" i="23"/>
  <c r="G125" i="23" a="1"/>
  <c r="G125" i="23" s="1"/>
  <c r="H125" i="23" a="1"/>
  <c r="H125" i="23" s="1"/>
  <c r="B134" i="23"/>
  <c r="C134" i="23"/>
  <c r="D134" i="23"/>
  <c r="E134" i="23"/>
  <c r="F134" i="23"/>
  <c r="G134" i="23" a="1"/>
  <c r="G134" i="23" s="1"/>
  <c r="H134" i="23" a="1"/>
  <c r="H134" i="23" s="1"/>
  <c r="B143" i="23"/>
  <c r="C143" i="23"/>
  <c r="D143" i="23"/>
  <c r="E143" i="23"/>
  <c r="F143" i="23"/>
  <c r="G143" i="23" a="1"/>
  <c r="G143" i="23" s="1"/>
  <c r="H143" i="23" a="1"/>
  <c r="H143" i="23" s="1"/>
  <c r="B152" i="23"/>
  <c r="C152" i="23"/>
  <c r="D152" i="23"/>
  <c r="E152" i="23"/>
  <c r="F152" i="23"/>
  <c r="G152" i="23" a="1"/>
  <c r="G152" i="23" s="1"/>
  <c r="H152" i="23" a="1"/>
  <c r="H152" i="23" s="1"/>
  <c r="B161" i="23"/>
  <c r="C161" i="23"/>
  <c r="D161" i="23"/>
  <c r="E161" i="23"/>
  <c r="F161" i="23"/>
  <c r="G161" i="23" a="1"/>
  <c r="G161" i="23" s="1"/>
  <c r="H161" i="23" a="1"/>
  <c r="H161" i="23" s="1"/>
  <c r="B170" i="23"/>
  <c r="C170" i="23"/>
  <c r="D170" i="23"/>
  <c r="E170" i="23"/>
  <c r="F170" i="23"/>
  <c r="G170" i="23" a="1"/>
  <c r="G170" i="23" s="1"/>
  <c r="H170" i="23" a="1"/>
  <c r="H170" i="23" s="1"/>
  <c r="B179" i="23"/>
  <c r="C179" i="23"/>
  <c r="D179" i="23"/>
  <c r="E179" i="23"/>
  <c r="F179" i="23"/>
  <c r="G179" i="23" a="1"/>
  <c r="G179" i="23" s="1"/>
  <c r="H179" i="23" a="1"/>
  <c r="H179" i="23" s="1"/>
  <c r="B188" i="23"/>
  <c r="C188" i="23"/>
  <c r="D188" i="23"/>
  <c r="E188" i="23"/>
  <c r="F188" i="23"/>
  <c r="G188" i="23" a="1"/>
  <c r="G188" i="23" s="1"/>
  <c r="H188" i="23" a="1"/>
  <c r="H188" i="23" s="1"/>
  <c r="B197" i="23"/>
  <c r="C197" i="23"/>
  <c r="D197" i="23"/>
  <c r="E197" i="23"/>
  <c r="F197" i="23"/>
  <c r="G197" i="23" a="1"/>
  <c r="G197" i="23" s="1"/>
  <c r="H197" i="23" a="1"/>
  <c r="H197" i="23" s="1"/>
  <c r="B206" i="23"/>
  <c r="C206" i="23"/>
  <c r="D206" i="23"/>
  <c r="E206" i="23"/>
  <c r="F206" i="23"/>
  <c r="G206" i="23" a="1"/>
  <c r="G206" i="23" s="1"/>
  <c r="H206" i="23" a="1"/>
  <c r="H206" i="23" s="1"/>
  <c r="B215" i="23"/>
  <c r="C215" i="23"/>
  <c r="D215" i="23"/>
  <c r="E215" i="23"/>
  <c r="F215" i="23"/>
  <c r="G215" i="23" a="1"/>
  <c r="G215" i="23" s="1"/>
  <c r="H215" i="23" a="1"/>
  <c r="H215" i="23" s="1"/>
  <c r="B224" i="23"/>
  <c r="C224" i="23"/>
  <c r="D224" i="23"/>
  <c r="E224" i="23"/>
  <c r="F224" i="23"/>
  <c r="G224" i="23" a="1"/>
  <c r="G224" i="23" s="1"/>
  <c r="H224" i="23" a="1"/>
  <c r="H224" i="23" s="1"/>
  <c r="B233" i="23"/>
  <c r="C233" i="23"/>
  <c r="D233" i="23"/>
  <c r="E233" i="23"/>
  <c r="F233" i="23"/>
  <c r="G233" i="23" a="1"/>
  <c r="G233" i="23" s="1"/>
  <c r="H233" i="23" a="1"/>
  <c r="H233" i="23" s="1"/>
  <c r="B242" i="23"/>
  <c r="C242" i="23"/>
  <c r="D242" i="23"/>
  <c r="E242" i="23"/>
  <c r="F242" i="23"/>
  <c r="G242" i="23" a="1"/>
  <c r="G242" i="23" s="1"/>
  <c r="H242" i="23" a="1"/>
  <c r="H242" i="23" s="1"/>
  <c r="B251" i="23"/>
  <c r="C251" i="23"/>
  <c r="D251" i="23"/>
  <c r="E251" i="23"/>
  <c r="F251" i="23"/>
  <c r="G251" i="23" a="1"/>
  <c r="G251" i="23" s="1"/>
  <c r="H251" i="23" a="1"/>
  <c r="H251" i="23" s="1"/>
  <c r="B260" i="23"/>
  <c r="C260" i="23"/>
  <c r="D260" i="23"/>
  <c r="E260" i="23"/>
  <c r="F260" i="23"/>
  <c r="G260" i="23" a="1"/>
  <c r="G260" i="23" s="1"/>
  <c r="H260" i="23" a="1"/>
  <c r="H260" i="23" s="1"/>
  <c r="B269" i="23"/>
  <c r="C269" i="23"/>
  <c r="D269" i="23"/>
  <c r="E269" i="23"/>
  <c r="F269" i="23"/>
  <c r="G269" i="23" a="1"/>
  <c r="G269" i="23" s="1"/>
  <c r="H269" i="23" a="1"/>
  <c r="H269" i="23" s="1"/>
  <c r="B278" i="23"/>
  <c r="C278" i="23"/>
  <c r="D278" i="23"/>
  <c r="E278" i="23"/>
  <c r="F278" i="23"/>
  <c r="G278" i="23" a="1"/>
  <c r="G278" i="23" s="1"/>
  <c r="H278" i="23" a="1"/>
  <c r="H278" i="23" s="1"/>
  <c r="B287" i="23"/>
  <c r="C287" i="23"/>
  <c r="D287" i="23"/>
  <c r="E287" i="23"/>
  <c r="F287" i="23"/>
  <c r="G287" i="23" a="1"/>
  <c r="G287" i="23" s="1"/>
  <c r="H287" i="23" a="1"/>
  <c r="H287" i="23" s="1"/>
  <c r="B296" i="23"/>
  <c r="C296" i="23"/>
  <c r="D296" i="23"/>
  <c r="E296" i="23"/>
  <c r="F296" i="23"/>
  <c r="G296" i="23" a="1"/>
  <c r="G296" i="23" s="1"/>
  <c r="H296" i="23" a="1"/>
  <c r="H296" i="23" s="1"/>
  <c r="B305" i="23"/>
  <c r="C305" i="23"/>
  <c r="D305" i="23"/>
  <c r="E305" i="23"/>
  <c r="F305" i="23"/>
  <c r="G305" i="23" a="1"/>
  <c r="G305" i="23" s="1"/>
  <c r="H305" i="23" a="1"/>
  <c r="H305" i="23" s="1"/>
  <c r="B314" i="23"/>
  <c r="C314" i="23"/>
  <c r="D314" i="23"/>
  <c r="E314" i="23"/>
  <c r="F314" i="23"/>
  <c r="G314" i="23" a="1"/>
  <c r="G314" i="23" s="1"/>
  <c r="H314" i="23" a="1"/>
  <c r="H314" i="23" s="1"/>
  <c r="B323" i="23"/>
  <c r="C323" i="23"/>
  <c r="D323" i="23"/>
  <c r="E323" i="23"/>
  <c r="F323" i="23"/>
  <c r="G323" i="23" a="1"/>
  <c r="G323" i="23" s="1"/>
  <c r="H323" i="23" a="1"/>
  <c r="H323" i="23" s="1"/>
  <c r="B332" i="23"/>
  <c r="C332" i="23"/>
  <c r="D332" i="23"/>
  <c r="E332" i="23"/>
  <c r="F332" i="23"/>
  <c r="G332" i="23" a="1"/>
  <c r="G332" i="23" s="1"/>
  <c r="H332" i="23" a="1"/>
  <c r="H332" i="23" s="1"/>
  <c r="B341" i="23"/>
  <c r="C341" i="23"/>
  <c r="D341" i="23"/>
  <c r="E341" i="23"/>
  <c r="F341" i="23"/>
  <c r="G341" i="23" a="1"/>
  <c r="G341" i="23" s="1"/>
  <c r="H341" i="23" a="1"/>
  <c r="H341" i="23" s="1"/>
  <c r="B350" i="23"/>
  <c r="C350" i="23"/>
  <c r="D350" i="23"/>
  <c r="F350" i="23"/>
  <c r="G350" i="23" a="1"/>
  <c r="G350" i="23" s="1"/>
  <c r="H350" i="23" a="1"/>
  <c r="H350" i="23" s="1"/>
  <c r="B359" i="23"/>
  <c r="C359" i="23"/>
  <c r="D359" i="23"/>
  <c r="E359" i="23"/>
  <c r="F359" i="23"/>
  <c r="G359" i="23" a="1"/>
  <c r="G359" i="23" s="1"/>
  <c r="H359" i="23" a="1"/>
  <c r="H359" i="23" s="1"/>
  <c r="C368" i="23"/>
  <c r="D368" i="23"/>
  <c r="E368" i="23"/>
  <c r="F368" i="23"/>
  <c r="G368" i="23" a="1"/>
  <c r="G368" i="23" s="1"/>
  <c r="H368" i="23" a="1"/>
  <c r="H368" i="23" s="1"/>
  <c r="B377" i="23"/>
  <c r="C377" i="23"/>
  <c r="D377" i="23"/>
  <c r="E377" i="23"/>
  <c r="F377" i="23"/>
  <c r="G377" i="23" a="1"/>
  <c r="G377" i="23" s="1"/>
  <c r="H377" i="23" a="1"/>
  <c r="H377" i="23" s="1"/>
  <c r="B386" i="23"/>
  <c r="C386" i="23"/>
  <c r="D386" i="23"/>
  <c r="E386" i="23"/>
  <c r="F386" i="23"/>
  <c r="G386" i="23" a="1"/>
  <c r="G386" i="23" s="1"/>
  <c r="H386" i="23" a="1"/>
  <c r="H386" i="23" s="1"/>
  <c r="B395" i="23"/>
  <c r="C395" i="23"/>
  <c r="D395" i="23"/>
  <c r="E395" i="23"/>
  <c r="F395" i="23"/>
  <c r="G395" i="23" a="1"/>
  <c r="G395" i="23" s="1"/>
  <c r="H395" i="23" a="1"/>
  <c r="H395" i="23" s="1"/>
  <c r="B404" i="23"/>
  <c r="C404" i="23"/>
  <c r="D404" i="23"/>
  <c r="E404" i="23"/>
  <c r="F404" i="23"/>
  <c r="G404" i="23" a="1"/>
  <c r="G404" i="23" s="1"/>
  <c r="H404" i="23" a="1"/>
  <c r="H404" i="23" s="1"/>
  <c r="B413" i="23"/>
  <c r="C413" i="23"/>
  <c r="D413" i="23"/>
  <c r="E413" i="23"/>
  <c r="F413" i="23"/>
  <c r="G413" i="23" a="1"/>
  <c r="G413" i="23" s="1"/>
  <c r="H413" i="23" a="1"/>
  <c r="H413" i="23" s="1"/>
  <c r="B422" i="23"/>
  <c r="C422" i="23"/>
  <c r="D422" i="23"/>
  <c r="E422" i="23"/>
  <c r="F422" i="23"/>
  <c r="G422" i="23" a="1"/>
  <c r="G422" i="23" s="1"/>
  <c r="H422" i="23" a="1"/>
  <c r="H422" i="23" s="1"/>
  <c r="B431" i="23"/>
  <c r="C431" i="23"/>
  <c r="D431" i="23"/>
  <c r="E431" i="23"/>
  <c r="F431" i="23"/>
  <c r="G431" i="23" a="1"/>
  <c r="G431" i="23" s="1"/>
  <c r="H431" i="23" a="1"/>
  <c r="H431" i="23" s="1"/>
  <c r="B440" i="23"/>
  <c r="C440" i="23"/>
  <c r="D440" i="23"/>
  <c r="E440" i="23"/>
  <c r="F440" i="23"/>
  <c r="G440" i="23" a="1"/>
  <c r="G440" i="23" s="1"/>
  <c r="H440" i="23" a="1"/>
  <c r="H440" i="23" s="1"/>
  <c r="B449" i="23"/>
  <c r="C449" i="23"/>
  <c r="D449" i="23"/>
  <c r="E449" i="23"/>
  <c r="F449" i="23"/>
  <c r="G449" i="23" a="1"/>
  <c r="G449" i="23" s="1"/>
  <c r="H449" i="23" a="1"/>
  <c r="H449" i="23" s="1"/>
  <c r="B458" i="23"/>
  <c r="C458" i="23"/>
  <c r="D458" i="23"/>
  <c r="E458" i="23"/>
  <c r="F458" i="23"/>
  <c r="G458" i="23" a="1"/>
  <c r="G458" i="23" s="1"/>
  <c r="H458" i="23" a="1"/>
  <c r="H458" i="23" s="1"/>
  <c r="B467" i="23"/>
  <c r="C467" i="23"/>
  <c r="D467" i="23"/>
  <c r="E467" i="23"/>
  <c r="F467" i="23"/>
  <c r="G467" i="23" a="1"/>
  <c r="G467" i="23" s="1"/>
  <c r="H467" i="23" a="1"/>
  <c r="H467" i="23" s="1"/>
  <c r="B476" i="23"/>
  <c r="C476" i="23"/>
  <c r="D476" i="23"/>
  <c r="E476" i="23"/>
  <c r="F476" i="23"/>
  <c r="G476" i="23" a="1"/>
  <c r="G476" i="23" s="1"/>
  <c r="H476" i="23" a="1"/>
  <c r="H476" i="23" s="1"/>
  <c r="B485" i="23"/>
  <c r="C485" i="23"/>
  <c r="D485" i="23"/>
  <c r="E485" i="23"/>
  <c r="F485" i="23"/>
  <c r="G485" i="23" a="1"/>
  <c r="G485" i="23" s="1"/>
  <c r="H485" i="23" a="1"/>
  <c r="H485" i="23" s="1"/>
  <c r="B494" i="23"/>
  <c r="C494" i="23"/>
  <c r="D494" i="23"/>
  <c r="E494" i="23"/>
  <c r="F494" i="23"/>
  <c r="G494" i="23" a="1"/>
  <c r="G494" i="23" s="1"/>
  <c r="H494" i="23" a="1"/>
  <c r="H494" i="23" s="1"/>
  <c r="B503" i="23"/>
  <c r="C503" i="23"/>
  <c r="D503" i="23"/>
  <c r="E503" i="23"/>
  <c r="F503" i="23"/>
  <c r="G503" i="23" a="1"/>
  <c r="G503" i="23" s="1"/>
  <c r="H503" i="23" a="1"/>
  <c r="H503" i="23" s="1"/>
  <c r="B512" i="23"/>
  <c r="C512" i="23"/>
  <c r="D512" i="23"/>
  <c r="E512" i="23"/>
  <c r="F512" i="23"/>
  <c r="G512" i="23" a="1"/>
  <c r="G512" i="23" s="1"/>
  <c r="H512" i="23" a="1"/>
  <c r="H512" i="23" s="1"/>
  <c r="B521" i="23"/>
  <c r="C521" i="23"/>
  <c r="D521" i="23"/>
  <c r="E521" i="23"/>
  <c r="F521" i="23"/>
  <c r="G521" i="23" a="1"/>
  <c r="G521" i="23" s="1"/>
  <c r="H521" i="23" a="1"/>
  <c r="H521" i="23" s="1"/>
  <c r="B530" i="23"/>
  <c r="C530" i="23"/>
  <c r="D530" i="23"/>
  <c r="E530" i="23"/>
  <c r="F530" i="23"/>
  <c r="G530" i="23" a="1"/>
  <c r="G530" i="23" s="1"/>
  <c r="H530" i="23" a="1"/>
  <c r="H530" i="23" s="1"/>
  <c r="B539" i="23"/>
  <c r="C539" i="23"/>
  <c r="D539" i="23"/>
  <c r="E539" i="23"/>
  <c r="F539" i="23"/>
  <c r="G539" i="23" a="1"/>
  <c r="G539" i="23" s="1"/>
  <c r="H539" i="23" a="1"/>
  <c r="H539" i="23" s="1"/>
  <c r="B35" i="23"/>
  <c r="Q36" i="10"/>
  <c r="R36" i="10"/>
  <c r="S36" i="10"/>
  <c r="T36" i="10"/>
  <c r="H35" i="23" a="1"/>
  <c r="H35" i="23" s="1"/>
  <c r="F35" i="23"/>
  <c r="D35" i="23"/>
  <c r="C35" i="23"/>
  <c r="N34" i="23"/>
  <c r="L34" i="23"/>
  <c r="J34" i="23"/>
  <c r="N33" i="23"/>
  <c r="L33" i="23"/>
  <c r="J33" i="23"/>
  <c r="N32" i="23"/>
  <c r="L32" i="23"/>
  <c r="J32" i="23"/>
  <c r="C19" i="22"/>
  <c r="D19" i="22"/>
  <c r="E19" i="22"/>
  <c r="F19" i="22"/>
  <c r="G19" i="22"/>
  <c r="H19" i="22"/>
  <c r="I19" i="22"/>
  <c r="B19" i="22"/>
  <c r="C16" i="22"/>
  <c r="D16" i="22"/>
  <c r="E16" i="22"/>
  <c r="F16" i="22"/>
  <c r="G16" i="22"/>
  <c r="H16" i="22"/>
  <c r="I16" i="22"/>
  <c r="B16" i="22"/>
  <c r="C13" i="22"/>
  <c r="D13" i="22"/>
  <c r="E13" i="22"/>
  <c r="F13" i="22"/>
  <c r="G13" i="22"/>
  <c r="H13" i="22"/>
  <c r="I13" i="22"/>
  <c r="B13" i="22"/>
  <c r="E6" i="10" l="1"/>
  <c r="P93" i="10"/>
  <c r="P85" i="10"/>
  <c r="P77" i="10"/>
  <c r="P87" i="10"/>
  <c r="P79" i="10"/>
  <c r="P69" i="10"/>
  <c r="P64" i="10"/>
  <c r="P67" i="10"/>
  <c r="P46" i="10"/>
  <c r="P53" i="10"/>
  <c r="P42" i="10"/>
  <c r="P35" i="10"/>
  <c r="K4" i="10" s="1"/>
  <c r="P36" i="10"/>
  <c r="P92" i="10"/>
  <c r="P84" i="10"/>
  <c r="P76" i="10"/>
  <c r="P66" i="10"/>
  <c r="P90" i="10"/>
  <c r="P82" i="10"/>
  <c r="P74" i="10"/>
  <c r="P47" i="10"/>
  <c r="P40" i="10"/>
  <c r="P88" i="10"/>
  <c r="P80" i="10"/>
  <c r="P72" i="10"/>
  <c r="P58" i="10"/>
  <c r="P91" i="10"/>
  <c r="P83" i="10"/>
  <c r="P75" i="10"/>
  <c r="P94" i="10"/>
  <c r="P86" i="10"/>
  <c r="P78" i="10"/>
  <c r="P68" i="10"/>
  <c r="P63" i="10"/>
  <c r="P52" i="10"/>
  <c r="P41" i="10"/>
  <c r="P37" i="10"/>
  <c r="P89" i="10"/>
  <c r="P81" i="10"/>
  <c r="P73" i="10"/>
  <c r="C8" i="24"/>
  <c r="B8" i="24" s="1"/>
  <c r="P65" i="24"/>
  <c r="D12" i="24"/>
  <c r="E10" i="10"/>
  <c r="O42" i="23"/>
  <c r="O33" i="23"/>
  <c r="O34" i="23"/>
  <c r="M42" i="23"/>
  <c r="M33" i="23"/>
  <c r="M43" i="23"/>
  <c r="M34" i="23"/>
  <c r="M50" i="23"/>
  <c r="M49" i="23" s="1"/>
  <c r="K32" i="23"/>
  <c r="O41" i="23"/>
  <c r="K42" i="23"/>
  <c r="K33" i="23"/>
  <c r="K34" i="23"/>
  <c r="K43" i="23"/>
  <c r="I38" i="23"/>
  <c r="B7" i="24"/>
  <c r="B9" i="24"/>
  <c r="C13" i="24"/>
  <c r="C14" i="24"/>
  <c r="B14" i="24" s="1"/>
  <c r="C6" i="24"/>
  <c r="C10" i="24"/>
  <c r="I69" i="23"/>
  <c r="K44" i="23"/>
  <c r="I64" i="23"/>
  <c r="M53" i="23"/>
  <c r="O44" i="23"/>
  <c r="I65" i="23"/>
  <c r="I70" i="23"/>
  <c r="K67" i="23"/>
  <c r="K62" i="23"/>
  <c r="I54" i="23"/>
  <c r="I61" i="23"/>
  <c r="I55" i="23"/>
  <c r="M59" i="23"/>
  <c r="M58" i="23" s="1"/>
  <c r="I56" i="23"/>
  <c r="K59" i="23"/>
  <c r="O60" i="23"/>
  <c r="I60" i="23" s="1"/>
  <c r="O53" i="23"/>
  <c r="K53" i="23"/>
  <c r="I36" i="23"/>
  <c r="K41" i="23"/>
  <c r="I47" i="23"/>
  <c r="I52" i="23"/>
  <c r="I46" i="23"/>
  <c r="O51" i="23"/>
  <c r="I51" i="23" s="1"/>
  <c r="M44" i="23"/>
  <c r="O50" i="23"/>
  <c r="I45" i="23"/>
  <c r="K50" i="23"/>
  <c r="K35" i="23"/>
  <c r="O35" i="23"/>
  <c r="I37" i="23"/>
  <c r="O43" i="23"/>
  <c r="M35" i="23"/>
  <c r="I4" i="10" l="1"/>
  <c r="I42" i="23"/>
  <c r="C5" i="24"/>
  <c r="D5" i="24"/>
  <c r="M40" i="23"/>
  <c r="I43" i="23"/>
  <c r="I41" i="23"/>
  <c r="I35" i="23"/>
  <c r="B10" i="24"/>
  <c r="K31" i="23"/>
  <c r="B6" i="24"/>
  <c r="B13" i="24"/>
  <c r="C12" i="24"/>
  <c r="B12" i="24" s="1"/>
  <c r="O49" i="23"/>
  <c r="K40" i="23"/>
  <c r="O58" i="23"/>
  <c r="O40" i="23"/>
  <c r="I53" i="23"/>
  <c r="K58" i="23"/>
  <c r="I59" i="23"/>
  <c r="I58" i="23" s="1"/>
  <c r="I44" i="23"/>
  <c r="K49" i="23"/>
  <c r="I50" i="23"/>
  <c r="I49" i="23" s="1"/>
  <c r="R43" i="10"/>
  <c r="S43" i="10"/>
  <c r="T43" i="10"/>
  <c r="U43" i="10"/>
  <c r="U55" i="10"/>
  <c r="P55" i="10" s="1"/>
  <c r="S62" i="10"/>
  <c r="T62" i="10"/>
  <c r="U62" i="10"/>
  <c r="R62" i="10"/>
  <c r="R60" i="10"/>
  <c r="S60" i="10"/>
  <c r="T60" i="10"/>
  <c r="U60" i="10"/>
  <c r="R48" i="10"/>
  <c r="R54" i="10"/>
  <c r="D8" i="10"/>
  <c r="R71" i="10"/>
  <c r="Q70" i="10"/>
  <c r="Q71" i="10"/>
  <c r="U50" i="10"/>
  <c r="S54" i="10"/>
  <c r="T54" i="10"/>
  <c r="U54" i="10"/>
  <c r="S48" i="10"/>
  <c r="T48" i="10"/>
  <c r="U48" i="10"/>
  <c r="U70" i="10"/>
  <c r="S71" i="10"/>
  <c r="T71" i="10"/>
  <c r="U71" i="10"/>
  <c r="D9" i="10"/>
  <c r="C9" i="10"/>
  <c r="Q48" i="10"/>
  <c r="S70" i="10"/>
  <c r="S59" i="10"/>
  <c r="S61" i="10"/>
  <c r="R70" i="10"/>
  <c r="Q57" i="10"/>
  <c r="Q59" i="10"/>
  <c r="R61" i="10"/>
  <c r="Q61" i="10"/>
  <c r="R57" i="10"/>
  <c r="U44" i="10"/>
  <c r="P44" i="10" s="1"/>
  <c r="T39" i="10"/>
  <c r="P39" i="10" s="1"/>
  <c r="U51" i="10"/>
  <c r="P51" i="10" s="1"/>
  <c r="R59" i="10"/>
  <c r="S45" i="10"/>
  <c r="T38" i="10"/>
  <c r="Q50" i="10"/>
  <c r="T59" i="10"/>
  <c r="E7" i="10" l="1"/>
  <c r="E5" i="10" s="1"/>
  <c r="P62" i="10"/>
  <c r="B5" i="24"/>
  <c r="D4" i="24"/>
  <c r="P48" i="10"/>
  <c r="P71" i="10"/>
  <c r="I40" i="23"/>
  <c r="Q65" i="10"/>
  <c r="P65" i="10" s="1"/>
  <c r="K88" i="23"/>
  <c r="I88" i="23" s="1"/>
  <c r="I83" i="23"/>
  <c r="I34" i="23" s="1"/>
  <c r="Q49" i="10"/>
  <c r="C4" i="24"/>
  <c r="O63" i="23"/>
  <c r="O32" i="23" s="1"/>
  <c r="O31" i="23" s="1"/>
  <c r="S38" i="10"/>
  <c r="M63" i="23"/>
  <c r="M32" i="23" s="1"/>
  <c r="M31" i="23" s="1"/>
  <c r="R38" i="10"/>
  <c r="D7" i="10"/>
  <c r="D10" i="10"/>
  <c r="D6" i="10"/>
  <c r="B9" i="10"/>
  <c r="C8" i="10"/>
  <c r="B8" i="10" s="1"/>
  <c r="Q54" i="10"/>
  <c r="P54" i="10" s="1"/>
  <c r="T70" i="10"/>
  <c r="P70" i="10" s="1"/>
  <c r="B4" i="24" l="1"/>
  <c r="C10" i="10"/>
  <c r="B10" i="10" s="1"/>
  <c r="P49" i="10"/>
  <c r="P38" i="10"/>
  <c r="D5" i="10"/>
  <c r="K96" i="23"/>
  <c r="I91" i="23"/>
  <c r="I89" i="23" s="1"/>
  <c r="K89" i="23"/>
  <c r="M62" i="23"/>
  <c r="M68" i="23"/>
  <c r="I63" i="23"/>
  <c r="O62" i="23"/>
  <c r="O68" i="23"/>
  <c r="O67" i="23" s="1"/>
  <c r="R50" i="10"/>
  <c r="Q43" i="10"/>
  <c r="P43" i="10" s="1"/>
  <c r="Q60" i="10"/>
  <c r="P60" i="10" s="1"/>
  <c r="Q45" i="10"/>
  <c r="C13" i="10" l="1"/>
  <c r="I62" i="23"/>
  <c r="I32" i="23"/>
  <c r="I96" i="23"/>
  <c r="I94" i="23" s="1"/>
  <c r="K94" i="23"/>
  <c r="M67" i="23"/>
  <c r="I68" i="23"/>
  <c r="I67" i="23" s="1"/>
  <c r="S57" i="10"/>
  <c r="U61" i="10"/>
  <c r="R45" i="10"/>
  <c r="D13" i="10" s="1"/>
  <c r="T61" i="10"/>
  <c r="S50" i="10"/>
  <c r="U59" i="10"/>
  <c r="P59" i="10" s="1"/>
  <c r="P61" i="10" l="1"/>
  <c r="E14" i="10"/>
  <c r="E13" i="10"/>
  <c r="B13" i="10" s="1"/>
  <c r="T45" i="10"/>
  <c r="D14" i="10"/>
  <c r="D12" i="10" s="1"/>
  <c r="D4" i="10" s="1"/>
  <c r="T57" i="10"/>
  <c r="T50" i="10"/>
  <c r="P50" i="10" s="1"/>
  <c r="U45" i="10"/>
  <c r="E12" i="10" l="1"/>
  <c r="E4" i="10" s="1"/>
  <c r="P45" i="10"/>
  <c r="J4" i="10" s="1"/>
  <c r="Q56" i="10"/>
  <c r="C14" i="10"/>
  <c r="B14" i="10" s="1"/>
  <c r="U57" i="10"/>
  <c r="P57" i="10" s="1"/>
  <c r="C6" i="10"/>
  <c r="P56" i="10" l="1"/>
  <c r="H4" i="10" s="1"/>
  <c r="C7" i="10"/>
  <c r="B7" i="10" s="1"/>
  <c r="B6" i="10"/>
  <c r="K87" i="23"/>
  <c r="I82" i="23"/>
  <c r="K80" i="23"/>
  <c r="C12" i="10"/>
  <c r="B12" i="10" s="1"/>
  <c r="C5" i="10" l="1"/>
  <c r="B5" i="10" s="1"/>
  <c r="I80" i="23"/>
  <c r="I33" i="23"/>
  <c r="I31" i="23" s="1"/>
  <c r="I87" i="23"/>
  <c r="I85" i="23" s="1"/>
  <c r="K85" i="23"/>
  <c r="G4" i="10"/>
  <c r="C4" i="10" l="1"/>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<sst xmlns="http://schemas.openxmlformats.org/spreadsheetml/2006/main" count="2255" uniqueCount="689">
  <si>
    <t>Valdkondlik digipööre</t>
  </si>
  <si>
    <t xml:space="preserve">Elluviija: </t>
  </si>
  <si>
    <t>Regionaal- ja Põllumajandusministeerium</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</si>
  <si>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</si>
  <si>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</si>
  <si>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</si>
  <si>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</si>
  <si>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</si>
  <si>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</si>
  <si>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</si>
  <si>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</si>
  <si>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</si>
  <si>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</si>
  <si>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</si>
  <si>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</si>
  <si>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</si>
  <si>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</si>
  <si>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</si>
  <si>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</si>
  <si>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</si>
  <si>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</si>
  <si>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</si>
  <si>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</si>
  <si>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</si>
  <si>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</si>
  <si>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</si>
  <si>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</si>
  <si>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</si>
  <si>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</si>
  <si>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</si>
  <si>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</si>
  <si>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</si>
  <si>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</si>
  <si>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</si>
  <si>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</si>
  <si>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</si>
  <si>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</si>
  <si>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</si>
  <si>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</si>
  <si>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</si>
  <si>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</si>
  <si>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</si>
  <si>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</si>
  <si>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</si>
  <si>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</si>
  <si>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</si>
  <si>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</si>
  <si>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</si>
  <si>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</si>
  <si>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</si>
  <si>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</si>
  <si>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</si>
  <si>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</si>
  <si>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</si>
  <si>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</si>
  <si>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</si>
  <si>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</si>
  <si>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</si>
  <si>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</si>
  <si>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</si>
  <si>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</si>
  <si>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</si>
  <si>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</si>
  <si>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</si>
  <si>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</si>
  <si>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</si>
  <si>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</si>
  <si>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</si>
  <si>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</si>
  <si>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rPr>
        <b/>
        <sz val="11"/>
        <color rgb="FF000000"/>
        <rFont val="Calibri"/>
        <family val="2"/>
        <charset val="186"/>
        <scheme val="minor"/>
      </rPr>
      <t xml:space="preserve">Kalkulatsioon ja  allika põhjendus
</t>
    </r>
    <r>
      <rPr>
        <sz val="11"/>
        <color rgb="FF000000"/>
        <rFont val="Calibri"/>
        <family val="2"/>
        <charset val="186"/>
        <scheme val="minor"/>
      </rPr>
      <t>Võimalusel kirjeldada siin lahtris, kui on põhjalikum tabeli kujul kalkulatsioon, siis see tuua välja eraldi Exceli lehel ja siin vastava rea lahtris sellele viidata.</t>
    </r>
  </si>
  <si>
    <t>Tegevuse jätkusuutlikkuse kulu</t>
  </si>
  <si>
    <t>Kommentaar</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</si>
  <si>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</si>
  <si>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</si>
  <si>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</si>
  <si>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</si>
  <si>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</si>
  <si>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</si>
  <si>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</si>
  <si>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</si>
  <si>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</si>
  <si>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</si>
  <si>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</si>
  <si>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</si>
  <si>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</si>
  <si>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</si>
  <si>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</si>
  <si>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</si>
  <si>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</si>
  <si>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</si>
  <si>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</si>
  <si>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</si>
  <si>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</si>
  <si>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 xml:space="preserve">ga mis peab minema baasi, või on tegemist </t>
    </r>
    <r>
      <rPr>
        <b/>
        <i/>
        <sz val="11"/>
        <rFont val="Calibri"/>
        <family val="2"/>
        <charset val="186"/>
      </rPr>
      <t>ühekordse kulu</t>
    </r>
    <r>
      <rPr>
        <i/>
        <sz val="11"/>
        <rFont val="Calibri"/>
        <family val="2"/>
        <charset val="186"/>
      </rPr>
      <t>ga konkrteetse(te)l aasta(te)l.</t>
    </r>
  </si>
  <si>
    <t>REM</t>
  </si>
  <si>
    <t>Alo Aasma/ halduse asekantsler</t>
  </si>
  <si>
    <t>I: Digiriik</t>
  </si>
  <si>
    <t>IV: muu digipöördega seotud otsene kulu</t>
  </si>
  <si>
    <t>Meie kõige suurem probleem on 2024 sisuliselt 0-tasemele langenud RES baasrahastus, mis ei võimalda alati teha strateegilises vaates prioriteetseid arendusi, vaid tihtipeale neid, mis vastavad mingile välisrahastuse tingimustele. 2021 ekslikult kärbitud miljoni tagasisaamine IT investeeringute reale tänavustel RES läbirääkimistel on meie jaoks eksistentsiaalne vajadus, sest vastasel juhul ei ole võimalik RES baasrahastuse eest litsentsegi katta.</t>
  </si>
  <si>
    <t>IT investeeringute baaseelarve lisavajadus</t>
  </si>
  <si>
    <t xml:space="preserve">Tagatud on valitsemisala tervikteenuseid toetavate digilahenduste arendamine ja jätkusuutlikkus </t>
  </si>
  <si>
    <t>RES IKT (vaja juurde taotleda)</t>
  </si>
  <si>
    <t>Arvestatud on kogu haldusala infosüsteemide arendamiseks, haldamiseks ja majutamiseks vajalike kuludega, et oleks tagatud ministeeriumi ja valitsemiala põhifunktsioonide täitmine. Vajadus on leitud arvestusega, et senine eelarvebaas on olnud erinevatest komponentidest koosnevalt ca 2 mln, 2024.a. tõus tuleneb arendajate tunnhindade kasvust (25-30%) ning taristuga seotud hinnakasvust (nt. riigi pilveteenuste, Atlassiani pere (Jira, Confluence) toodete/teenuste, tulemüüri, Oracle toe kallinemistest). Alates 2025.a. tingib baaseeelarve vajaduse kasvu MAK TA eelarve lõppemine.</t>
  </si>
  <si>
    <t>1. Tegevus sisaldab jätkusuutlikkuse kulusid ja need on samal real välja toodud.</t>
  </si>
  <si>
    <t>1.2.7. Avaliku sektori digimuutuste võimendamine</t>
  </si>
  <si>
    <t>III: teadlikkuse tõstmine</t>
  </si>
  <si>
    <t xml:space="preserve">Digipöörde elluviimiseks puuduvad vajalikud kompetentsid/oskused. Täna ei osata piisavalt ärianalüütiliselt näha protsesse ning ei suudeta rakendada kogu digilahenduste potentsiaali.
</t>
  </si>
  <si>
    <t>Valitsemisala koolitusprogramm</t>
  </si>
  <si>
    <t xml:space="preserve">Valitsemisala kompetentside võimelünkade arendamiseks koolituste süsteem on välja töötatud ja juurutatud. Valitsemisalas töötavad kompetentsed digipädevad ja -teadlikud oma valdkonna eksperdid, kes juhivad/aitavad kaasa digipöörde elluviimisel ning kes vajadusel juhendavad olemasolevaid töötajaid sisekoolitussüsteemi raames.  Suurimad rõhuasetused on targa tellija, andmehalduri, ärianalüütiku ja testija rollil.
</t>
  </si>
  <si>
    <t>SF 21-27 (taotletav raha)</t>
  </si>
  <si>
    <t xml:space="preserve">Kalkulatsiooni aluseks on võetud valitsemisalas 2021-2022. aastal läbi viidud teenusdisaini arenguprogramm. Maaelu digi- ja rohepööret toetavate teenuste pakkumine eeldab meie töötajate kompetentsides üldist digipädevuse ja -teadlikkuse tõstmist. 
</t>
  </si>
  <si>
    <t>5. Tegevus, mis ei vaja jätkusuutlikkuse kulusid.</t>
  </si>
  <si>
    <t>Digipöörde elluviimiseks puuduvad vajalikud kompetentsid/oskused.</t>
  </si>
  <si>
    <t>Valitsemisala kompetentside värbamine</t>
  </si>
  <si>
    <t>Olulised positsioonid (sh andmed, arhitektuur) on täidetud ja valitsemisalas töötavad kompetentsed digipädevad ja digiteadlikud oma valdkonna eksperdid, kes juhivad/aitavad kaasa digipöörde elluviimisel</t>
  </si>
  <si>
    <t>Arvestuse aluseks on võetud Fontese tööperede põhine hinnang</t>
  </si>
  <si>
    <t>PTA</t>
  </si>
  <si>
    <t>Teenusejuht positsioon on täidetud ja asutuses töötavad kompetentsed digipädevad ja digiteadlikud oma valdkonna eksperdid, kes juhivad/aitavad kaasa digipöörde elluviimisel</t>
  </si>
  <si>
    <t>1.2.1. Avalike teenuste juhtimise ja kasutajakesksuse juurutamine</t>
  </si>
  <si>
    <t>I: Infotehnoloogiliste lahenduste väljatöötamine ja arendamine</t>
  </si>
  <si>
    <t>PTA-l puudub täna tervikpilt enda teenustest ja protsessidest, et teha teadlikke valikuid ühtsete põhimõtetega kasutajakesksete teenuste üles ehitamiseks.</t>
  </si>
  <si>
    <t>PTA ärianalüüs</t>
  </si>
  <si>
    <t>Eesmärk on kaardistada PTA olemasolevad teenused ja protsessid ja analüüsida, kuidas need saaks ühtlustada ja ühtsetele põhimõtetele viia, sh protsesside ümberkujundus. Ärianalüütiku koha loomisega on võimalik viia läbi ametis ärianalüüs 2024 aasta lõpuks. 2025 aasta alguseks on valmis arendajatele ette andmiseks analüüsi tulemused taskidena.</t>
  </si>
  <si>
    <t xml:space="preserve">Analüüsi kestvus 8 kuud. Analüüsi eelarve koostamise aluseks on hinnanguline töötundide arv korrutatuna antud valdkonna keskmise tunnitasuga. </t>
  </si>
  <si>
    <t>LABRISes on kasutusel analüüside registreerimiseks ja tulemuste sisestamiseks mitu erinevat süsteemi, millest üks on taakvara.</t>
  </si>
  <si>
    <t>Ühendlabori infosüsteem</t>
  </si>
  <si>
    <t xml:space="preserve">Labori analüüsid on digitaliseeritud ja toimib andmevahetus haldusala teiste süsteemidega. LABRISe teenuste protsessikirjeldus 2023, peale seda oleme valmis tegema kehtiva raamhanke raames analüüsi ning 2024 alustama arendustöödega. 
</t>
  </si>
  <si>
    <t>Jätkusuutlikkuse kulud on kaetud baaseelarvest, projektimeeskond on olemas. Arenduskulu on hinnatud Labori infosüsteemi projekimeeskond tuginedes nende kogemusele.</t>
  </si>
  <si>
    <t>PRIA</t>
  </si>
  <si>
    <t>Urvi Kaljas/ maavärava projektijuht</t>
  </si>
  <si>
    <t>1.1.3. Inimkeskne Digiriik</t>
  </si>
  <si>
    <t>Puudub ühtne portaal maaelu valdkonna teenuste pakkumiseks, mis on vajalik roheleppe eesmärkide täitmiseks ning toidujulgeoleku tagamiseks</t>
  </si>
  <si>
    <t>Maavärava arendusprojekt</t>
  </si>
  <si>
    <t xml:space="preserve">On loodud valitsemisala portaali üldine kujundus ja raamistik, sh töölaud (erinevatele sihtrühmadele). Enam kasutatavad (baseerudes eelanalüüsi tulemusele) olemasolevad teenused on integreeritud ühtsesse portaali. Loodud on vähemalt üks tervikteenus (nt PRIA-MES-pankade vaheline finantseerimise tervikteenus või statistiliste andmete liikumine haldusalas/riigis). 2023 a ettevalmistavad tööd SF taotluse esitamiseks/partneri leidmiseks, 2024 loodud portaali üldine kujundus ja raamistisk, 2025 a loodud vähemalt 1 tervikteenus.
</t>
  </si>
  <si>
    <t>Arenduskulu on hinnatud projekti meeskonna poolt, kaasates ka WebExperdi hinnangut. Lisaks oleme kaasatud MKMi digivärava projekti ning saanud tagasisidet MKMi tiimi juhi poolt hinnangute andmisel. Projekt on analüüsifaasis läbinud MKMi äripaneeli.</t>
  </si>
  <si>
    <t>3. Tegevus, mis vajab jätkusuutlikkuse kulusid ja need on eraldi real välja toodud</t>
  </si>
  <si>
    <t>Maavärava projekti kommunikatsiooni- ja hoolduskulud on katmata</t>
  </si>
  <si>
    <t xml:space="preserve">Maavärava arendamiseks vajalikud kommunikatsioonitegevused ning hooldutööd </t>
  </si>
  <si>
    <t>On loodud valitsemisala portaali üldine kujundus ja raamistik, mille kaudu jõuavad klientideni vajalkud tervikteenused</t>
  </si>
  <si>
    <t>Maavärava projekti majanduskulud on arvestatud maavärava projekti meeskonna poolt, arvestades loodava teenuse eripäraga ning tekkivate hoolduskuludega (varasema kogemuse baasilt).</t>
  </si>
  <si>
    <t>2. Tegevus on jätkusuutlikkuse kulu</t>
  </si>
  <si>
    <t>Kadri Koel/ teadmusteenuste suuna juht</t>
  </si>
  <si>
    <t>1.2.2. Andmepõhine riigivalitsemine ja andmete taaskasutus</t>
  </si>
  <si>
    <t>Teadmuspõhine sisend maaelu ettevõtete tegevus- ja arendusotsuste langetamiseks on killustatud ning puudub võimekus andmeid analüüsida, see teadmine aga toetab Eesti toiduga varustatust ning keskkonna säilimist</t>
  </si>
  <si>
    <t>Teadmusteenuste arendusprojekt (sh e-põlluraamatu edasiarendused)</t>
  </si>
  <si>
    <t>Välja on kujunenud maaelu teadmusteenuste kompetentsikeskus, mis pakub tootjatele, avalikkusele ning poliitikakujundajatele vajalikke teadmusteenuseid. 2023 a ettevalmistavad tööd SF taotluse esitamiseks/partneri leidmiseks, 2024 loodud vajalikud integratsioonid e-põlluraamatu ja suurandmete projekti vahel,  2025 a loodud projekti juhtrühma poolt kokkulepitud prioriteetide alusel kõige vajalikumad personaliseeritud teadmusteenused, mis on kättesaadavaks tehtud põldude haldamise teenuse kaudu (samas kohas ka e-põlluraamat).</t>
  </si>
  <si>
    <t>Arenduskulu on hinnatud suurandmete projeki ning e-põlluraamatu projekti liikmeid kaasates ning tuginedes nende kogemusele.</t>
  </si>
  <si>
    <t>Kiido Levin/ registrite suuna juht</t>
  </si>
  <si>
    <t>1.2.3. Tulevikukindlad digiriigi platvormid</t>
  </si>
  <si>
    <t>Põllumajandusloomade registri e-teenuste tehniline taristu on vananenud (arendatud aastal 2007). Loomade registri teenused on killustatud erinevate süsteemide vahel nii kliendi kui PRIA vaates.</t>
  </si>
  <si>
    <t>Loomade registri e-teenuste viimine uuele tehnoloogilisele platvormile</t>
  </si>
  <si>
    <t>Põllumajandusloomade registri kõik e-teenused on viidud PRIA uude e-teenuste keskkonda. 2023 a ettevalmistavad tööd SF taotluse esitamiseks/partneri leidmiseks, 2024 kõik loomade registri teenused viidud üle uuele tehnoloogilisele platvormile.</t>
  </si>
  <si>
    <t>Arendusmahu on hinnangu konkreetsete tegevuste alusel olemasolev arenduspartner.</t>
  </si>
  <si>
    <t>Liina Tilk/ personalijuht</t>
  </si>
  <si>
    <t>Digipöörde elluviimiseks puuduvad vajalikud kompetentsid/oskused</t>
  </si>
  <si>
    <t xml:space="preserve">Töötajate kompententside arendamine. </t>
  </si>
  <si>
    <t xml:space="preserve">Digi- ja rohepööret toetavate teenuste pakkumine nõuab meie töötajate kompetentsides üldist digipädevuse ja -teadlikkuse tõstmist. Sellekohane koolituste süsteem vajab väljatöötamist, tõhusat juurutamist ja järjepidevust. Suurimad rõhuasetused on: targa tellija, ärianalüütiku ja testija rollid, nende olemus ja olulisus arendusprotsessis, nimetatud rollide vahelised seosed ja ajakohase teavitustöö vajalikkus.  Aastal 2024 peame alustama 150 inimese (peamiselt Toetuste menetlejate tööpere tasemed 1-4) ning juhtide koolitamisega. Järgmistel aastatel laieneb koolitus teistele tööperedele ning samuti ka vahetunud meeskonnaliikmetele.
</t>
  </si>
  <si>
    <t>PRIA muutumine makseagentuurist maaelu digi- ja rohepööret toetavaid teenuseid pakkuvaks organisatsiooniks nõuab meie töötajate kompetentsides üldist digipädevuse ja -teadlikkuse tõstmist. Sellekohane koolituste süsteem vajab väljatöötamist, tõhusat juurutamist ja järjepidevust. Suurimad rõhuasetused on: targa tellija, ärianalüütiku ja testija rollid, nende olemus ja olulisus arendusprotsessis, nimetatud rollide vahelised seosed ja ajakohase teavitustöö vajalikkus. Aastal 2024 peame alustama 150 inimese (peamiselt Toetuste menetlejate tööpere tasemed 1-4) ning juhtide koolitamisega. Järgmistel aastatel laieneb koolitus teistele tööperedele ning samuti ka vahetunud meeskonnaliikmetele.</t>
  </si>
  <si>
    <t>Tarmo Pihlik/ turvanõunik</t>
  </si>
  <si>
    <t xml:space="preserve">III: Küberturvalisus </t>
  </si>
  <si>
    <t>3.3. Suurem küberturvalisuse tagamise võimekus</t>
  </si>
  <si>
    <t>II: küberruumi hoidmine, arendamine ja juurutamine usaldusväärse ja turvalisena</t>
  </si>
  <si>
    <t>Taakvarastuse hulk (&gt;20%) ja küberturbe võimelüngad on ajas kumuleerunud</t>
  </si>
  <si>
    <t>Taakvara ja küberturve võimelünkade vähendamine</t>
  </si>
  <si>
    <t>Taakvara hulk on oluliselt vähenenud ning küberturbe võimelüngad minimeeritud, ISO nõuded täidetud</t>
  </si>
  <si>
    <t xml:space="preserve">PRIAs on tegutsev turvakomitee, kus kinnitatakse aasta põhiselt olulised turvalisuse taseme hoidmiseks/tõstmiseks suunatud tööd. Arvestades tänast võimekust ja teadmist, näeme, et aastas on minimaalne vajadus 517 000 eurot. </t>
  </si>
  <si>
    <t>Taakvaralisuse hulk ja küberturbe võimelüngad on ajas kumleerivad. Taakvaralised lahendused ei võimalda laialdast pilvelahenduste kasutuselevõttu.</t>
  </si>
  <si>
    <t xml:space="preserve">Infosüsteemide seire on tõhustatud ja rakendatud viisil, mis võimaldab teenuseid reaalajas jälgida ning proaktiivseid ja reaktiivseid rikketeateid edastada. Logide halduses on kasutusel logide automaatne analüüs.
</t>
  </si>
  <si>
    <t>Mariell Viinalass/ juhtkonna arendusnõunik</t>
  </si>
  <si>
    <t>Digipöörde elluviimiseks puuduvad vajalikud spetsiifilised kompetentsid/oskused, mida ei ole võimalik ümber õpetada ning mis tuleb täiendavalt juurde värvata (andmeteadlased)</t>
  </si>
  <si>
    <t>Digipöörde elluviimiseks vajalikud personalikulud</t>
  </si>
  <si>
    <t xml:space="preserve">PRIAs töötavad oma valdkonna eksperdid, kes juhivad/aitavad kaasa digipöörde elluviimisel ning kes vajadusel juhendavad olemasolevaid töötajaid sisekoolitussüsteemi raames. Konkreetsed ametikoha põhised värbamised on aastate lõikes presenteeritud lehel "Personal". </t>
  </si>
  <si>
    <t>Uute kompetentside vajaduse kaardistamine on läbi viidud arengukava tuumikgrupi poolt, lisavajaduse arvestamiseks on kasutatud Fontese tööperede põhist hinnangut</t>
  </si>
  <si>
    <t>Digipöörde elluviimiseks puuduvad vajalikud tehnilised lahendused ja ühtsed andmekogud</t>
  </si>
  <si>
    <t>Digipöörde elluviimiseks vajalikud püsikulud</t>
  </si>
  <si>
    <t>Kasutusele on võetud uus aruandluse tarkvara (visualiseerimistarkvara ja päringute tarkvara litsentside kulu) ning loodud on valitsemisala ühtne kliendihaldus (ühtne klientide andmestik). Uus visualiseerimistarkvara võetakse kasutusele 2024 a. Ühtse kliendihalduse kontseptsioon 2024 ning kasutuselevõtt 2025 a suvel.</t>
  </si>
  <si>
    <t>Tegemist on esimeste oluliste sammudega digipöörde elluviimiseks, mis on tegevustena kokku lepitud arengukava juhtkomisjonis. Visualiseerimistarkvara hinnang tuleneb konkreetselt pakkumusest, kliendihalduse arenduskulud baseeruvad esialgsel arenduspartneri hinanngul</t>
  </si>
  <si>
    <t>1.2.5. Uute lähenemisviiside pidev katsetamine</t>
  </si>
  <si>
    <t>Seiresüsteemi arendamiseks värvatud lisapersonali kulud on aastani 2024 kaetud MAK TA vahenditest, kuid alates 2025. aastast MAK TA vahendid lõppevad ning vajadus on katta püsikulud ning edasised arendused RES eelarvest. Olemasolevate vahendite (2023 ja 2024) info toodud järgmisel real, kuna on erinev rahastuallikas.</t>
  </si>
  <si>
    <t xml:space="preserve">Seiresüsteemi ja AI aredamiseks vajalikud personalikulud (pinnaseire)
</t>
  </si>
  <si>
    <t>Pinnaseiresüsteem koos loodava tehisintellektiga on asutuste töös integreeritud vajalikesse tööprotsessidesse ning kasutusele võetud eelkõige teadmusteenuste pakkumiseks (CO2, taimehaiguste, mullaseisundi, väetusvajaduste, jne jälgimine). Kogutud andmestik tehakse kättesaadavaks ka erasektorile.</t>
  </si>
  <si>
    <t>Lisapersonali vajadus on hinnatud pinnaseire süsteemi juhtrühma poolt, sisendiks on 2022.aasta ja 2023.aasta arendusmahud ning kogemus, teadaolevad vajadused ehk EK poolsed muudatusvajadused ja suunad (tehisintelletide kaustselevõtmise vajaduse kohustuslik komponent jms). Lisavajaduse arvestamiseks on kasutatud Fontese tööperede põhist analüüsi.</t>
  </si>
  <si>
    <t>Seirele ülemineku arendustega alustati 2023. aastal, värvates selleks spetsiaalsete oskustega meeskond. Olemas on vahendid 2023 ja 2024 a vajaduste katteks.</t>
  </si>
  <si>
    <t xml:space="preserve">Seiresüsteemi ja AI aredamiseks vajalikud personalikulud (pinnaseire) - olemasolev rahastus
</t>
  </si>
  <si>
    <t>2024. a lõpuks on juurutatud pinnaseire süsteemi kohustuslik osa, st pindalatoetuste nõuete seiramise funktsionaalsus ning läbiviidud analüüs tehisintellekti kasutamise osas</t>
  </si>
  <si>
    <t>Muu rahastus</t>
  </si>
  <si>
    <t>2023.aasta ja 2024.aasta olemasolev eelarve</t>
  </si>
  <si>
    <t>1.2.6. Avatud innovatsioon ja digiriigi kogukonna arendamine</t>
  </si>
  <si>
    <t>Seiresüsteemi arendamiseks vajalikud kulud on on aastani 2024 kaetud MAK TA vahenditest, kuid alates 2025 aastast on vajaduste kulud katmata</t>
  </si>
  <si>
    <t>Seiresüsteemi arendus ja hooldus</t>
  </si>
  <si>
    <t>Vajadus on hinnatud pinnaseire süsteemi projekti meeskonna poolt,  sisendiks on 2022.aasta ja 2023.aasta arendusmahud ning kogemus, teadaolevad vajadused ehk EK poolsed muudatusvajadused ja suunad (tehisintelletide kaustselevõtmise vajaduse kohustuslik komponent jms)</t>
  </si>
  <si>
    <t>Tanel Trell/ otsetoetuste valdkonna teenuseomanik</t>
  </si>
  <si>
    <t xml:space="preserve">Seiresüsteemi osaks oleva uue programmperioodi toetuste (sekkumiste) arendamiseks värvatud lisapersonali kulud on aastani 2024 kaetud MAK TA vahenditest, kuid järgmiste aastate vajadused on katmata. Allika erinevuse tõttu on toodud 2023 ja 2024 aasta eelarve eraldi reana vt. järgmine rida. </t>
  </si>
  <si>
    <t>Uue programmperioodi pindalapõhiste meetmete (sekkumiste) arendamiseks vajalikud personalikulud</t>
  </si>
  <si>
    <t>PRIA kui maaelu valdkonna toetuste kompetentsikeskus toob Eestisse enam kui 1 miljard eurot toetusraha ning selleks kasutatakse digiriigile kohast toetuste taotlemise/ menetlemise infosüsteemi ning teenuseid. Konkreetsed värbamised toodud lehel "Personal".</t>
  </si>
  <si>
    <t xml:space="preserve">Lisapersonali vajadus on hinnatud pinnaseire süsteemi juhtrühma poolt, arvestades järgmiste aastate vajadusi. Lisavajaduse arvestamiseks on kasutatud Fontese tööperede põhist analüüsi. Töötundide kaardistamise sisendiks on PRIA ajahaldussüsteemi andmed, senine kogemus ja teadaolevad EK ja siseriiklikud nõuded. </t>
  </si>
  <si>
    <t>Uue programmperioodi toetuste (sekkumiste) arendustega alustati 2023. aastal, värvates selleks spetsiaalsete oskustega meeskond. Olemas on vahendid 2023 ja 2024 a vajaduste katteks.</t>
  </si>
  <si>
    <t xml:space="preserve">Uue programmperioodi pindalapõhiste meetmete (sekkumiste) arendamiseks vajalikud personalikulud - olemasolev rahastus
</t>
  </si>
  <si>
    <t>PRIA kui maaelu valdkonna toetuste kompetentsikeskus toob Eestisse enam kui 1 miljard eurot toetusraha ning selleks kasutatakse digiriigile kohast toetuste taotlemise/ menetlemise infosüsteem</t>
  </si>
  <si>
    <t xml:space="preserve">ePõlluraamatu arendamieks värvatud lisapersonali kulud on aastani 2023 kaetud MAK TA vahenditest, kuid järgmiste aastate vajadused on katmata. 
Allika erinevuse tõttu on toodud 2023.aasta eelarve eraldi reana vt. järgmine rida. </t>
  </si>
  <si>
    <t xml:space="preserve"> ePõlluraamatu edasi arendamiseks ja juurutamiseks vajalikud personalikulud</t>
  </si>
  <si>
    <t>Põlluraamatu andemete olemasolu tõttu omavad asutused ülevaadet kogu Eestis põldudel toimuvast ning arendavad andmete baasil Eesti riigi toidujulgeoleku tagamiseks ning  roheülemineku eesmärkide täitmiseks vajalikke andmepõhiseid teadmusteenuseid</t>
  </si>
  <si>
    <t xml:space="preserve">Lisapersonali vajadus on hinnatud e-põlluraamatu projekti juhtrühma poolt, arvestades järgmiste aastate vajadusi. Lisavajaduse arvestamiseks on kasutatud Fontese tööperede põhist analüüsi. 
</t>
  </si>
  <si>
    <t>ePõlluraamatu arenduseks värvati vastavate kompetentsidega meeskond, 2023.aasta vahendid on olemas MAK TA vahenditest</t>
  </si>
  <si>
    <t>ePõlluraamatu  arendamise personalikulud - olemasolev rahastus</t>
  </si>
  <si>
    <t>ePõlluraamat loodud seadusandluses toodud nõuete täitmise funktsionaalsuse ulatuses</t>
  </si>
  <si>
    <t>2023 a olemasolev eelarve</t>
  </si>
  <si>
    <t xml:space="preserve">Maavärava projekti eelanalüüsi läbi viimiseks on personalikulud kaetud 2023 a lõpuni, kuid alates 2024 on arendustegevuseks vajalikud personalikulud katmata. </t>
  </si>
  <si>
    <t>Maavärava projekti personalikulud</t>
  </si>
  <si>
    <t>On loodud valitsemiala ülene kliendiportaal, mille kaudu jõuavad klientideni vajalikud teenused. Konkreetsed värbamised toodud lehel "Personal".</t>
  </si>
  <si>
    <t xml:space="preserve">Maavärava projekti personalikulud on arvestatud maavärava projekti meeskonna poolt, arvestades esitatud SF taotluse arenduskuludega ning praeguse meeskonna säilitamise vajadusega. 2023.aastal panustavad eelanalüüsi projekti teenusdisainer 70%, ärianalüütik 50%, õigusloomenõunik 10%, kaasatud on ReM allasutused, PRIA sisuosakonnad, IT arhitekt. </t>
  </si>
  <si>
    <t>PRIA poolne olemasolev meeskond, baasrahastusest 2023.aastal</t>
  </si>
  <si>
    <t>Maavärava projekti personalikulud, 2023.aasta baasrahastus</t>
  </si>
  <si>
    <t>Valmis on maavärava anaüüs, mis on oluliseks sisendiks arendusprojekti elluviimiseks</t>
  </si>
  <si>
    <t>Baaseelarve</t>
  </si>
  <si>
    <t>Olemasolev rahastus</t>
  </si>
  <si>
    <t>1.1.1. Üleminek sündmuspõhistele ja proaktiivsetele teenustele</t>
  </si>
  <si>
    <t>1. Baaseelarve tegevus, mis sisaldab jätkusuutlikkuse kulusid ja need on samal real välja toodud</t>
  </si>
  <si>
    <t>II: Ühenduvus</t>
  </si>
  <si>
    <t>1.1.2. Krativäeline riik</t>
  </si>
  <si>
    <t>+km</t>
  </si>
  <si>
    <t>2. Tegevus on jätkusuutlikkuse kulu (baaseelarve, RES lisataotlus, muu allikas)</t>
  </si>
  <si>
    <t>3. SF tegevus, mis vajab jätkusuutlikkuse kulusid ja need on eraldi real välja toodud</t>
  </si>
  <si>
    <t>1.1.4. Roheline digiriik</t>
  </si>
  <si>
    <t>Reserv (SR)</t>
  </si>
  <si>
    <t>4. SF tegevus, mis vajab jätkusuutlikkuse kulusid, aga neid pole välja arvutatud ja eraldi real välja toodud</t>
  </si>
  <si>
    <t>5. SF tegevus, mis ei vaja jätkusuutlikkuse kulusid (nt analüüs)</t>
  </si>
  <si>
    <t>SF 14-20 (töös olev projekt)</t>
  </si>
  <si>
    <t>3. teadlikkuse tõstmine</t>
  </si>
  <si>
    <t>1.2.4. Keskselt osutatud IT-alusteenused</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</si>
  <si>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</si>
  <si>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</si>
  <si>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</si>
  <si>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</si>
  <si>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</si>
  <si>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</si>
  <si>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</si>
  <si>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</si>
  <si>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</si>
  <si>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</si>
  <si>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</si>
  <si>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</si>
  <si>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</si>
  <si>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</si>
  <si>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</si>
  <si>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</si>
  <si>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</si>
  <si>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</si>
  <si>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</si>
  <si>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Jätkusuutlikkuse kulu</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</si>
  <si>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</si>
  <si>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</si>
  <si>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</si>
  <si>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</si>
  <si>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</si>
  <si>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4. Tegevus, mis vajab jätkusuutlikkuse kulusid, aga neid pole välja arvutatud ja eraldi real välja toodud</t>
  </si>
  <si>
    <t>Regionaal- ja Põllumajandusministeeriumi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</si>
  <si>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</si>
  <si>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</si>
  <si>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</si>
  <si>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</si>
  <si>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</si>
  <si>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</si>
  <si>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</si>
  <si>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Regionaal- ja Põllumajandusministeerium</t>
  </si>
  <si>
    <t>x</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</si>
  <si>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</si>
  <si>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</si>
  <si>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</si>
  <si>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</si>
  <si>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</si>
  <si>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</si>
  <si>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</si>
  <si>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</si>
  <si>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</si>
  <si>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</si>
  <si>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</si>
  <si>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</si>
  <si>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Tulenevalt majandus- ja infotehnoloogiaministri 25. augusti 2023. a käskkirja „Toetuse andmise tingimused valdkondlike digipöörete toetamiseks“ punktist 8.4. allkirjastan/kinnitan Sotsiaalministeeriumi tervise valdkonna digipöörde tegevuskava.</t>
  </si>
  <si>
    <t>Valdkondliku digipöörde tegevuskava – Regionaal- ja Põllumajandusministeerium</t>
  </si>
  <si>
    <r>
      <t>Digipöörde eesmärk:</t>
    </r>
    <r>
      <rPr>
        <sz val="11"/>
        <color theme="1"/>
        <rFont val="Calibri"/>
        <family val="2"/>
        <charset val="186"/>
        <scheme val="minor"/>
      </rPr>
      <t> </t>
    </r>
  </si>
  <si>
    <r>
      <t>Digipöörde tegevuskava eesmärk:</t>
    </r>
    <r>
      <rPr>
        <sz val="11"/>
        <color theme="1"/>
        <rFont val="Calibri"/>
        <family val="2"/>
        <charset val="186"/>
        <scheme val="minor"/>
      </rPr>
      <t> </t>
    </r>
  </si>
  <si>
    <t xml:space="preserve">Regionaal- ja Põllumajandusministeeriumi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</si>
  <si>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</si>
  <si>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</si>
  <si>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</si>
  <si>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</si>
  <si>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</si>
  <si>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</si>
  <si>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Regionaal- ja Põllumajandusministeeriumi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</si>
  <si>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</si>
  <si>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</si>
  <si>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</si>
  <si>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</si>
  <si>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</si>
  <si>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</si>
  <si>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</si>
  <si>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</si>
  <si>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</si>
  <si>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</si>
  <si>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</si>
  <si>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</si>
  <si>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</si>
  <si>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</si>
  <si>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</si>
  <si>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</si>
  <si>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</si>
  <si>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</si>
  <si>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</si>
  <si>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</si>
  <si>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</si>
  <si>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</si>
  <si>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</si>
  <si>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</si>
  <si>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</si>
  <si>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</si>
  <si>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</si>
  <si>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</si>
  <si>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Raleway"/>
        <charset val="186"/>
      </rPr>
      <t>​</t>
    </r>
  </si>
  <si>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</si>
  <si>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</si>
  <si>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</si>
  <si>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</si>
  <si>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</si>
  <si>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</si>
  <si>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Seisuga 01.01.2023</t>
  </si>
  <si>
    <t>Seisuga 01.01.2024</t>
  </si>
  <si>
    <t>IKT Personal</t>
  </si>
  <si>
    <t>Täidetud/olemas</t>
  </si>
  <si>
    <t>Täitmata</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</si>
  <si>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</si>
  <si>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</si>
  <si>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</si>
  <si>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</si>
  <si>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</si>
  <si>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</si>
  <si>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</si>
  <si>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</si>
  <si>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</si>
  <si>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</si>
  <si>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</si>
  <si>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</si>
  <si>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</si>
  <si>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</si>
  <si>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</si>
  <si>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</si>
  <si>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</si>
  <si>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</si>
  <si>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</si>
  <si>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</si>
  <si>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</si>
  <si>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</si>
  <si>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</si>
  <si>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</si>
  <si>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</si>
  <si>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</si>
  <si>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</si>
  <si>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</si>
  <si>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</si>
  <si>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</si>
  <si>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</si>
  <si>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</si>
  <si>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</si>
  <si>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</si>
  <si>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</si>
  <si>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</si>
  <si>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</si>
  <si>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</si>
  <si>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</si>
  <si>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</si>
  <si>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</si>
  <si>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</si>
  <si>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</si>
  <si>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</si>
  <si>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</si>
  <si>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</si>
  <si>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</si>
  <si>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</si>
  <si>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</si>
  <si>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</si>
  <si>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</si>
  <si>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</si>
  <si>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</si>
  <si>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</si>
  <si>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</si>
  <si>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</si>
  <si>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</si>
  <si>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</si>
  <si>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</si>
  <si>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</si>
  <si>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</si>
  <si>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</si>
  <si>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</si>
  <si>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Jah</t>
  </si>
  <si>
    <t>Tuleb värvata</t>
  </si>
  <si>
    <t>Ei</t>
  </si>
  <si>
    <t>Digipöörde ajaks</t>
  </si>
  <si>
    <t>Arhitekt</t>
  </si>
  <si>
    <t xml:space="preserve">RES </t>
  </si>
  <si>
    <t>18 inimest</t>
  </si>
  <si>
    <t>SF</t>
  </si>
  <si>
    <t>Digipöörde raames teostatava koolitusprogrammi raames toetame juba esimesel aastal kõiki planeeritud asutusi. Vähemal või rohkemal määral on kõik asutused ka kaasatud digipöörde arendusprojektidesse</t>
  </si>
  <si>
    <t>Muudatused hakkvad valmima alles 2024 lõpp. 2024 ei ole veel märkimisväärset muutust. Järgnevatel aastatel peaks kasv olema hüppeline</t>
  </si>
  <si>
    <t>1. Mis sai 2023. aastal tehtud? - 'Värbamise eeltöö
2. Mis jäi 2023. aastal tegemata? Miks jäi tegemata? - Värbamine jäi lõpetamata, kuid märtsi seisuga edukalt lõpule viidud
5. Mis ettevalmistavaid tegevusi tehti 2023. aastal 2024, või hiljem algavate algatuste/tegevuste tarvis? - Tegeldi värbamise eeltööga
6. Mida on jõutud teha 2024. aasta alguses? Analüütik värvatud</t>
  </si>
  <si>
    <t>1. Mis sai 2023. aastal tehtud? - 2023 ei jõutud projektiga tegelda
2. Mis jäi 2023. aastal tegemata? Miks jäi tegemata? - Ministeeriumite VAde reformimise tulemusena polnud 2023 aasta II pool tegevuseks aega
3. Kas tegemata jäänud tegevus jäetaksegi tegemata, või lükkub edasi järgmisse perioodi? - Lükatakse edasi järgmisse perioodi
5. Mis ettevalmistavaid tegevusi tehti 2023. aastal 2024, või hiljem algavate algatuste/tegevuste tarvis? - Ei jõutud tegelda
6. Mida on jõutud teha 2024. aasta alguses? Arhitekti värbamine läbi viidud (alustab mais), eeltöö andmete juhi leidmiseks algamas</t>
  </si>
  <si>
    <t>1. Mis sai 2023. aastal tehtud? - 2023 ei jõutud projektiga tegelda
2. Mis jäi 2023. aastal tegemata? Miks jäi tegemata? - Ministeeriumite VAde reformimise tulemusena polnud 2023 aasta II pool tegevuseks aega
3. Kas tegemata jäänud tegevus jäetaksegi tegemata, või lükkub edasi järgmisse perioodi? - Tegevused planeeritud 2024 ja hiljemalt 2025 esimesel poolel ära teha
5. Mis ettevalmistavaid tegevusi tehti 2023. aastal 2024, või hiljem algavate algatuste/tegevuste tarvis? - Ei jõutud tegelda
6. Mida on jõutud teha 2024. aasta alguses? Koolitusprogrammi kokkupanek, partnerite leidmisega alustatud, VA's vajadusi kaardistatud</t>
  </si>
  <si>
    <t>Seireküsimused (SF tegevustele):
1. Mis sai 2023. aastal tehtud?- Analüüsi töö ettevalmistused
2. Mis jäi 2023. aastal tegemata? Miks jäi tegemata? - Sõltus ülemise punkti värbamisest kuni leiti sobiv inimene
3. Kas tegemata jäänud tegevus jäetaksegi tegemata, või lükkub edasi järgmisse perioodi? - Tegevused kõik plaanis
5. Mis ettevalmistavaid tegevusi tehti 2023. aastal 2024, või hiljem algavate algatuste/tegevuste tarvis? - Tegeldi analüüsi töö ettevalmistusega
6. Mida on jõutud teha 2024. aasta alguses? - Värvatud analüütik on alustanud analüüsi ettevalmistusega, tegeldakse hanke korraldamisega</t>
  </si>
  <si>
    <t>Seireküsimused (SF tegevustele):
1. Mis sai 2023. aastal tehtud? Eelanalüüs arendustöödeks
2. Mis jäi 2023. aastal tegemata? Miks jäi tegemata? - Tööd planeeritudki 2024 aastaks
3. Kas tegemata jäänud tegevus jäetaksegi tegemata, või lükkub edasi järgmisse perioodi? - Kõik plaanis
5. Mis ettevalmistavaid tegevusi tehti 2023. aastal 2024, või hiljem algavate algatuste/tegevuste tarvis? - Alustati eelanalüüsiga arendusteks
6. Mida on jõutud teha 2024. aasta alguses? - Eelanalüüs on vastu võetud, tegeldaks hanke korraldamisega</t>
  </si>
  <si>
    <t>Pole SFi tegevus</t>
  </si>
  <si>
    <t>PTA järelevalve infosüsteemide kaasajastamine võimaldamaks kliendikesksemaid teenuseid</t>
  </si>
  <si>
    <t xml:space="preserve">Kalanduse valdkond on ajalooliselt jäänud tegutsema ülejäänud asutusest eraldi IT lahenduste peal, mis sama moodi on tehniliselt taakvara staatusse jõudmas. PTA eesmärk on ühtlustada võimalikult palju ka selle valdkonna teenused koos üleüldiste teenuste ringi tegemisega uuele tehnilisele platvormile. </t>
  </si>
  <si>
    <t>PTA kalanduse teenuste  kaasajastamine uuel platvormil</t>
  </si>
  <si>
    <t>Kutselise kalapüügi registriga seonduvate teenuste üleviimine uude PTA infosüsteemi MEIS.
2024 teostatakse vajalikud analüüsid. 2025 alustatakse arendusi.</t>
  </si>
  <si>
    <t>Täna Eestis kasutuses olev tarkvara on hooldamiseks ja arendamiseks lootuselt vananenud ning sellel puudub arendaja tugi. Tarkvara osad moodulid ei tööta üldse (hinnamoodul ja vedajate moodul). Mittevastavuses kehtivate turvastandarditega. Ei toeta võimalust kuvada andmeid NeTEx formaadis (EU komisjoni delegeeritud määrus 2017/1926). Kui programm ei tööta, siis Eestis ühistransport on halvatud.</t>
  </si>
  <si>
    <t>Sõiduplaanide ja sõidupiletite hindade haldamise tarkvara soetamise, hooldus- ja tugiteenuse ning arendamise hange</t>
  </si>
  <si>
    <t>Saame loobuda vanad tarkvarast, kuna leitud on uus koostööpartner-või partnerid hankeperioodiks 5 aastat, millest maksimaalselt üks aasta kulub uue tarkvara välja arendmisele (sellise ootuse puhul loodame hankida just karbitoodet).</t>
  </si>
  <si>
    <t>METK/ maamajanduse valdkonna juhataja Katre Kirt</t>
  </si>
  <si>
    <t>METK on FADN kontaktasutus, FADN laieneb sotsiaalsete ja keskkonnanäitajate võrra alates 2026. aastast (FSDN). Vajame kaasaegset infosüsteemi, mis aitab METK kontaktasutusele pandud ülesandeid täita, sh andmeid koguda kasutades teisi andmeallikaid ja küsitledes põllumajandustootjaid, andmeid töödelda ja avalikustada. FSDN infosüsteemi osana näeme ka Turuinfo kogumise ja  töötlemise osa.</t>
  </si>
  <si>
    <t>FSDN infosüsteemi arendus</t>
  </si>
  <si>
    <t>Valmib paindlik infosüsteem FSDN ja turuinfo andmete kogumiseks veebipõhiselt ja töötlemiseks. On olemas võimalused teistest riiklikest registritest andmete pärimiseks ning kaasamiseks FSDNi ja turuinfo andmete jagamiseks teistele riiklikele asutustele. Infosüsteem toetab kontaktasutusele pandud ülesannete  täitmist – võimalik on hallata FSDN valimit, andmekogujaid, lepinguid, töödelda kogutud andmeid vastavalt EL ja riiklikule vajadusele. Vastavalt kokkulepitud metoodikatele toimib sisendandmete töötlemine väljunditeks (sh edastamine Euroopa komisjonile ja avalikustamine METK kodulehel, erinevate tabelite ja graafikute loomine andmete alusel – visuaali loomise võimekus). Andmeid tuleb säilitada võimalikult kaua, eelkõige et tagada keskkonnanäitajate analüüsitugi. Üksikandmete konfidentsiaalsus on tagatud (andmete anonüümimine ja pseodonüümimine).</t>
  </si>
  <si>
    <t>METK</t>
  </si>
  <si>
    <t>PTA SF Rida (rahaga)</t>
  </si>
  <si>
    <t>ReM SF Rida (rahaga)</t>
  </si>
  <si>
    <t>Seotud otseselt / kaudselt kõikide ridadega - baaseelarve küsimus</t>
  </si>
  <si>
    <t>Tegemist on püsikuluga, mis peab minema baasi kuna ekslikult see kaotati sealt</t>
  </si>
  <si>
    <t>Värvatud</t>
  </si>
  <si>
    <t>6 tki lisandus maa-ametist ( 2 tuge ja 4 projektijuhti)</t>
  </si>
  <si>
    <t>PTA liideti kokku VTAst ja PMAs aastal 2021. Mõlemal asutusel on enda järelevalve tarbeks infosüsteemid, mis ajale jalgu jäämas (ca 10 a vanad). Lisaks tarvis asutuse liitmisest tulenevalt teha märkimisväärselt teenuseid ringi nii kliendi kui ametniku vaatest, et parandada järelevalve effektiivsust ning  kliendikesksust.</t>
  </si>
  <si>
    <t xml:space="preserve">PTA vanadest infosüsteemidest tuuakse teenused tänapäevasele kujule uude moodsatel tehnoloogiatel põhinevasse infosüsteemi.
2024 toimub analüüs (rida tegevuse nimega "PTA ärianalüüs") tööde teostamiseks. Arendusi alustame 2025 alguses ning 2026 aasta lõpuks tahame saada 75% kõigist PTA klientidest tarbima teenuseid uuendatud kujul.
Digipöörde eesmärgi saavutamiseks on komplekteeritud olemasolevatest ja uutest rollidest agiilseks tarkvara arendamiseks vajalik tiim. Lisaks värbame täiendavat personali arenduste toetamiseks nii tooteomaniku kui administreerimise suunal. </t>
  </si>
  <si>
    <t>Tarkvara arendaja</t>
  </si>
  <si>
    <t>ReM</t>
  </si>
  <si>
    <r>
      <t xml:space="preserve">Arenduskulu on hinnatud suurandmete projeki ning e-põlluraamatu projekti liikmeid kaasates ning tuginedes nende kogemusele. 
</t>
    </r>
    <r>
      <rPr>
        <b/>
        <sz val="11"/>
        <rFont val="Calibri"/>
        <family val="2"/>
        <scheme val="minor"/>
      </rPr>
      <t>Muudetud on kulu liiki ja aastaid,</t>
    </r>
    <r>
      <rPr>
        <sz val="11"/>
        <rFont val="Calibri"/>
        <family val="2"/>
        <scheme val="minor"/>
      </rPr>
      <t xml:space="preserve"> sisendisk teadmusteenuste juhtrühmas kinnitatud tööplaan (mis teenused mis aastal välja arendatakse). Ajakava muutuse tingis tooteomaniku vahetumine ning arendatavate teenuste algoritmide eelanalüüsi puudumine. </t>
    </r>
  </si>
  <si>
    <t>Eelmisel korral teotatud</t>
  </si>
  <si>
    <t>Eelmisel korral teotatud. Küsime rahastuse pikendust</t>
  </si>
  <si>
    <t>499896</t>
  </si>
  <si>
    <t>15000</t>
  </si>
  <si>
    <t>75000</t>
  </si>
  <si>
    <t>170000</t>
  </si>
  <si>
    <r>
      <t xml:space="preserve">Eelmisel korral toetutud - </t>
    </r>
    <r>
      <rPr>
        <b/>
        <sz val="11"/>
        <rFont val="Calibri"/>
        <family val="2"/>
        <scheme val="minor"/>
      </rPr>
      <t>Hetkel tõmbame pidurit ja vabastame raha kuniks äriline vajadus põhjalikumalt analüüsitud!</t>
    </r>
    <r>
      <rPr>
        <sz val="11"/>
        <rFont val="Calibri"/>
        <family val="2"/>
        <scheme val="minor"/>
      </rPr>
      <t xml:space="preserve"> (numbrid ajaloo mõttes alles, kuid välja "kommenteeritud" valemitest)</t>
    </r>
  </si>
  <si>
    <t>Eelmisel korral teotatud - numbrid aastate vahel korrastatud</t>
  </si>
  <si>
    <t>Tegemist on küberturbe tagamiseks vajaliku eelarvega</t>
  </si>
  <si>
    <t xml:space="preserve">Seiresüsteemi arendamiseks värvatud lisapersonali kulud on aastani 2024 kaetud MAK TA vahenditest, kuid alates 2025. aastast MAK TA vahendid lõppevad ning vajadus on katta püsikulud ning edasised arendused RES eelarvest. Olemasolevate vahendite (2023 ja 2024) info toodud järgmisel real, kuna on erinev rahastuallikas.
Antud õigusaktidest tulenevad nõuded pinnaseiresüsteemi kui pindalameetmete administreerimise kohustusliku komponendi rakendamisele, sh nõuete seiratavus, kvaliteedikontroll, nõuete hindamine tehisintellekti abil. Komisjoni poolsed õigusaktid on vastu võetud, kuid töödokument, mis detailsel tasemel nõudeid kirjeldab, on pidevalt  muutumas. Pinnaseiresüsteemi rakendamine on suurim muutus pindalatoetuste administreerimise ajaloos, mille tulemusel tuleb senise 5% kontrollimäära asemel kontrollida 100% põllumajandusmaast (~1M ha) ning mis on seetõttu väga suure halduskoorumusega muudatus (arvestades nii uue süsteemi arendus- kui ka rakenduskulusid (tulenevad peamiselt kohustuslikust kvaliteedikontrollist). </t>
  </si>
  <si>
    <t xml:space="preserve">Seiresüsteemi ja AI aredamine ja rakendamine
</t>
  </si>
  <si>
    <t>On juurutatud õigusaktidest tulenevad nõuded pinnaseiresüsteemi kui pindalameetmete administreerimise kohustusliku komponendi rakendamisele, sh nõuete seiratavus, kvaliteedikontroll, nõuete hindamine tehisintellekti abil.</t>
  </si>
  <si>
    <t>Seadusega luuakse uus andmestik põllumajanduslike tegevustega seotud andmete töötlemiseks, milleks saab olema põllumajandusandmete varamu. Põllumajandusandmete varamu on osa põllumajandustoetuste ja põllumassiivide registrist, mille vastutav töötleja on Põllumajanduse Registrite ja Informatsiooni Amet.
Põllumajandusandmete varamusse esitatakse andmed põllumajandusliku tegevuse kohta, mille esitamise kohustus kaasneb Euroopa Liidu ühise põllumajanduspoliitika abinõus osalemisega. Samuti kantakse põllumajandusandmete varamusse vabatahtlikult esitatud andmed põllumajandusliku tegevuse kohta. Põllumajandusandmete varamu
pidamiseks õigusliku aluse loomine seaduses on muu hulgas aluseks PRIA e-teenuse keskkonnas elektroonilise põlluraamatu teenuse pakkumiseks ja sellest andmete põllumajandusandmete varamusse jõudmiseks ning vajalik põllumajanduspoliitika kujundamiseks, sh uute toetusmeetmete kavandamiseks, kestliku põllumajanduse soodustamiseks, riiklikuks statistikaks ja teadustööks.</t>
  </si>
  <si>
    <t xml:space="preserve"> ePõlluraamatu haldamine ja arendamine</t>
  </si>
  <si>
    <t xml:space="preserve">Põlluraamatu andemete olemasolu tõttu omavad asutused ülevaadet kogu Eestis põldudel toimuvast ning arendavad andmete baasil Eesti riigi toidujulgeoleku tagamiseks ning  roheülemineku eesmärkide täitmiseks vajalikke andmepõhiseid teadmusteenuseid. 
Seaduse rakendamiseks on vajalik arendada eelkõige PRIA IT-süsteemi ja luua kasutajatugi eteenuse kasutamise toetamiseks. E-põlluraamatu rakendamiseks tuleb luua vajalikud PRIA e-teenuse keskkonna teenused ning võimalused põllumajandusandmete varamu, PRIA e-teenuse keskkonna ja eraõigusliku andmekogu vaheliseks andmete vahetuseks. </t>
  </si>
  <si>
    <t xml:space="preserve">Personalikulud - projektijuht-analüütik (IT-süsteemianalüüs IV), 2 ärianalüütikut (IT-süsteemianalüüs II), 2 äripoole spetsialisti (Riiklikest ja välisvahenditest rahastatavate toetuste menetlemine ja klientide haldamine III). 
Lisatud kasv 13% aastas.
Majandamiskulud - 1. ametikoha sisustamise kulu aastas 6500€ (kokku 5 inimest 2024-2028 130 000.-) ja 2. Põldude haldamise teenuse (PHT) ja kaardirakenduse (RAM) hooldus: baastarkvarade uuendused, sõltuvuste (alusandmete päringud jms) haldus, vead, kriitilised lisaarendused.
Investeeringud - Investeeringud Põldude haldamise teenuse (seal sees ka e-põlluraamat) ning kaardirakendus põldude ja alade haldamiseks: kajastatud peamiselt pindalatoetuste suunitulusega iga-aastane investeeringute vajadus, aga kuna siia juurde on lisandunud ka põlluraamatu komponent, siis peab ka vastavate investeeringute puhul põlluraamatu poolt tulevaid vajadusi ja põlluraamatut mõjutada võivad arendusi silmas pidama ja vastavalt ka arendama . Taotluse tööd ja põlluraamatu tööd on tiheldat seotud - samad põllud, perioodipõhisuse loogika, geomeetria kontrollid kaardirakenduses jne - töödele ei saa piire tõmmat. Põlluraamatu lisandumine teeb taotluse töid keerukamaks.  Mis aga puudutab kitsamalt ainult põlluraamatu ärisuunaga seotud lisaarendusi, siis neid ei ole siia  lisatud - 2024-2025 on mingil määral olemas projektipõhine rahastus (RTE), 2026+ (projektipõhiste) investeeringutega tuleb veel tegeleda. 2028 hüppeline kulu on seotud uue programmperioodi algusega, mis tähendab suuremat tööde hulka.  Juhul kui muudetakse seadustes/määrustes ePõlluraamatut puudutavaid nõudeid, siis nendega antud eelarvetaotluses arvestatud ei ole. 
</t>
  </si>
  <si>
    <t>Tegemist on täiendava rahastut vajava tegevusega</t>
  </si>
  <si>
    <t>1. Personaalne riik
3. Õigusaktidest tulenevad vajadused</t>
  </si>
  <si>
    <t>Püsikulu, mis peab minema baaseelarvesse</t>
  </si>
  <si>
    <t>45000</t>
  </si>
  <si>
    <t>217000</t>
  </si>
  <si>
    <t xml:space="preserve">1 IT projektijuht (palgakulu 3200 eurot), 2 süsteemianalüütikut (palgakulu 3000 eurot) ning  tooteomanik/ärianalüütik 3 teenistujat (palgakulu 3 000 eurot), 1 pinnaseire teenusejuht (3 500) ja 1 menetlusspetsialist (2 500 eurot). Järgmistel aastatel arvestatud 13%-lise palgatõusuga. 
Majanduskulu koosneb:  iga-aastane süsteemi töösoleku toe tagamine, sh ka väiksemad veaparandused, süsteemi iga-aastane seadistamine, menetluseks vajalik väliselt teenusepakkujalt markerite tuvastamise teenuse sisseostmise kulu (133 333.- aastas), Maa-ametilt kõrgresolutsiooniga piltide ostmise kulu (200 000.- aastas) ning kvaliteedikontrollideks vajalike piltide ostmise kulu (128 000.- aastas). Majanduskulu kasvab alates 2026. aastast, kuna 2025. aastal makstakse markerite tuvastamise sisseostmise kulud veel MAK TA eelarvest. Lisaks lisanduvad alates 2026. aastast tehisintellekti rakendamisega seotud iga-aastased hoolduskulud. NB! See arvutus põhineb eeldusel, et jätkame olemasoleva teenuse osutamise raamlepinguga. KappaZetaga kehtib teenuse leping kuni 2026 aastani, alates 2027 uus hange ja kulud võivad kasvada. Lisaks analüüsime 2024. a võimalusi minna üle täpsemate satellidifotode peale (Planet), see arvutus siin ei kajastu. 
Töökohtade sisustamiseks vajalik majandamiskulu 6 500 eurot per amet, koolituskulu aastal 2025 ja 2027 summas 10 000 eurot. 
Planeeritud investeeringud: 2025-2028. aastal on vajalik välja arendada infosüsteemi kogu kvaliteedikontrollide läbiviimise võimekus ning kontrollitulemuste sisestamine ja aruandluse väljatöötamine. Lisaks peavad aastaks 2027 olema kõik nõuded seiratavad seiresüsteemi kaudu, mis tähendab iga-aastaselt nõuete seiramise lisaarendusi. Kulud on lähtuvalt aastast erinevad - nt 2025. aastal tuleb tegeleda ka tehisintellekti arendamisega ning seotud liidestuste loomisega.  </t>
  </si>
  <si>
    <t xml:space="preserve">Tegemist on seadustest tuleneva nõude rakendamiskuluga, mis nõuab nii personali, majanduse kui IT eelarvet. </t>
  </si>
  <si>
    <t>3. Õigusaktidest tulenevad vajadused
2. AI ja andmed</t>
  </si>
  <si>
    <t>5. Küberturvalisus</t>
  </si>
  <si>
    <t>Püsikulu, peab minema baaseelarvesse</t>
  </si>
  <si>
    <t>UUS</t>
  </si>
  <si>
    <t>Rolan Keskküla / arengutoetuste ärianalüütik/projektijuht</t>
  </si>
  <si>
    <t>Arengutoetused</t>
  </si>
  <si>
    <t xml:space="preserve">MAK 2014-2020 perioodil loodi nõuded, mis lähtusid matemaatilistest valemitest ja mida sai hinnata läbi IT süsteemi ühe nupuvajutusega. ÜPP 2023-2027 periood on toonud sisust lähtuvad subjektiivsed nõuded, mille läbitöötamine võtab kordades rohkem aega ja inimressurssi. </t>
  </si>
  <si>
    <t xml:space="preserve">Krati integratsioon asutusse </t>
  </si>
  <si>
    <t xml:space="preserve">Projekt on edukas kui kratt on välja arendatud ja integreeritud neljas erinevas toetusmeetmes perioodil 2025. teine pool kuni 2026. aasta esimene pool.
</t>
  </si>
  <si>
    <t>Mario Liimann/AI meeskonna IT juht</t>
  </si>
  <si>
    <t>kõik PRIA avalikud teenused</t>
  </si>
  <si>
    <t>Ai nõude rakendamine erinevate PRIA teenuste pakkumiseks - pinnaseire, arengutoetused</t>
  </si>
  <si>
    <t>AI meeskond, PRIA baaseelarvest rahastatav</t>
  </si>
  <si>
    <t>AI rakendamine koos erinevate projektimeeskondadega (sh SF projektid)</t>
  </si>
  <si>
    <t xml:space="preserve">Pindalatoetuste klientidel (ca 14 000 tk) puudub ülevaade oma põldudele kehtivate nõuete kohta seiresüsteemi tulemustest. See tingib suure halduskoormuse kliendile kui ka menetlejale ja piirab ennetavate mõjude rakendamist. Seire süsteem on oma olemusest ennetav mitte kliendile karistav süsteem. Täna on loodud MVP lahendus, arenduse tulemus on automatiseeritud kliendikeskne ja proaktiivne lahendus.  </t>
  </si>
  <si>
    <t xml:space="preserve">1. Kliendil on terviklik ja online ülevaade oma põldude seiretulemuste (nt. nõue = niitmine seiretulemus on ok) kohta. 
2. Klient saab alustada vajalikke toiminguid kliendiportaalis (nt. seiresüsteemi tulemus on avastatud on vale kultuur, tekib kliendidl võimalus kultuur korrigeerida ilma sanktsioonideta). </t>
  </si>
  <si>
    <t>Lauri Riive / kaudmisriski ja raskustesolemise protsessi omanik</t>
  </si>
  <si>
    <t xml:space="preserve">  Kadumisriskiga klientide tuvastamise protsessi eesmärk on minimeerida klientide puudulikust seirest tingitud finantskahju teket, luues automaatne kontrolliprotsess klientide riskide hindamiseks ja skoorimiseks ning lepitakse kokku selge protsess kadumisriskiga klientidega tegelemiseks. 2017-2023 on PRIAs lootusetuks kantud 256 klienti, kellest pankrotistunud võlgnike arv on 56 ja äriregistrist kustutatud on 184 võlgnikku.
  Üle PRIAline raskustes olemise kontrolli eesmärgiks on, et meetmepõhine raskustes olemise kontrolli nõue on automatiseeritult ühtse kvaliteediga regulaarselt üle kõigi meetmete kontrollitud. Antud kontrolli kvaliteetne tegemine aitab ennetada kadumisriski teket ja samas tagab, et toetusskeemis osalejad vastavad kõikidele kehtestatud nõuetele. Antud kontrolli keerukuse ja mahukuse tõttu ei ole reaalne seda käsitsi teostada.
</t>
  </si>
  <si>
    <t>Horisontaalne kadumisriski kontrolli ja universaalne raskustes olemise kontrolli protsessi välja töötamine ja IT arenduste teostamine</t>
  </si>
  <si>
    <t xml:space="preserve">1. Kirjeldatud on ülePRIAline horisontaalne kadumisriski kontrolli protsessi ja universaalne raskustes olemise kontrolli protsess
2. Arendatud on protsessi toetav IT lahendus. </t>
  </si>
  <si>
    <t>Horisontaalne kadumisriski kontrolli ja universaalne raskustes olemise kontrolli protsessi IT lahendus vajab hoolduskulu</t>
  </si>
  <si>
    <t>Horisontaalne kadumisriski kontrolli ja universaalne raskustes olemise kontrolli protsessi IT lahenduse  hoolduskulu</t>
  </si>
  <si>
    <t>Süsteem on hooldatud, teenus on pakutud.</t>
  </si>
  <si>
    <t>Piret Kljutsivski / CRM tooteomanik</t>
  </si>
  <si>
    <t xml:space="preserve">Kliendiga toimuvate kontaktide registreerimine ei ole ühtselt korraldatud ning puudub ühtne kliendikontaktide administreerimine ja talletamine.
Puuduliku administreerimise tõttu ei osata kliendile piisavat infot (teenindaja ei tea, kes ja mis teemal on varem kliendiga suhelnud, milliseid dokumente talle saadetud jne) anda ja seda temalt saada, pole võimalik analüüsida küsimust tekitavaid probleeme, teha ennetustööd korduvate vigade ära hoidmisel või mitmekordsete andmete küsimisel (vajalikud andmed on PRIAs olemas, kuid kliendiga suhtleja ei tea seda). Samuti puuduvad andmed selle kohta, mis infot kliendile kontakti käigus anti.
Puudub tagasiside süsteem, puudub klienditoimik, ühtne teenuskaardisüssteem. </t>
  </si>
  <si>
    <t>Kliendihaldussüsteemi arendamine</t>
  </si>
  <si>
    <t>1. Loodud on kliendihaldus toetav töökorraldus sh toetav struktuur
2. Tekib ühte terviklik klienditoimik, teame ja tunneme klienti ja võimalus pakkuda talle sobivaid ja proaktiivseid teenuseid
3. Arendatud ja juurutatud CRM süsteem (analüüsitulemusel selgub kas soetatakse karbitarkvara või arendatakse eraldi moodul)</t>
  </si>
  <si>
    <t>Kliendihaldussüsteemi hoolduskulu</t>
  </si>
  <si>
    <t>Anni/PRIA arhitekt</t>
  </si>
  <si>
    <t>Arengutoetuste teenused</t>
  </si>
  <si>
    <t xml:space="preserve">Suur osa e-PRIAs olevatest arengutoetuste teenustest on arendatud AngularJS raamistikule. Toe lõppemisel on e-PRIA turvanõrkusega ehk rünnaku korral võib kogu e-PRIA maha kukkuda, mille tagajärjel ei saa  e-teenuseid kasutada ning suur osa EL toetustest jääb rakendamata ja põllumehel taotlemata. 
</t>
  </si>
  <si>
    <t xml:space="preserve">PRIA/AngularJS raamistiku uuendamine
</t>
  </si>
  <si>
    <t xml:space="preserve">31.12.2026 on AngularJS raamistikule arendatud infosüsteemid/e-teenused on üle viidud Angular raamistikule. Puudtab see ca 30 teenuste kuvasid.
Projekti raames luuakse taaskasutatavaid komponente, mida saab järgmiste infosüsteemide/e-teenuste arendamisel kasutusele võtta ning selle tulemusena on arendused odavamad.
</t>
  </si>
  <si>
    <t>Uuendatud on kliendiregistri kuvad (angular 16)</t>
  </si>
  <si>
    <t>Pindala ja loomatoetused</t>
  </si>
  <si>
    <t xml:space="preserve">Täna menetletakse pindala- ning loomapõhiseid toetuseid 2003. a loodud menetlussüsteemis TAKS (Oracle Forms) ja 2008. a loodud menetlussüsteemis CCS (Aranea). Seega kõik menetlusetappideks kasutatavad infosüsteemid on vananenud ning toimivad eraldiseisvalt. 
Nii Oracle Formsil kui Araneal on suur hulk riske, mis on osaliselt tänaseks realiseerinud: arenduspartnereid pole piisavalt, süsteem kukub kokku kriitilisel hetkel jne jne. 
2025.aastal tuleb alustada uue perioodi sekkumiste arendustega. Kindlasti ei ole mõistlik ja võimalik, et tänased menetlusüsteemist aastast 2003 (ca 30 aastane!) järgmise programmperioodi vastu peavad. Juhul kui me ei alusta täna programmide uuendamisega, ei ole me valmis 2028+ perioodi sekkumisi avama. 
Esimene etapp projektil on eelanalüüsi/lähteülesande koostamine. Eelanalüüsi/lähteülesabde eesmärk on kirjeldadada ootused analüüsiprojekti sisule. </t>
  </si>
  <si>
    <t>Pindalatoetuste menetlussüsteemi uuendamise projekti eel-analüüs</t>
  </si>
  <si>
    <t xml:space="preserve">Lähteülesande koostamine hõlmab järgnevat:
1. kirjeldatakse senine tööprotsess: koostatakse üldisel tasemel AS-IS protsessijoonised ning vaadatakse üle parenduskohad protsessis, viiakse läbi ajurünnak, et välja selgitada senised suurimad kitsaskohad süsteemides;
2. kirjeldatakse protsess käesoleva programmperioodi info alusel - nt mis meetmed on, mitu taotlusvormi, mis on nõuded valimi koostamisele, kontrollide läbiviimisele, kohustuste jälgimisele, kui palju on kontrolle, mis on seosed teiste asutustega, registritega, 
3. teiste PRIA infosüsteemidega või väliste infosüsteemidega, kasutajate grupid/õigused. 
4. kirjeldatakse TO-BE protsess visioonina, mida täiendatakse analüüsietapis;
5. kirjeldatakse ära tehnilised ootused (meie IT poolt)
6. kirjeldatakse ära ootused analüüsietapile: nt alternatiivsete võimaluste hindamine, MVP koostamine, arendus- ja hooldusmaksumuste hindamine, inimressursi vajaduse hindamine jne  </t>
  </si>
  <si>
    <t xml:space="preserve">Täna menetletakse pindala- ning loomapõhiseid toetuseid 2003. a loodud menetlussüsteemis TAKS (Oracle Forms) ja 2008. a loodud menetlussüsteemis CCS (Aranea). Seega kõik menetlusetappideks kasutatavad infosüsteemid on vananenud ning toimivad eraldiseisvalt. 
Nii Oracle Formsil kui Araneal on suur hulk riske, mis on osaliselt tänaseks realiseerinud: arenduspartnereid pole piisavalt, süsteem kukub kokku kriitilisel hetkel jne jne. 
2025.aastal tuleb alustada uue perioodi sekkumiste arendustega. Kindlasti ei ole mõistlik ja võimalik, et tänased menetlusüsteemist aastast 2003 (ca 30 aastane!) järgmise programmperioodi vastu peavad. Juhul kui me ei alusta täna programmide uuendamisega, ei ole me valmis 2028+ perioodi sekkumisi avama. </t>
  </si>
  <si>
    <t>Pindalatoetuste menetlussüsteemi uuendamise projekt</t>
  </si>
  <si>
    <t xml:space="preserve">Projekti lõppeesmärk on luua teenusepõhist töökorraldus toetav toetuste menetlussüsteem, mis tagab tõhusa töökorraluse (väiksem halduskoormus nii kliendile kui riigile) ja tähtaegsed maksed kliendile. Projekti edukas elluviimine tagab makseasutuse akrediteerimistingimustele vastavuse. Uueperioodi meetmed võetakse vastu uues infosüsteemis. 
Tegevuskava:
• Lähteülesande koostamine - aprill-juuni 2024, koostab PRIA (vt. eelmine SF analüüsi rida)
• Meeskondade komplekteerimine kõikideks etappideks: 
• Analüüsi läbiviimine - august 2024 - jaanuar 2025, kaasatakse väline arenduspartner, eeldatav rahaline kulu 100 000.-, esitame Digipöörde kavasse.
• Arenduste teostamine - 2025. a teine poolaasta - 2029. a juuli, korraldatakse riigihange arenduspartneri leidmiseks. Täpne arendusvajaduste maksumus selgub analüüsi tulemusena.
</t>
  </si>
  <si>
    <t>Aivar Arik / EAGIS tooteomanik</t>
  </si>
  <si>
    <t>Pindalatoetused</t>
  </si>
  <si>
    <t xml:space="preserve">Hetkel kasutusel oleva geoinfosüsteemi (EAGIS) tehnoloogiline arhitektuur on ajale jalgu jäänud – pärinedes aastast 2003. See lahendus seab piirid süsteemi jätkusuutlikkusele, töökindlusele ja ka turvalisusele kasutajate arvu ja funktsionaalsuse keerukuse kasvu jätkudes. Toetuste väljamaksmise aluseks olevate andmete turvalisuse tagamine on raskendatud. EAGIS andmed on aluseks ca 14 000 kliendi pindalameetmete toetuste arvutamisel summas ca 200 miljonit eurot. 
</t>
  </si>
  <si>
    <t xml:space="preserve">EAGIS platvormi uuendamine ja turvalisuse tagamine </t>
  </si>
  <si>
    <t>2024.-2025.aastal alustatakse pindalatoetuste menetlussüsteemiarendusega, alates 2026. aastal alustatakse kaardivajaduste viimist uuele platvormile</t>
  </si>
  <si>
    <t>Pindalatoetuste menetlussüsteemi uuendamise projekti tooteomanik</t>
  </si>
  <si>
    <t>Tooteomanik/projektijuht on värvatud juuni 2024.</t>
  </si>
  <si>
    <t>Riina Otsa / Finantsteenuste omanik</t>
  </si>
  <si>
    <r>
      <t xml:space="preserve">PRIA kasutab toetuste arvestamiseks, maksmiseks, võlgade halduseks ja raamatupidamiseks </t>
    </r>
    <r>
      <rPr>
        <b/>
        <sz val="11"/>
        <rFont val="Calibri"/>
        <family val="2"/>
        <scheme val="minor"/>
      </rPr>
      <t>aastast 2006</t>
    </r>
    <r>
      <rPr>
        <sz val="11"/>
        <rFont val="Calibri"/>
        <family val="2"/>
        <scheme val="minor"/>
      </rPr>
      <t xml:space="preserve">. kasutusele võetud infosüsteemi. Makseteteostamiseks kasutatakse Aranea tehnoloogial põhinevat süsteemi (ARMA) ning raamatupidamiseks Microsoft Dynamics AX põhinevat süsteemi (PRIAX). Tänane põhiprobleem on see, et Aranea on vananenud tehnoloogia ja arenduseks inimesi turult ei leia. ARMA on PRIA jaoks äärmiselt kriitiline süsteem, kui antud süsteem ei ole töökindel st. ei suudeta tagada korrektseid makseid ja finantsarvestust, ei vasta me Akrediteerimistingimustele! Antud süsteemiga teostatakse igaastaselt ca 40 000le klindilemakseid 400 miljoni ulatuses makseid. </t>
    </r>
  </si>
  <si>
    <t>Arvestuse ja maksete süsteemi uuele platvormile viimine</t>
  </si>
  <si>
    <t>1. 2026.aasta tulemuseks on ärianalüüs, mille käigus on
• seotud osapoolte ja nende vajaduste kaardistamine,
• protsesside ja nendega seotud kitsaskohtade kaardistamine,
• võimalike lahendusalternatiivide analüüsimine,
• lahenduse väljavalimine ning muudatuse mõju mõõtmine
Sisendiks punkt 2 realiseerimiseks. 
2. 2028.aastaks on arendatud uus infosüsteem, kus saab teostada finantsarvestust, makseid, võlgadehaldust, edastada sisendit Euroopa ja siseriiklikuks aruandluseks.</t>
  </si>
  <si>
    <t>PRIA maksete ja arvestussüsteemi hooldamine</t>
  </si>
  <si>
    <t>Arvestuse ja maksete süsteemi hoolduskulud</t>
  </si>
  <si>
    <t>Turukorraldusmeetmed, litsentside väljastamine</t>
  </si>
  <si>
    <t>Aardo Külaots / Turukorrdusmeetmete omanik</t>
  </si>
  <si>
    <t>Turukorraldusmeetmete (sekkumiskokkuost, eraladustamine, eksporditoetused) menetlemiseks ja litsentside väljastamiseks kasutatakse infosüstseemi hooldamine</t>
  </si>
  <si>
    <t>Turukorraldusmeetmete menetlemise ja litsentside väljastamise infostseemi hoolduskulud</t>
  </si>
  <si>
    <t>Kiido Levin / Registriteenuste omanik</t>
  </si>
  <si>
    <t>Lemmikloomade registreerimisteenuse pakkumine</t>
  </si>
  <si>
    <t>Alates 2027.aastas on riiklik kohutus pidada lemmikloomade registrit. Antud kohutust tuleneb Euroopa Parlamendi ja Nõukogu määruse (EL), milles käsitletakse koerte ja kasside heaolu ja nende jälgitavust
Artikkel 17 lg 2 ja artikli 19 kohaselt, mis sätestab, et  pädevad asutused loovad alates [kolm aastat pärast käesoleva määruse jõustumise kuupäeva] mikrokiibitud koerte ja kasside registreerimiseks andmebaasi ja haldavad seda.</t>
  </si>
  <si>
    <t>Lemmikloomade registreerimisteenuse realiseerimine</t>
  </si>
  <si>
    <t>Parandada olukorda lemmikloomade jälgitavusega, millega tagatakse parem olukord loomatervise ja loomade heaolu valdkondades läbi alljärgneva:
1. tehakse kohustuslikuks lemmikloomade (kass, koer ja valgetuhkur) identifitseerimine kiibiga;
2. identifitseerimisandmete kandmine riiklikku andmekogusse.
3. loodud on registriteenused ja kasutusele võetud 01.01.2027.</t>
  </si>
  <si>
    <t>Registri teenus on pakutud, süsteem on hooldatud</t>
  </si>
  <si>
    <t>Andmeteenused</t>
  </si>
  <si>
    <t xml:space="preserve">PRIA strateegiline eesmärk on teadmusteenuste pakkumine ning selle elluviimise  üheks tegevuseks on ettenähtud andmestrateegia koostamine. Strateegiaga soovime fikseerida põhimõtted kuidas tagatakse andmete kvaliteet, konfitsetsiaalsus, kättesaadavus. Täna sellised kokkulepped PRIAs puuduvad. Strateegia koostamisel tuleb analüüsida ka andmeaida tulevik st. tuleb analüüsida nii vajadusi lähtuvalt uuenevast strateegiast kui pakutavaid erinevaid võimalusi, arvestades et tänane SAP BO tugi ca 2027+ perioodil lõpeb. </t>
  </si>
  <si>
    <t>Andmestrateegia koostamine</t>
  </si>
  <si>
    <t xml:space="preserve"> 
* PRIA andmestrateegia on koostatud, ettepanekud esitatud</t>
  </si>
  <si>
    <t xml:space="preserve">Meile teadaolevalt on 2027. aastal lõppemas PRIA Andmeaida tarkvara SAP BO tarkvaraline tugi ning selle kasutamisega kaasnevad taakvara kasutamisest lähtuvad infoturbe riskid. Kuna Andmeait sisaldab nii isikuandmeid kui asutuse siseseks kasutamiseks ette nähtud andmeid nii PRIA enda registritest kui ka väljastpoolt, siis on tegemist kõrgeima taseme riskiga. Samas on Andmeaidast kujunenud keskne tarkvara, millel baseerub kogu Euroopa Komisjoni aruandlus, PRIA ja ka REM valitsemisala ning sektori tegevust toetav juhtimisaruandlus ning ka asutusest välja kuvatavad avaandmed (sh BI töölauad). PRIA arengukavast lähtuvad teadmusteenuste arendused on Andmeaida kasutusvajadust veelgi laiendamas ja intensiivistamas. </t>
  </si>
  <si>
    <t>Andmeteenuste töökeskkonna andmeaida korrastamine ja uuendamine</t>
  </si>
  <si>
    <t xml:space="preserve">
*2026 uue andmeteenuste keskkonna tehniline analüüs on teostatud
*2027-2028 uue andmeteenuste keskkonna arendus ja juurutamine
* 2028+ hooldusfaasi liikumine
*2025+ püsikuluna PowerBI litsentside viimine järgmisele tasemele
</t>
  </si>
  <si>
    <t>Andmeteenuste töökeskkonna andmeaida korrastamine ja uuendamisega seotud jätkusuutlikkuse kulud</t>
  </si>
  <si>
    <t>Andmeteenuste töökeskkonna hoolduskulud</t>
  </si>
  <si>
    <t>* Alates 2025.aastast uute teadmusteenuste pakkumiseks vajalik kallima PowerBI litsenstikulu
* Alates 2028.a süsteem on hooldatud, teenus on pakutud.</t>
  </si>
  <si>
    <t>Ivo Tamm / IT teenuste omanik</t>
  </si>
  <si>
    <t>IT haldusteenus</t>
  </si>
  <si>
    <t xml:space="preserve">• PRIA klientide ja töötajate jaoks tarvilikud infosüsteemid ja andmestikud on seni majutatud PRIA serveriruumis. Riigipilves asub vaid üks rakendus. Kogu taristu on seni üles ehitatud üle õla põhimõttel ja tehnilise toega põhimõttel 8/5. Ehk taristu ei ole dubleeritud vähimalgi määral. See kokku loob arusaadavalt väga riskantse komplekti ja sisuliselt iga pisem inimlik või tehniline viga võib kogu süsteemi rivist välja viia päevadeks või nädalateks (kui tekib vajadus taastada kogu süsteem koopiatelt), rääkimata igapäevastest häirivatest pisikatkestustest säärase süsteemi korral.
• PRIA taotlusvoorud ja kliendikoormus on väga hooajalised – periooditi tuleb ette kümnekordselt  suuremat ressursivajadust kui tavapäraselt.
• Administraatorite igapäevatöö koormavaks ja ebahuvitavaks osaks on taristu turvalisuse ja versiooniuuenduste tagamine.
</t>
  </si>
  <si>
    <t>Pilvele üleminek</t>
  </si>
  <si>
    <t xml:space="preserve">• 2024.aastal on pilevele ülemineku plaan koostatud, pilvekonspetsioon on olemas (SF)
* Kõik PRIA pilvekõlbulikud lahendused on viidud pilve ja loodud seal kahe õlaga turvaline ja dubleeriv süsteem.
• Olemas oleva riistvara hoiame samuti käigus – esialgu teise õlana, hiljem kasutus vastavalt vajadusele. Üks suuremaid vajadusi on kindlasti veel aastaid Oracle andmebaas ja sellega sidusad lahendused (sh taakvaralised). 
• Süsteem on turvaline ja käideldav, vajadusel on koheselt ja ainult selleks puhuks saadaval tehniline lisaressurss, administraatorid saavad enam tegeleda arendustööga.
</t>
  </si>
  <si>
    <t xml:space="preserve">Välisrahastusega (MAK, Riigikantselei) arendatakse tootjale uued teadmusteenused: põlluraamatuga seotud erinevad soovitusteenused, karjatervise teenus, integreeritud taimekaiste teenus toidutoomise kestlikkuse hindamise teenus, mis koosneb erinevatestkomponentidest, nagu kasvuhoonegaaside jalajälje hindamine, muld, maakasutus, veekasutus, sõnnikukäitlus, loomadeheaolu, antibiootikumide kasutamine, ringmajandus, taimekaitsevahendite ja väetiste kasutamine jne. Uute teadmusteenuste arendamiseks on vahendid olemas, kuid puudub personali ja hoolduseelarve hilisemaks teenuste pakkumiseks. </t>
  </si>
  <si>
    <t>Teadmusteenuste pakkumise (Suurandmete, Rohefoor) püsirahastus</t>
  </si>
  <si>
    <t>Uued teadmusteenused on pakutud</t>
  </si>
  <si>
    <t>Ave Tamman / MKM e-teenuste tooteomanik PRIAs</t>
  </si>
  <si>
    <t xml:space="preserve">MKM eesti.ee projekti raames arendatakse välja erinevad e-teenused, mida kuvatakse eesti.ee keskkonnas. Kõiki arendatud teenuseid tuleb hooldada ja tagada, et kliendile oleks pakutud kvaliteetne teenus. Täna PRIAl puudub nende teenuste hooldamiseks ressurss. </t>
  </si>
  <si>
    <t>MKM eesti.ee teenuste hoolduskulud</t>
  </si>
  <si>
    <t>Teenused on hooldatud</t>
  </si>
  <si>
    <t>Kiido Levin /Reaalajamajanduse tooteomanik PRIAs</t>
  </si>
  <si>
    <t xml:space="preserve">Reaalajamajanduse  eesmärgiks on toetada „Reaalajamajanduse visioon 2020–2027“ alameesmärgi „Andmepõhisele aruandlusele üleminek, sh eelistatult XBRL GL standardi kasutamine“ saavutamist aastaks 2025. </t>
  </si>
  <si>
    <t>reaalajamajanduse projekt</t>
  </si>
  <si>
    <t>Oodatavad tulemid 2024.a (koostöökokkuleppe alusel):
1. On loodud kaardistus ja tulevikuvaade valdkonna andmete esitamisest, vastuvõtmisest, töötlemisest, hoiustamisest ja vahetamisest, pidades silmas kulutõhusust ettevõtjate ja asutuste vaates.
2. Värvatud on andmete standardiseerimise ekspert (d)/projektijuht, on loodud standardiseeritud andmekoosseisud, mis on sisendiks punktidele 3 ja 4.
3. Tehtud on liidesarendused tootjate farmitarkvaradega arvestades uusi loodavaid standardiseeritud andmekoosseise (konkreetne töö tulem ja arendusmaht selgub teostatava analüüsi tulemusest).
4. On valminud analüüs leidmaks võimalused, kuidas jõuavad andmed põllumajandusmasinate tarkvaradest otse eratarkvaradesse ja loodavasse kesksesse e-põlluraamatusse. Parimaid lahendusi on testitud (prototüüp vms lahendus).</t>
  </si>
  <si>
    <t>Riina Järvet / Suurandmete projekit juht</t>
  </si>
  <si>
    <t>ePõlluraamatu kasutajale lisa-teadmusteenuste pakkumine</t>
  </si>
  <si>
    <t>Suurandmete projekt</t>
  </si>
  <si>
    <t xml:space="preserve">Personaliseeritud teenuste loomine: väetussoovituste kalkulaator, lupjamisoovituskalkulaatir, NPK bilansi kalkulaator, huumusbilansi kalkulaator, karjatervise teadmusteenus, integreeritud taimekaiste teenus. </t>
  </si>
  <si>
    <t xml:space="preserve">MKM eesti.ee projekti raames arendatakse välja erinevad e-teenused, mida kuvatakse eesti.ee keskkonnas. </t>
  </si>
  <si>
    <t>MKM eesti.ee teenuste arendamine</t>
  </si>
  <si>
    <t>2023.aastal arendati finantseerimisteenus, 2024.-2025.aastal pääsuõiguste teenus, tegevusload, tähtajalised kohutused, majandustegevusteated, varade teenus.</t>
  </si>
  <si>
    <t>AKIS/ Ülle Lukas AKIS tooteomanik PRIAs</t>
  </si>
  <si>
    <t xml:space="preserve">Tegemist on ÜPP strateegiakavast rahastatava projektiga, mis kestab 2023-2027. Kogu PRIA AKIS projekti eelarve kokku on 1,5 mln eur. 
PRIA tagab AKIS-e teabesalve digitaalsete lahenduste väljatöötamise ja arendamise käigushoidmise. 
</t>
  </si>
  <si>
    <t>AKIS digikeskus</t>
  </si>
  <si>
    <t>PRIA ülesanded digiteenuste korraldamisel on: 
1) arendada teabesalve funktsionaalsust erinevatele sihtrühmadele, vastavalt METK-i 
tellimusele (sealhulgas korraldatavate teadmussiirde tegevuste info, sündmuste kalender, 
õppematerjalid, innovatsioonikoostöö projektide videod, nõustajate andmestik jmt); 
2) tagada arendatud teabesalve funktsionaalsus, töökindlus ja hooldus. 
2024.aastal planeeritavad arendused: 
- Nõustajate andmebaasi loomine; Nõustajate otsingu kuva arendused; Nõustamislepingu ja nõustamisaruande vorm ja funktsionaalsuse arendused
- Teabesalve (METKi hallatava viie veebilehe asemele ühe veebilehe) loomise esimese etapi tööd, mis võimaldavad olemasolevatelt veebilehtedelt hakata sisu Teabesalve üle tooma</t>
  </si>
  <si>
    <t>Ethel Tekkel / Rohefoori tooteomanik</t>
  </si>
  <si>
    <t>Rohefoori rahastatakse Riigikantselei avaliku sektori innovatsioonivõimekuse tõstmise meetmest, mille eesmärk on uuenduslike lahenduste otsimine, lahenduste arendamine ja reaalses elus katsetamine põllumajanduslike toodete esmatootjate kestlikkuse hindamiseks ja soovituste andmiseks jätkusuutlikkuse osas.</t>
  </si>
  <si>
    <t>Rohefoori projekt</t>
  </si>
  <si>
    <t xml:space="preserve">Riigikantselei projekt, mille eelarve on antud aastateks 2024-2026. 
Projekti eesmärk on pakkuda põllumajandustoodete esmatootjale teadmusteenust ehk luua digitaalne põllumajandustegevuse andmetel põhinev tööriist, millabil saab põllumajanduslike esmatoodete tootja:
*hinnata enda põllumajandustegevuse kestlikkusnäitajaid ettevõtte ja toote põhiselt;
*võrrelda end teiste sarnaste ettevõtetega ning jälgida ettevõttepõhiste ja riiklike keskkonna- ja kliimaeesmärkide poole liikumist;
*saada nõuandeid oma kestlikkusnäitajate parandamiseks;
*koostada aruandeid enda ettevõtte kestlikkusnäitajate kohta; 
*eksportida ettevõtte kestlikkusaruande alusandmestikku;
*analüüsida tehtavate muudatuste mõju ettevõtte kestlikkusnäitajatele.
2024  on planeeritud kasvuhoonegaaside jalajälje arvutamise tööriista prototüübi jaoks vajaliku andmekooseisu kirjeldamine, huvigruppide kaasamine ja teenusdisainiga seotud tegevused, rohefoori üldkontseptsiooni ja metoodika väljatöötamine, protod - jätkub 2025.aastal. </t>
  </si>
  <si>
    <t xml:space="preserve">Projektimeeskond: 1 projektijuht-tooteomanik, 1 IT projektijuht-analüütik; 1 AI kompetenstidega jurist
Majanduskulu: kratisüsteemi hankimine ja treenimine – 44 180 eurot. 
</t>
  </si>
  <si>
    <t>PRIA palgainfo alusel, rahastatakse MAK TA vahenditest, mis lõpevad aastal 2025.</t>
  </si>
  <si>
    <r>
      <t xml:space="preserve">Vajadus on hinnatud pinnaseire süsteemi projekti meeskonna poolt,  sisendiks on 2022.aasta ja 2023.aasta arendusmahud ning kogemus, teadaolevad vajadused ehk EK poolsed muudatusvajadused ja suunad (tehisintelletide kaustselevõtmise vajaduse kohustuslik komponent jms). 
</t>
    </r>
    <r>
      <rPr>
        <b/>
        <sz val="11"/>
        <rFont val="Calibri"/>
        <family val="2"/>
        <scheme val="minor"/>
      </rPr>
      <t>A4 koos plaaniga esitame sügis 2024.</t>
    </r>
  </si>
  <si>
    <t>1. Personaalne riik</t>
  </si>
  <si>
    <r>
      <t>1. personalikulus on arvestatud 0,5 koormusega ärianalüütik + 0,5 IT analüütik, töötasu 3 000 eurot. 
2. Majandamiskulus töökoha sisustamisega seotud kulud
3. Arenduskulu mahu hindamisel on tuginetud senisele arenduskogemusele. 
Projektiga plaan alustada 2025.aastal,</t>
    </r>
    <r>
      <rPr>
        <b/>
        <sz val="11"/>
        <rFont val="Calibri"/>
        <family val="2"/>
        <scheme val="minor"/>
      </rPr>
      <t xml:space="preserve"> A4 esitame 2024.aasta sügisel.</t>
    </r>
    <r>
      <rPr>
        <sz val="11"/>
        <rFont val="Calibri"/>
        <family val="2"/>
        <scheme val="minor"/>
      </rPr>
      <t xml:space="preserve">  Rida esitatud infoks. </t>
    </r>
  </si>
  <si>
    <t>Esimesel aastal on arvestatud 20% hoolduskulu arendusmaksumusest, teisel aastal 10%.</t>
  </si>
  <si>
    <t>Vt rida Horisontaalne kadumisriski kontrolli ja universaalne raskustes olemise kontrolli protsessi välja töötamine ja IT arenduste teostamine</t>
  </si>
  <si>
    <t>4. Baasi korrastamine</t>
  </si>
  <si>
    <t>Püsikulud</t>
  </si>
  <si>
    <r>
      <t xml:space="preserve"> Rida esitatud infoks. 
</t>
    </r>
    <r>
      <rPr>
        <b/>
        <sz val="11"/>
        <rFont val="Calibri"/>
        <family val="2"/>
        <scheme val="minor"/>
      </rPr>
      <t xml:space="preserve">
A4 koos taotlusega esitame sügis 2024.</t>
    </r>
  </si>
  <si>
    <t xml:space="preserve">Esilagsest investeeringust esimesel aastal on arvestatud 20%, järgnevatel 10%. </t>
  </si>
  <si>
    <t>Vt rida Kliendihaldussüsteemi arendamine vajalik hoolduskulu</t>
  </si>
  <si>
    <t xml:space="preserve">Kalkulatsiooni aluseks on 2024.aastal alustatud tööd, mil viime uuele Angularile üle kliendiregistriga seotud kuvad. </t>
  </si>
  <si>
    <t>Jätkusuutlikkuse kulud on arvestatud real vt. IT parenduste ja hoolduste baaseelarve lisavajadus</t>
  </si>
  <si>
    <t xml:space="preserve">Alustasime AngularJS platvormi vahetusega MAK TA vahenditest ning 2024.aasta lõpuks on uuendatud kliendiregistriga seotud kuvad. </t>
  </si>
  <si>
    <t>Hinna kalkuleerimisel on sisendiks senine analüüside läbiviimise ekspertide kulu.</t>
  </si>
  <si>
    <r>
      <t xml:space="preserve">Personalikulu: 1 inimene = aastane personalikulu  50 000 eurot (3000 töötasu * 1,338 * 12 kuud). 
Meeskond koosneb:  1 tooteomanik (PRIA eelarve) + 1 IT projektijuht + 2 ärianalüütikut + 3 IT analüütikut + 2 äri esindajat/testijat (8 lisainimest). 2025.aastal prognoositakse värbamine alates juunist (6 kuud).
Majanduskulu: 2025.aastast töökoha sisustamisega seotud kulud 6 500 per/koht
Investeeringukulu: 2018-2019 viis Flowit Estonia OÜ läbi analüüsi, kus nad hindasid kogu pindala/loomatoetuste menetlussüsteemide arendamise perioodiks 3 aastat ning kogukuluks ca 5 700 000 eurot ja hoolduskuludeks 1 000 000.- aastas. Hinnanguid on korrigeeritud lähtuvalt tänastest tunnihindadest. 
</t>
    </r>
    <r>
      <rPr>
        <b/>
        <sz val="11"/>
        <rFont val="Calibri"/>
        <family val="2"/>
        <scheme val="minor"/>
      </rPr>
      <t xml:space="preserve">A4 täpsutatud plaaniga esitame kevad 2025. </t>
    </r>
  </si>
  <si>
    <t>Tegemist on uue loodava süsteemi arendamise kuluga (meeskond, sisseostetav arenduskulu). Arendusperiood kestab kuni 2029. a suveni, eeldusel, et 2028. aastal algab uus programmperiood. 2029.aastal vajalik hoolduskulu. Eraldi real ei saa välja tuua, kuna tabel lõpeb aastaga 2028.</t>
  </si>
  <si>
    <r>
      <t xml:space="preserve">A4 täpsutatud plaaniga esitame </t>
    </r>
    <r>
      <rPr>
        <b/>
        <sz val="11"/>
        <rFont val="Calibri"/>
        <family val="2"/>
        <scheme val="minor"/>
      </rPr>
      <t>kevad 2025</t>
    </r>
    <r>
      <rPr>
        <sz val="11"/>
        <rFont val="Calibri"/>
        <family val="2"/>
        <scheme val="minor"/>
      </rPr>
      <t xml:space="preserve">. </t>
    </r>
  </si>
  <si>
    <t>1 inimene = aastane personalikulu  50 000 eurot + töökohasisustamiskulu 6 500</t>
  </si>
  <si>
    <r>
      <t xml:space="preserve">1. 2026.aasta kulud: sisseostetav ärikonsultatsioon summas 35 000 eurot, tooteomanik töötasu 3000 eurot, 6 kuud, töökoha sisustamiseks vajalikud kulud summas 6 500 eurot. 
2. Prognoositav arenduskulu 2027.aastal summas 380 000 eurot; 1 tooteomanik 3 000 eurot töötasu * 12 kuud * 1,388; ärianalüütik töötasu 2 800 eurot * 12*1,338; aruandluseks vajalik ärianalüütik koormusega 0,3 * 2 800 eurot/töötasu * 12*1,338; töökoha sisustamiseks vajalikud kulud (2 ametikohta) 2000 eurot + uus koht  6 500 eurot.      
</t>
    </r>
    <r>
      <rPr>
        <b/>
        <sz val="11"/>
        <rFont val="Calibri"/>
        <family val="2"/>
        <scheme val="minor"/>
      </rPr>
      <t xml:space="preserve">A4 täpsutatud plaaniga esitame kevad 2025. </t>
    </r>
  </si>
  <si>
    <t xml:space="preserve">Eeldame  et uue süsteemi edasine hooldus jääb senisele tasemele, mistõttu on saame seda katta olemasolevast eelarvest. Tänane finantssüsteemide hoolduskulu aastas on 16 000 eurot. </t>
  </si>
  <si>
    <t>vt rida Arvestuse ja maksete süsteemi uuele platvormile viimine</t>
  </si>
  <si>
    <r>
      <t xml:space="preserve">Hoolduskulul on arvestatud esimesel aastal 20% arendusmaksumusest, teisel aastal 10% arendusmaksumusest. 
</t>
    </r>
    <r>
      <rPr>
        <b/>
        <sz val="11"/>
        <rFont val="Calibri"/>
        <family val="2"/>
        <charset val="186"/>
        <scheme val="minor"/>
      </rPr>
      <t xml:space="preserve">A4 täpsutatud plaaniga esitame aprillis 2025. 
</t>
    </r>
    <r>
      <rPr>
        <sz val="11"/>
        <rFont val="Calibri"/>
        <family val="2"/>
        <scheme val="minor"/>
      </rPr>
      <t xml:space="preserve">Täpsemad arvestused tulevad ärianalüüsist. </t>
    </r>
  </si>
  <si>
    <t>Vt rida Turukorraldusmeetmete menetlemise ja litsentside väljastamise infostseemi uuele paltvormile viimine</t>
  </si>
  <si>
    <t xml:space="preserve">Maksumuse kalkulatsioon põhineb tänasele registriarendamise kogemusele arvestatavad uue süsteemi keerukust ja nõudeid. </t>
  </si>
  <si>
    <t xml:space="preserve">3. Õigusaktidest tulenevad vajadused. </t>
  </si>
  <si>
    <t>Arenduskulu on ühekordne</t>
  </si>
  <si>
    <t>2025.aastal vajalik värvata tooteomanik, alates 2026.aastast on arvestatud tooteomanik ja iTprojektijuht-analüütik</t>
  </si>
  <si>
    <t>Vt. rida Lemmikloomade registri arendamine</t>
  </si>
  <si>
    <t xml:space="preserve">Arvestatud on analoogsete hangetega seotud kogemust. Lisaks oleme arvestanudoma tööjõu kuluga hanke läbi viimisel, sisendi andmisel, tööprotsesside kirjeldamisel jms. </t>
  </si>
  <si>
    <t xml:space="preserve">1. 2025.aasal on arvestatud andmestrateegia kulu vt. SF analüüs " Andmestrateegia koostamine"
2. 2026.aastal on arvestatud eelanalüüsikulu 200 000 eurot ning tõõjõukulu 100 000 (1 ärianalüütik, 1 IT analüütik)
3. 2027.aastal arenduskulu arvestades tänast andmeaida arendamismahte ja kogemust + 2 ärianalüütikut, 2 IT analüütikut
3. 2028.aastal on arvestatud juurutamisega seotud kulud + 1 äraianlüütik ja 1 IT analüütik. </t>
  </si>
  <si>
    <t>1. Power BI litsensikulu
2. Alates aastast 2028 andmeaida hoolduskulu ca 20% arendsumaksumusest</t>
  </si>
  <si>
    <t>Vt rida Andmeteenuste töökeskkonna andmeaida korrastamine ja uuendamine</t>
  </si>
  <si>
    <t xml:space="preserve">2025
• Kubernetese kahe õlaga terviklahenduse väljatöötamine PRIAs, sh väline konsultatsioon 240h * 100 eurot tund
• Vajalikud tarkvaraarendused Kubernetese kasutuselevõtuks 100 000€
2026
• Piloodina mõne PRIA rakenduse/teenusega ühe õlana pilve liikumine, sh konsultatsioon 240h * 100 eurot tund
• 100 000€ pilvekulu
2027
• Viime järjest Postgre töökeskkonna lahendusi pilve juurde
• 1 200 000€ pilvekulu
2028
• Kõik pilvekõlbulikud asjad kõigi keskkondadega kahe õlaga pilves
• 2 500 000€ pilvekulu
</t>
  </si>
  <si>
    <t>Püsikulu</t>
  </si>
  <si>
    <t xml:space="preserve">1. Personalikulu 2025.aastal on arvestatud tooteomanik/ärianalüütiku koormuseks 3,25 inimest, brutotöötasu 3 000 eurot, alates 2026.aastast 3,75 teenistuja koormus. Järgnevatel aastatel töötasu kasv 13%.
2. Majanduskulu arvestamisel on arvestatud esilagsest  invetseeringust 20%.
3. Investeeringu summa raames on arvestatud rohefooriga seotud teenuste live mineku kulud summas 150 000 eurot. </t>
  </si>
  <si>
    <r>
      <t xml:space="preserve">Jätkusuutlikkuse kulu Rohefoor ja Suurandmete projektile, </t>
    </r>
    <r>
      <rPr>
        <sz val="11"/>
        <color rgb="FFFF0000"/>
        <rFont val="Calibri"/>
        <family val="2"/>
        <scheme val="minor"/>
      </rPr>
      <t>vt. rida Suurandmete projekt (muud allikad)</t>
    </r>
  </si>
  <si>
    <t xml:space="preserve">1. personalikulu ärianalüütik/tooteomanik koormusega 0,2 * 3 000 * 12 * 1,338 + IT analüütik/projektijuht koormusega 0,2 * 300 * 12*1,338. Järgnevatel aastatel on arvestatud 13% kasv.
2. Hoolduskulu 51 000 eurot aastas, arvestatud esilagsest investeeringu mahust. </t>
  </si>
  <si>
    <t>Jätkusuutlikkuse kulu MKM eesti.ee projektile, vt. MKM eesti.ee teenuste pakkumine (muud allikad)</t>
  </si>
  <si>
    <t>Eelarved täpsustatakse kokkuleppe sõlmimise faasis, 2025.aasta eelarve võib muutuda</t>
  </si>
  <si>
    <t>Pinnaseire süsteemi kliendivaate loomine</t>
  </si>
  <si>
    <t>vt. rida Seiresüsteemi ja AI aredamiseks ja rakendamiseks vajalikud kulud
Taotleme 2024 sügisel</t>
  </si>
  <si>
    <t>Taotleme 2024 sügisel</t>
  </si>
  <si>
    <t>Taotleme 2024 sügisel kui projekt on küpsem</t>
  </si>
  <si>
    <t>Digipöörde arenduste ajaks</t>
  </si>
  <si>
    <t>Teadmusteenuste arendusprojekt (sh e-põlluraamatu edasiarendused) - Teadmusteenuste tooteomanik</t>
  </si>
  <si>
    <t>Teadmusteenuste arendusprojekt (sh e-põlluraamatu edasiarendused) - IT projektijuht-analüütik</t>
  </si>
  <si>
    <t>Teadmusteenuste arendusprojekt (sh e-põlluraamatu edasiarendused) - teadmusteenuste ärianalüütik (Aita andmete toomine)</t>
  </si>
  <si>
    <t>Andmeanalüüs ja seire</t>
  </si>
  <si>
    <t>Ärianalüütik</t>
  </si>
  <si>
    <t>Taakvara ja küberturve võimelünkade vähendamine - turvanõunik</t>
  </si>
  <si>
    <t>Turvanõunik</t>
  </si>
  <si>
    <t>Horisontaalne kadumisriski kontrolli ja universaalne raskustes olemise kontrolli protsessi välja töötamine ja IT arenduste teostamine - IT-analüütik</t>
  </si>
  <si>
    <t>Krati integratsioon asutusse - tooteomanik/ärianalüütik</t>
  </si>
  <si>
    <t>Pindalatoetuste menetlussüsteemi uuendamise projekt - 4 ärianalüütikut</t>
  </si>
  <si>
    <t>Pindalatoetuste menetlussüsteemi uuendamise projekt - 3 IT analüütikut</t>
  </si>
  <si>
    <t>Pindalatoetuste menetlussüsteemi uuendamise projekt - 1 IT projektijuht</t>
  </si>
  <si>
    <t>Arvestuse ja maksete süsteemi uuele platvormile viimine - tooteomanik</t>
  </si>
  <si>
    <t>Arvestuse ja maksete süsteemi uuele platvormile viimine - ärianalüütik</t>
  </si>
  <si>
    <t>Arvestuse ja maksete süsteemi uuele platvormile viimine - EK aruandluse analüütik</t>
  </si>
  <si>
    <t>Turukorraldusmeetmete menetlemise ja litsentside väljastamise infostseemi uuele platvormile viimine - IT analüütik</t>
  </si>
  <si>
    <t>Seiresüsteemi ja AI aredamine ja rakendamine - IT projektijuht</t>
  </si>
  <si>
    <t>IT projektijuht</t>
  </si>
  <si>
    <t>Seiresüsteemi ja AI aredamine ja rakendamine - IT süsteemianalüütik, 2 inimest</t>
  </si>
  <si>
    <t>IT süsteemianalüütik</t>
  </si>
  <si>
    <t>Seiresüsteemi ja AI aredamine ja rakendamine - ärianalüütik, 3 inimest</t>
  </si>
  <si>
    <t>Seiresüsteemi ja AI aredamine ja rakendamine - teenusejuht</t>
  </si>
  <si>
    <t xml:space="preserve"> ePõlluraamatu haldamine ja arendamine -IT projektijuht/analüütik</t>
  </si>
  <si>
    <t xml:space="preserve"> ePõlluraamatu haldamine ja arendamine - ärianalüütik, 2 inimest</t>
  </si>
  <si>
    <t xml:space="preserve"> ePõlluraamatu haldamine ja arendamine - ärispetsialist, 2 inimest</t>
  </si>
  <si>
    <t>Riiklikest ja välisvahenditest rahastatavate toetuste menetlemine ja klientide haldamine</t>
  </si>
  <si>
    <t>Menetleja</t>
  </si>
  <si>
    <t>Seiresüsteemi ja AI aredamine ja rakendamine - menetleja</t>
  </si>
  <si>
    <t>Lemmikloomade registreerimisteenuse pakkumine - tooteomanik/ärianalüütik</t>
  </si>
  <si>
    <t>Lemmikloomade registreerimisteenuse pakkumine - IT projektijuht/IT analüütik</t>
  </si>
  <si>
    <t>Andmeteenuste töökeskkonna andmeaida korrastamine ja uuendamine - IT analüütik</t>
  </si>
  <si>
    <t>Andmeteenuste töökeskkonna andmeaida korrastamine ja uuendamine - ärianalüütik</t>
  </si>
  <si>
    <t>Teadmusteenuste pakkumise (Suurandmete, Rohefoor) püsirahastus - tooteomanik (1,25 inimest)</t>
  </si>
  <si>
    <t>Tooteomanik</t>
  </si>
  <si>
    <t>Teadmusteenuste pakkumise (Suurandmete, Rohefoor) püsirahastus - ärianalüütik, 1,5 inimene</t>
  </si>
  <si>
    <t>Teadmusteenuste pakkumise (Suurandmete, Rohefoor) püsirahastus - IT analüütik, 1 inimene</t>
  </si>
  <si>
    <t>MKM eesti.ee teenuste hoolduskulud - IT projektijuht/IT analüütik</t>
  </si>
  <si>
    <t>MKM eesti.ee teenuste hoolduskulud - tooteomanik/ärianalüütik</t>
  </si>
  <si>
    <t>RES</t>
  </si>
  <si>
    <t>REs</t>
  </si>
  <si>
    <t>SF (hiljem)</t>
  </si>
  <si>
    <t>SF ( täpsustame 24 sügis)</t>
  </si>
  <si>
    <t>ReM SF Rida (eelmise perioodi rahastuse pikendus)</t>
  </si>
  <si>
    <t>PTA SF Rida (eelmise perioodi rahastuse pikendus)</t>
  </si>
  <si>
    <t>ReM SF kohe</t>
  </si>
  <si>
    <t>Äripaneel on läbitud, koostöös Civitaga AS IS kaardistatud, antropoloogidega uuring läbi viidud.</t>
  </si>
  <si>
    <t>Suurandmete projekti raames projekti organistatsioon loodud, hanked läbi viidud esimesed teenused MAK TA vahendists arendatud ja töökeskkonnas kasutatavad, SF projekti raames edasised uued arendatavad teenused kokku lepitud</t>
  </si>
  <si>
    <t>Eeltööna hanked läbi viidud, teenuste arendamisega alustatakse august 2024</t>
  </si>
  <si>
    <t>SF (25 kevad tuleme välja)</t>
  </si>
  <si>
    <t xml:space="preserve">SF </t>
  </si>
  <si>
    <t>KEMIT toetab Maa-ametit. Personal KEMITi digipöördes, MARU digipöörde read nende enda digipöördes</t>
  </si>
  <si>
    <t>E1: Järelevalve, nii veeressursside, maakasutuse ja toiduohutuse vallas on üleviimisel kliendikesksetele teenustele nii kliendi kui menetluse vaates. Paigas on teenuste pakkumise põhimõtted ning arendatud on suuremad asutuse ülesed teenused.
E2: Taakvarast vabenemiseks on tehtud märkimisväärsed sammud. Suur osa ePRIA aegunud angulari lahnedusest välja vahetatud ning tööd lõpetatakse järgmise tegevuskava raames. Teostatud on analüüs pindalateotuste maksmise taakvara väljavahetamiseks.
E3: Läbi on mõeldud SAP BO taakvaraks muutumisega kaasnev ning valminud plaan aruandluse jätkusuutlikuseks. Valminud on andmestrateegia millele toetuvad meie teadmusteenused.</t>
  </si>
  <si>
    <t>PTA järelevalve infosüsteemide kaasajastamine võimaldamaks kliendikesksemaid teenuseid (MEIS)</t>
  </si>
  <si>
    <t>Kuni uuemate lahenduste kasutusele võtuni tuleb arvestada aeglasemat rahulolu kasvu, sest kasutatakse vanu lahendusi ning ootused liiguvad eest ära.</t>
  </si>
  <si>
    <t>SF - Eelmine kord rahastatud. Muudetud kulu liike. Eelnevalt oli investeeringuna, kuid otsustati, et osa rahast kasutaks värvates personal ja tehes sama töö ise</t>
  </si>
  <si>
    <t xml:space="preserve">SF - Eelmine kord rahastatud. Muudetud kulu liike. Eelnevalt oli investeeringuna, kuid otsustati, et osa rahast kasutaks värvates personal ja tehes sama töö ise. Värbamine aasta teine pool. </t>
  </si>
  <si>
    <t>SF (kulu liigi muutus)</t>
  </si>
  <si>
    <t>3 inimest (rahastuse pikendus) + 6 täiendavat rolli</t>
  </si>
  <si>
    <t>Teadmusteenuste arendusprojekt -  Eelmine kord rahastatud. Muudetud kulu liike. Eelnevalt oli investeeringuna / majanduskuluna, kuid otsustati, et osa rahast kasutaks värvates personal ja tehes sama töö ise. (rohkem infot üleval ridadel 12-14)</t>
  </si>
  <si>
    <t>Alo Aasma/ asekantsler</t>
  </si>
  <si>
    <t>Alo Aasma/  asekantsler</t>
  </si>
  <si>
    <t xml:space="preserve"> Digipööre: 	
E1: Kliendikesksed digiteenused. Kasutajamugavus on oluliselt tõusnud. Ebaefektiivsus ning informatsiooni asümmeetria on minimaalne, haldusala pakub ootustele vastavaid konkurentsivõimelisi digiteenuseid. 
E2: Küberturvaline ja kuluefektiivne riik. Järelevalve, nii veeressursside ja maakasutuse, toiduohutuse kui toetuste osas, on meie „äri“ lahutamatu osana efektiivne ja automatiseeritud. Haldusala teenused ja protsessid on ühtlustatud, neid toetavad kaasaegsed menetlus- ja infosüsteemid. 
E3: Teadmussiire ja tark andmekasutus. Oskame tänaseid teadmisi paremini kasutama, neid paremini põllumeeste praktikasse juurutada ning suudame olemasolevatest ja tekkivatest andmetest uut teadmust välja pigistada. </t>
  </si>
  <si>
    <t>Summad täpsustuvad 2024 aasta jooksul teostatava analüüsi käigus. Hetkel arvestatud meie enda võimekusega töid tellida. Projekt pigem suurem kui väiksem.</t>
  </si>
  <si>
    <t>Madal</t>
  </si>
  <si>
    <t>Kõrge</t>
  </si>
  <si>
    <t>Õigusaktist tulenev kohustus</t>
  </si>
  <si>
    <t>õigusaktidest tulenev kohustus</t>
  </si>
  <si>
    <t>Keskmine</t>
  </si>
  <si>
    <t>Kõrgeim</t>
  </si>
  <si>
    <t>Õigusaktidest tulenev kohustus</t>
  </si>
  <si>
    <t>Tarvis projekt jaoks mis slaidil nr 27</t>
  </si>
  <si>
    <t>Slaidid nr 27-30</t>
  </si>
  <si>
    <t>Slaid nr 31</t>
  </si>
  <si>
    <t>Slaid nr 32 - 33</t>
  </si>
  <si>
    <t>Projekt peatatud. Paneeli vajadus tuleb lauale kui peaksime projekti tulevikus uuesti elustama</t>
  </si>
  <si>
    <t>Paneeli vajadus puudub</t>
  </si>
  <si>
    <t>Arhitektuuripaneel oleks kindlasti kasulik</t>
  </si>
  <si>
    <t>Vajadus puudub</t>
  </si>
  <si>
    <t>Vaja läbida äri, andmete- ja arhitektuuripaneel</t>
  </si>
  <si>
    <t>Arhitektuuripaneel tuleks läbida</t>
  </si>
  <si>
    <t>Arhitektuuripaneel vajalik</t>
  </si>
  <si>
    <t>2023 voorust rahastatud</t>
  </si>
  <si>
    <t>x - projekt seisma pandud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</si>
</sst>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62"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0"/>
      <name val="Raleway"/>
      <family val="2"/>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u/>
      <sz val="11"/>
      <name val="Calibri"/>
      <family val="2"/>
      <charset val="186"/>
      <scheme val="minor"/>
    </font>
    <font>
      <b/>
      <sz val="11"/>
      <name val="Calibri"/>
      <family val="2"/>
      <charset val="186"/>
      <scheme val="minor"/>
    </font>
    <font>
      <b/>
      <i/>
      <sz val="11"/>
      <name val="Calibri"/>
      <family val="2"/>
      <charset val="186"/>
    </font>
    <font>
      <i/>
      <sz val="11"/>
      <name val="Calibri"/>
      <family val="2"/>
      <charset val="186"/>
      <scheme val="minor"/>
    </font>
    <font>
      <sz val="10"/>
      <name val="Calibri"/>
      <family val="2"/>
      <charset val="186"/>
      <scheme val="minor"/>
    </font>
    <font>
      <sz val="11"/>
      <color rgb="FF1F497D"/>
      <name val="Calibri"/>
      <family val="2"/>
      <scheme val="minor"/>
    </font>
    <font>
      <sz val="10"/>
      <color rgb="FF000000"/>
      <name val="Calibri"/>
      <scheme val="minor"/>
    </font>
    <font>
      <sz val="10"/>
      <color rgb="FF000000"/>
      <name val="Calibri"/>
      <family val="2"/>
      <scheme val="minor"/>
    </font>
    <font>
      <sz val="10"/>
      <color rgb="FF000000"/>
      <name val="Calibri"/>
      <family val="2"/>
    </font>
    <font>
      <b/>
      <sz val="11"/>
      <name val="Calibri"/>
      <family val="2"/>
      <scheme val="minor"/>
    </font>
    <font>
      <sz val="11"/>
      <color rgb="FFFF0000"/>
      <name val="Calibri"/>
      <family val="2"/>
      <scheme val="minor"/>
    </font>
    <font>
      <sz val="10"/>
      <color rgb="FFC00000"/>
      <name val="Calibri"/>
      <family val="2"/>
      <charset val="186"/>
      <scheme val="minor"/>
    </font>
    <font>
      <sz val="11"/>
      <color rgb="FFC00000"/>
      <name val="Calibri"/>
      <family val="2"/>
      <charset val="186"/>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rgb="FFA9D08E"/>
        <bgColor rgb="FF000000"/>
      </patternFill>
    </fill>
    <fill>
      <patternFill patternType="solid">
        <fgColor rgb="FFE2EFDA"/>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s>
  <cellStyleXfs count="3">
    <xf numFmtId="0" fontId="0" fillId="0" borderId="0"/>
    <xf numFmtId="0" fontId="23" fillId="5" borderId="0" applyNumberFormat="0" applyBorder="0" applyAlignment="0" applyProtection="0"/>
    <xf numFmtId="0" fontId="55" fillId="0" borderId="0"/>
  </cellStyleXfs>
  <cellXfs count="649">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20" fillId="0" borderId="17" xfId="0" applyNumberFormat="1" applyFont="1" applyBorder="1" applyAlignment="1">
      <alignment vertical="top"/>
    </xf>
    <xf numFmtId="3" fontId="20" fillId="0" borderId="15" xfId="0" applyNumberFormat="1" applyFont="1" applyBorder="1" applyAlignment="1">
      <alignment vertical="top"/>
    </xf>
    <xf numFmtId="3" fontId="20" fillId="0" borderId="35" xfId="0" applyNumberFormat="1" applyFont="1" applyBorder="1" applyAlignment="1">
      <alignment vertical="top"/>
    </xf>
    <xf numFmtId="0" fontId="1" fillId="0" borderId="0" xfId="0" applyFont="1" applyAlignment="1">
      <alignment vertical="top"/>
    </xf>
    <xf numFmtId="0" fontId="19"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5" fillId="0" borderId="28" xfId="0" applyFont="1" applyBorder="1" applyAlignment="1">
      <alignment horizontal="center" vertical="top" wrapText="1"/>
    </xf>
    <xf numFmtId="0" fontId="25" fillId="0" borderId="52" xfId="0" applyFont="1" applyBorder="1" applyAlignment="1">
      <alignment horizontal="center" vertical="top" wrapText="1"/>
    </xf>
    <xf numFmtId="0" fontId="25" fillId="0" borderId="34" xfId="0" applyFont="1" applyBorder="1" applyAlignment="1">
      <alignment horizontal="left" vertical="top" wrapText="1"/>
    </xf>
    <xf numFmtId="3" fontId="25" fillId="0" borderId="33" xfId="0" applyNumberFormat="1" applyFont="1" applyBorder="1" applyAlignment="1">
      <alignment vertical="top" wrapText="1"/>
    </xf>
    <xf numFmtId="3" fontId="25" fillId="0" borderId="54" xfId="0" applyNumberFormat="1" applyFont="1" applyBorder="1" applyAlignment="1">
      <alignment vertical="top" wrapText="1"/>
    </xf>
    <xf numFmtId="0" fontId="0" fillId="0" borderId="55" xfId="0" applyBorder="1" applyAlignment="1">
      <alignment vertical="top" wrapText="1"/>
    </xf>
    <xf numFmtId="3" fontId="26"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5" fillId="0" borderId="23" xfId="0" applyFont="1" applyBorder="1" applyAlignment="1">
      <alignment horizontal="left" vertical="top" wrapTex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4" fillId="0" borderId="0" xfId="0" applyFont="1" applyAlignment="1">
      <alignment vertical="top" wrapText="1"/>
    </xf>
    <xf numFmtId="0" fontId="30" fillId="6" borderId="61" xfId="0" applyFont="1" applyFill="1" applyBorder="1" applyAlignment="1">
      <alignment vertical="top" wrapText="1"/>
    </xf>
    <xf numFmtId="0" fontId="32" fillId="7" borderId="62" xfId="0" applyFont="1" applyFill="1" applyBorder="1" applyAlignment="1">
      <alignment vertical="top"/>
    </xf>
    <xf numFmtId="0" fontId="30" fillId="7" borderId="62" xfId="0" applyFont="1" applyFill="1" applyBorder="1" applyAlignment="1">
      <alignment vertical="top"/>
    </xf>
    <xf numFmtId="3" fontId="32" fillId="7" borderId="63" xfId="0" applyNumberFormat="1" applyFont="1" applyFill="1" applyBorder="1" applyAlignment="1">
      <alignment vertical="top"/>
    </xf>
    <xf numFmtId="0" fontId="32" fillId="7" borderId="66" xfId="0" applyFont="1" applyFill="1" applyBorder="1" applyAlignment="1">
      <alignment vertical="top"/>
    </xf>
    <xf numFmtId="3" fontId="32" fillId="7" borderId="65" xfId="0" applyNumberFormat="1" applyFont="1" applyFill="1" applyBorder="1" applyAlignment="1">
      <alignment vertical="top"/>
    </xf>
    <xf numFmtId="3" fontId="30" fillId="7" borderId="27" xfId="0" applyNumberFormat="1" applyFont="1" applyFill="1" applyBorder="1" applyAlignment="1">
      <alignment vertical="top"/>
    </xf>
    <xf numFmtId="0" fontId="32" fillId="7" borderId="27" xfId="0" applyFont="1" applyFill="1" applyBorder="1" applyAlignment="1">
      <alignment vertical="top"/>
    </xf>
    <xf numFmtId="0" fontId="30" fillId="7" borderId="27" xfId="0" applyFont="1" applyFill="1" applyBorder="1" applyAlignment="1">
      <alignment vertical="top"/>
    </xf>
    <xf numFmtId="0" fontId="32" fillId="7" borderId="67" xfId="0" applyFont="1" applyFill="1" applyBorder="1" applyAlignment="1">
      <alignment vertical="top"/>
    </xf>
    <xf numFmtId="0" fontId="32" fillId="7" borderId="29" xfId="0" applyFont="1" applyFill="1" applyBorder="1" applyAlignment="1">
      <alignment vertical="top"/>
    </xf>
    <xf numFmtId="0" fontId="32" fillId="7" borderId="55" xfId="0" applyFont="1" applyFill="1" applyBorder="1" applyAlignment="1">
      <alignment vertical="top"/>
    </xf>
    <xf numFmtId="0" fontId="32" fillId="7" borderId="59" xfId="0" applyFont="1" applyFill="1" applyBorder="1" applyAlignment="1">
      <alignment vertical="top"/>
    </xf>
    <xf numFmtId="0" fontId="0" fillId="0" borderId="55" xfId="0" applyBorder="1" applyAlignment="1">
      <alignment vertical="top"/>
    </xf>
    <xf numFmtId="0" fontId="32" fillId="7" borderId="57" xfId="0" applyFont="1" applyFill="1" applyBorder="1" applyAlignment="1">
      <alignment vertical="top"/>
    </xf>
    <xf numFmtId="3" fontId="32" fillId="7" borderId="68" xfId="0" applyNumberFormat="1" applyFont="1" applyFill="1" applyBorder="1" applyAlignment="1">
      <alignment vertical="top"/>
    </xf>
    <xf numFmtId="0" fontId="32" fillId="7" borderId="58" xfId="0" applyFont="1" applyFill="1"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0" fontId="35" fillId="0" borderId="40" xfId="0" applyFont="1" applyBorder="1" applyAlignment="1">
      <alignment vertical="top" wrapText="1"/>
    </xf>
    <xf numFmtId="0" fontId="35" fillId="0" borderId="74" xfId="0" applyFont="1" applyBorder="1" applyAlignment="1">
      <alignment vertical="top" wrapText="1"/>
    </xf>
    <xf numFmtId="0" fontId="4" fillId="0" borderId="0" xfId="0" applyFont="1" applyAlignment="1">
      <alignment vertical="top"/>
    </xf>
    <xf numFmtId="3" fontId="28" fillId="7" borderId="27" xfId="0" applyNumberFormat="1" applyFont="1" applyFill="1" applyBorder="1" applyAlignment="1">
      <alignment vertical="top"/>
    </xf>
    <xf numFmtId="0" fontId="27" fillId="7" borderId="27" xfId="0" applyFont="1" applyFill="1" applyBorder="1" applyAlignment="1">
      <alignment vertical="top"/>
    </xf>
    <xf numFmtId="0" fontId="28" fillId="7" borderId="27" xfId="0" applyFont="1" applyFill="1" applyBorder="1" applyAlignment="1">
      <alignment vertical="top"/>
    </xf>
    <xf numFmtId="0" fontId="27" fillId="7" borderId="67" xfId="0" applyFont="1" applyFill="1" applyBorder="1" applyAlignment="1">
      <alignment vertical="top"/>
    </xf>
    <xf numFmtId="0" fontId="27" fillId="7" borderId="29" xfId="0" applyFont="1" applyFill="1" applyBorder="1" applyAlignment="1">
      <alignment vertical="top"/>
    </xf>
    <xf numFmtId="3" fontId="27" fillId="7" borderId="63" xfId="0" applyNumberFormat="1" applyFont="1" applyFill="1" applyBorder="1" applyAlignment="1">
      <alignment vertical="top"/>
    </xf>
    <xf numFmtId="0" fontId="27" fillId="7" borderId="55" xfId="0" applyFont="1" applyFill="1" applyBorder="1" applyAlignment="1">
      <alignment vertical="top"/>
    </xf>
    <xf numFmtId="0" fontId="27" fillId="7" borderId="66" xfId="0" applyFont="1" applyFill="1" applyBorder="1" applyAlignment="1">
      <alignment vertical="top"/>
    </xf>
    <xf numFmtId="3" fontId="27" fillId="7" borderId="65" xfId="0" applyNumberFormat="1" applyFont="1" applyFill="1" applyBorder="1" applyAlignment="1">
      <alignment vertical="top"/>
    </xf>
    <xf numFmtId="0" fontId="27" fillId="7" borderId="59" xfId="0" applyFont="1" applyFill="1" applyBorder="1" applyAlignment="1">
      <alignment vertical="top"/>
    </xf>
    <xf numFmtId="3" fontId="28" fillId="7" borderId="62" xfId="0" applyNumberFormat="1" applyFont="1" applyFill="1" applyBorder="1" applyAlignment="1">
      <alignment vertical="top"/>
    </xf>
    <xf numFmtId="0" fontId="28" fillId="7" borderId="62" xfId="0" applyFont="1" applyFill="1" applyBorder="1" applyAlignment="1">
      <alignment vertical="top"/>
    </xf>
    <xf numFmtId="3" fontId="27" fillId="7" borderId="57" xfId="0" applyNumberFormat="1" applyFont="1" applyFill="1" applyBorder="1" applyAlignment="1">
      <alignment vertical="top"/>
    </xf>
    <xf numFmtId="0" fontId="27" fillId="7" borderId="57" xfId="0" applyFont="1" applyFill="1" applyBorder="1" applyAlignment="1">
      <alignment vertical="top"/>
    </xf>
    <xf numFmtId="3" fontId="27" fillId="7" borderId="68" xfId="0" applyNumberFormat="1" applyFont="1" applyFill="1" applyBorder="1" applyAlignment="1">
      <alignment vertical="top"/>
    </xf>
    <xf numFmtId="0" fontId="27" fillId="7" borderId="58" xfId="0" applyFont="1" applyFill="1" applyBorder="1" applyAlignment="1">
      <alignment vertical="top"/>
    </xf>
    <xf numFmtId="3" fontId="27" fillId="7" borderId="0" xfId="0" applyNumberFormat="1" applyFont="1" applyFill="1" applyAlignment="1">
      <alignment vertical="top"/>
    </xf>
    <xf numFmtId="0" fontId="27" fillId="7" borderId="0" xfId="0" applyFont="1" applyFill="1" applyAlignment="1">
      <alignment vertical="top"/>
    </xf>
    <xf numFmtId="3" fontId="27" fillId="7" borderId="66" xfId="0" applyNumberFormat="1" applyFont="1" applyFill="1" applyBorder="1" applyAlignment="1">
      <alignment vertical="top"/>
    </xf>
    <xf numFmtId="3" fontId="28" fillId="7" borderId="45" xfId="0" applyNumberFormat="1" applyFont="1" applyFill="1" applyBorder="1" applyAlignment="1">
      <alignment vertical="top"/>
    </xf>
    <xf numFmtId="0" fontId="27" fillId="7" borderId="79" xfId="0" applyFont="1" applyFill="1" applyBorder="1" applyAlignment="1">
      <alignment vertical="top"/>
    </xf>
    <xf numFmtId="3" fontId="27" fillId="7" borderId="80" xfId="0" applyNumberFormat="1" applyFont="1" applyFill="1" applyBorder="1" applyAlignment="1">
      <alignment vertical="top"/>
    </xf>
    <xf numFmtId="0" fontId="27" fillId="7" borderId="81" xfId="0" applyFont="1" applyFill="1" applyBorder="1" applyAlignment="1">
      <alignment vertical="top"/>
    </xf>
    <xf numFmtId="3" fontId="27" fillId="7" borderId="2" xfId="0" applyNumberFormat="1" applyFont="1" applyFill="1" applyBorder="1" applyAlignment="1">
      <alignment vertical="top"/>
    </xf>
    <xf numFmtId="0" fontId="27" fillId="7" borderId="75" xfId="0" applyFont="1" applyFill="1" applyBorder="1" applyAlignment="1">
      <alignment vertical="top"/>
    </xf>
    <xf numFmtId="0" fontId="0" fillId="0" borderId="79" xfId="0" applyBorder="1" applyAlignment="1">
      <alignment vertical="top"/>
    </xf>
    <xf numFmtId="0" fontId="0" fillId="0" borderId="44" xfId="0" applyBorder="1" applyAlignment="1">
      <alignment vertical="top"/>
    </xf>
    <xf numFmtId="0" fontId="27" fillId="7" borderId="44" xfId="0" applyFont="1" applyFill="1" applyBorder="1" applyAlignment="1">
      <alignment vertical="top"/>
    </xf>
    <xf numFmtId="0" fontId="28" fillId="7" borderId="79" xfId="0" applyFont="1" applyFill="1" applyBorder="1" applyAlignment="1">
      <alignment vertical="top"/>
    </xf>
    <xf numFmtId="3" fontId="25" fillId="0" borderId="30" xfId="0" applyNumberFormat="1" applyFont="1" applyBorder="1" applyAlignment="1">
      <alignment horizontal="right" vertical="top" wrapText="1"/>
    </xf>
    <xf numFmtId="3" fontId="25" fillId="0" borderId="36" xfId="0" applyNumberFormat="1" applyFont="1" applyBorder="1" applyAlignment="1">
      <alignment horizontal="right" vertical="top" wrapText="1"/>
    </xf>
    <xf numFmtId="0" fontId="36" fillId="0" borderId="53" xfId="0" applyFont="1" applyBorder="1" applyAlignment="1">
      <alignment vertical="top" wrapText="1"/>
    </xf>
    <xf numFmtId="0" fontId="37" fillId="0" borderId="5" xfId="0" applyFont="1" applyBorder="1" applyAlignment="1">
      <alignment vertical="top" wrapText="1"/>
    </xf>
    <xf numFmtId="0" fontId="37"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39"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3" fontId="30" fillId="7" borderId="0" xfId="0" applyNumberFormat="1" applyFont="1" applyFill="1" applyAlignment="1">
      <alignment vertical="top"/>
    </xf>
    <xf numFmtId="0" fontId="32" fillId="7" borderId="0" xfId="0" applyFont="1" applyFill="1" applyAlignment="1">
      <alignment vertical="top"/>
    </xf>
    <xf numFmtId="0" fontId="30" fillId="7" borderId="0" xfId="0" applyFont="1" applyFill="1" applyAlignment="1">
      <alignment vertical="top"/>
    </xf>
    <xf numFmtId="0" fontId="32" fillId="7" borderId="64" xfId="0" applyFont="1" applyFill="1" applyBorder="1" applyAlignment="1">
      <alignment vertical="top"/>
    </xf>
    <xf numFmtId="3" fontId="32" fillId="7" borderId="0" xfId="0" applyNumberFormat="1" applyFont="1" applyFill="1" applyAlignment="1">
      <alignment vertical="top"/>
    </xf>
    <xf numFmtId="3" fontId="27" fillId="7" borderId="72" xfId="0" applyNumberFormat="1" applyFont="1" applyFill="1" applyBorder="1" applyAlignment="1">
      <alignment vertical="top"/>
    </xf>
    <xf numFmtId="0" fontId="27" fillId="7" borderId="76" xfId="0" applyFont="1" applyFill="1" applyBorder="1" applyAlignment="1">
      <alignment vertical="top"/>
    </xf>
    <xf numFmtId="3" fontId="28" fillId="7" borderId="71" xfId="0" applyNumberFormat="1" applyFont="1" applyFill="1" applyBorder="1" applyAlignment="1">
      <alignment vertical="top"/>
    </xf>
    <xf numFmtId="0" fontId="27" fillId="7" borderId="82" xfId="0" applyFont="1" applyFill="1" applyBorder="1" applyAlignment="1">
      <alignment vertical="top"/>
    </xf>
    <xf numFmtId="0" fontId="0" fillId="0" borderId="83" xfId="0" applyBorder="1" applyAlignment="1">
      <alignment vertical="top"/>
    </xf>
    <xf numFmtId="0" fontId="43" fillId="0" borderId="0" xfId="0" applyFont="1" applyAlignment="1">
      <alignment horizontal="left" vertical="top" wrapText="1"/>
    </xf>
    <xf numFmtId="0" fontId="0" fillId="0" borderId="11" xfId="0" applyBorder="1" applyAlignment="1">
      <alignment vertical="top"/>
    </xf>
    <xf numFmtId="3" fontId="32" fillId="7" borderId="80" xfId="0" applyNumberFormat="1" applyFont="1" applyFill="1" applyBorder="1" applyAlignment="1">
      <alignment vertical="top"/>
    </xf>
    <xf numFmtId="3" fontId="30" fillId="7" borderId="80" xfId="0" applyNumberFormat="1" applyFont="1" applyFill="1" applyBorder="1" applyAlignment="1">
      <alignment vertical="top"/>
    </xf>
    <xf numFmtId="3" fontId="30" fillId="7" borderId="71" xfId="0" applyNumberFormat="1" applyFont="1" applyFill="1" applyBorder="1" applyAlignment="1">
      <alignment vertical="top"/>
    </xf>
    <xf numFmtId="0" fontId="32" fillId="7" borderId="8" xfId="0" applyFont="1" applyFill="1" applyBorder="1" applyAlignment="1">
      <alignment vertical="top"/>
    </xf>
    <xf numFmtId="3" fontId="30" fillId="7" borderId="8" xfId="0" applyNumberFormat="1" applyFont="1" applyFill="1" applyBorder="1" applyAlignment="1">
      <alignment vertical="top"/>
    </xf>
    <xf numFmtId="0" fontId="30" fillId="7" borderId="8" xfId="0" applyFont="1" applyFill="1" applyBorder="1" applyAlignment="1">
      <alignment vertical="top"/>
    </xf>
    <xf numFmtId="0" fontId="32" fillId="7" borderId="10" xfId="0" applyFont="1" applyFill="1" applyBorder="1" applyAlignment="1">
      <alignment vertical="top"/>
    </xf>
    <xf numFmtId="0" fontId="32" fillId="3" borderId="0" xfId="0" applyFont="1" applyFill="1" applyAlignment="1">
      <alignment vertical="top"/>
    </xf>
    <xf numFmtId="0" fontId="0" fillId="3" borderId="43" xfId="0" applyFill="1" applyBorder="1" applyAlignment="1">
      <alignment vertical="top"/>
    </xf>
    <xf numFmtId="3" fontId="30" fillId="7" borderId="44" xfId="0" applyNumberFormat="1" applyFont="1" applyFill="1" applyBorder="1" applyAlignment="1">
      <alignment vertical="top"/>
    </xf>
    <xf numFmtId="0" fontId="32" fillId="7" borderId="44" xfId="0" applyFont="1" applyFill="1" applyBorder="1" applyAlignment="1">
      <alignment vertical="top"/>
    </xf>
    <xf numFmtId="0" fontId="30" fillId="7" borderId="44" xfId="0" applyFont="1" applyFill="1" applyBorder="1" applyAlignment="1">
      <alignment vertical="top"/>
    </xf>
    <xf numFmtId="3" fontId="30" fillId="7" borderId="45" xfId="0" applyNumberFormat="1" applyFont="1" applyFill="1" applyBorder="1" applyAlignment="1">
      <alignment vertical="top"/>
    </xf>
    <xf numFmtId="3" fontId="30" fillId="7" borderId="41" xfId="0" applyNumberFormat="1" applyFont="1" applyFill="1" applyBorder="1" applyAlignment="1">
      <alignment vertical="top"/>
    </xf>
    <xf numFmtId="0" fontId="0" fillId="3" borderId="80" xfId="0" applyFill="1" applyBorder="1" applyAlignment="1">
      <alignment vertical="top"/>
    </xf>
    <xf numFmtId="0" fontId="0" fillId="3" borderId="2" xfId="0" applyFill="1" applyBorder="1" applyAlignment="1">
      <alignment vertical="top"/>
    </xf>
    <xf numFmtId="0" fontId="30" fillId="10" borderId="28" xfId="0" applyFont="1" applyFill="1" applyBorder="1" applyAlignment="1">
      <alignment horizontal="center" vertical="top"/>
    </xf>
    <xf numFmtId="0" fontId="32" fillId="10" borderId="27" xfId="0" applyFont="1" applyFill="1" applyBorder="1" applyAlignment="1">
      <alignment horizontal="center" vertical="top"/>
    </xf>
    <xf numFmtId="0" fontId="32"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29" fillId="3" borderId="43" xfId="0" applyFont="1" applyFill="1" applyBorder="1" applyAlignment="1">
      <alignment horizontal="left" vertical="top"/>
    </xf>
    <xf numFmtId="0" fontId="0" fillId="3" borderId="55" xfId="0" applyFill="1" applyBorder="1" applyAlignment="1">
      <alignment vertical="top"/>
    </xf>
    <xf numFmtId="0" fontId="0" fillId="3" borderId="60" xfId="0" applyFill="1" applyBorder="1" applyAlignment="1">
      <alignment vertical="top"/>
    </xf>
    <xf numFmtId="0" fontId="0" fillId="3" borderId="57" xfId="0" applyFill="1" applyBorder="1" applyAlignment="1">
      <alignment vertical="top"/>
    </xf>
    <xf numFmtId="0" fontId="32" fillId="3" borderId="57" xfId="0" applyFont="1" applyFill="1" applyBorder="1" applyAlignment="1">
      <alignment vertical="top"/>
    </xf>
    <xf numFmtId="0" fontId="0" fillId="0" borderId="45" xfId="0" applyBorder="1" applyAlignment="1">
      <alignment vertical="top"/>
    </xf>
    <xf numFmtId="3" fontId="32" fillId="7" borderId="88" xfId="0" applyNumberFormat="1" applyFont="1" applyFill="1" applyBorder="1" applyAlignment="1">
      <alignment vertical="top"/>
    </xf>
    <xf numFmtId="0" fontId="32" fillId="7" borderId="82" xfId="0" applyFont="1" applyFill="1" applyBorder="1" applyAlignment="1">
      <alignment vertical="top"/>
    </xf>
    <xf numFmtId="0" fontId="30" fillId="7" borderId="82" xfId="0" applyFont="1" applyFill="1" applyBorder="1" applyAlignment="1">
      <alignment vertical="top"/>
    </xf>
    <xf numFmtId="0" fontId="0" fillId="0" borderId="19" xfId="0" applyBorder="1" applyAlignment="1">
      <alignment vertical="top"/>
    </xf>
    <xf numFmtId="0" fontId="0" fillId="0" borderId="81" xfId="0" applyBorder="1" applyAlignment="1">
      <alignment vertical="top"/>
    </xf>
    <xf numFmtId="0" fontId="27" fillId="7" borderId="83" xfId="0" applyFont="1" applyFill="1" applyBorder="1" applyAlignment="1">
      <alignment vertical="top"/>
    </xf>
    <xf numFmtId="3" fontId="30" fillId="7" borderId="89" xfId="0" applyNumberFormat="1" applyFont="1" applyFill="1" applyBorder="1" applyAlignment="1">
      <alignment vertical="top"/>
    </xf>
    <xf numFmtId="0" fontId="30" fillId="7" borderId="79" xfId="0" applyFont="1" applyFill="1" applyBorder="1" applyAlignment="1">
      <alignment vertical="top"/>
    </xf>
    <xf numFmtId="3" fontId="28" fillId="7" borderId="0" xfId="0" applyNumberFormat="1" applyFont="1" applyFill="1" applyAlignment="1">
      <alignment vertical="top"/>
    </xf>
    <xf numFmtId="3" fontId="28" fillId="7" borderId="89" xfId="0" applyNumberFormat="1" applyFont="1" applyFill="1" applyBorder="1" applyAlignment="1">
      <alignment vertical="top"/>
    </xf>
    <xf numFmtId="0" fontId="27" fillId="7" borderId="91" xfId="0" applyFont="1" applyFill="1" applyBorder="1" applyAlignment="1">
      <alignment vertical="top"/>
    </xf>
    <xf numFmtId="0" fontId="28" fillId="7" borderId="82" xfId="0" applyFont="1" applyFill="1" applyBorder="1" applyAlignment="1">
      <alignment vertical="top"/>
    </xf>
    <xf numFmtId="0" fontId="28" fillId="7" borderId="91" xfId="0" applyFont="1" applyFill="1" applyBorder="1" applyAlignment="1">
      <alignment vertical="top"/>
    </xf>
    <xf numFmtId="0" fontId="43" fillId="0" borderId="3" xfId="0" applyFont="1" applyBorder="1" applyAlignment="1">
      <alignment horizontal="left" vertical="top" wrapText="1"/>
    </xf>
    <xf numFmtId="0" fontId="44" fillId="0" borderId="3" xfId="0" applyFont="1" applyBorder="1" applyAlignment="1">
      <alignment horizontal="right" vertical="top" wrapText="1"/>
    </xf>
    <xf numFmtId="3" fontId="28" fillId="7" borderId="80" xfId="0" applyNumberFormat="1" applyFont="1" applyFill="1" applyBorder="1" applyAlignment="1">
      <alignment vertical="top"/>
    </xf>
    <xf numFmtId="0" fontId="0" fillId="3" borderId="45" xfId="0" applyFill="1" applyBorder="1" applyAlignment="1">
      <alignment vertical="top"/>
    </xf>
    <xf numFmtId="0" fontId="0" fillId="3" borderId="90" xfId="0" applyFill="1" applyBorder="1" applyAlignment="1">
      <alignment vertical="top"/>
    </xf>
    <xf numFmtId="0" fontId="27" fillId="10" borderId="79" xfId="0" applyFont="1" applyFill="1" applyBorder="1" applyAlignment="1">
      <alignment vertical="top"/>
    </xf>
    <xf numFmtId="0" fontId="0" fillId="3" borderId="11" xfId="0" applyFill="1" applyBorder="1" applyAlignment="1">
      <alignment vertical="top"/>
    </xf>
    <xf numFmtId="0" fontId="28" fillId="7" borderId="0" xfId="0" applyFont="1" applyFill="1" applyAlignment="1">
      <alignment vertical="top"/>
    </xf>
    <xf numFmtId="0" fontId="27" fillId="7" borderId="30" xfId="0" applyFont="1" applyFill="1" applyBorder="1" applyAlignment="1">
      <alignment vertical="top"/>
    </xf>
    <xf numFmtId="0" fontId="0" fillId="3" borderId="43" xfId="0" applyFill="1" applyBorder="1" applyAlignment="1">
      <alignment vertical="top" wrapText="1"/>
    </xf>
    <xf numFmtId="0" fontId="0" fillId="3" borderId="28" xfId="0" applyFill="1" applyBorder="1" applyAlignment="1">
      <alignment vertical="top"/>
    </xf>
    <xf numFmtId="0" fontId="2" fillId="0" borderId="0" xfId="0" applyFont="1" applyAlignment="1">
      <alignment vertical="top"/>
    </xf>
    <xf numFmtId="0" fontId="30" fillId="6" borderId="85" xfId="0" applyFont="1" applyFill="1" applyBorder="1" applyAlignment="1">
      <alignment horizontal="center" vertical="top" wrapText="1"/>
    </xf>
    <xf numFmtId="0" fontId="45" fillId="3" borderId="55" xfId="0" applyFont="1" applyFill="1" applyBorder="1" applyAlignment="1">
      <alignment vertical="top"/>
    </xf>
    <xf numFmtId="0" fontId="45" fillId="3" borderId="58" xfId="0" applyFont="1" applyFill="1" applyBorder="1" applyAlignment="1">
      <alignment vertical="top"/>
    </xf>
    <xf numFmtId="0" fontId="45" fillId="3" borderId="0" xfId="0" applyFont="1" applyFill="1" applyAlignment="1">
      <alignment vertical="top"/>
    </xf>
    <xf numFmtId="0" fontId="45" fillId="3" borderId="57" xfId="0" applyFont="1" applyFill="1" applyBorder="1" applyAlignment="1">
      <alignment vertical="top"/>
    </xf>
    <xf numFmtId="0" fontId="45" fillId="3" borderId="27" xfId="0" applyFont="1" applyFill="1" applyBorder="1" applyAlignment="1">
      <alignment vertical="top"/>
    </xf>
    <xf numFmtId="0" fontId="0" fillId="3" borderId="20" xfId="0" applyFill="1" applyBorder="1" applyAlignment="1">
      <alignment vertical="top"/>
    </xf>
    <xf numFmtId="0" fontId="0" fillId="3" borderId="56" xfId="0" applyFill="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7" fillId="0" borderId="42" xfId="0" applyNumberFormat="1" applyFont="1" applyBorder="1" applyAlignment="1">
      <alignment vertical="top"/>
    </xf>
    <xf numFmtId="3" fontId="47" fillId="0" borderId="17" xfId="0" applyNumberFormat="1" applyFont="1" applyBorder="1" applyAlignment="1">
      <alignment vertical="top"/>
    </xf>
    <xf numFmtId="3" fontId="47" fillId="0" borderId="15" xfId="0" applyNumberFormat="1" applyFont="1" applyBorder="1" applyAlignment="1">
      <alignment vertical="top"/>
    </xf>
    <xf numFmtId="3" fontId="47" fillId="0" borderId="35" xfId="0" applyNumberFormat="1" applyFont="1" applyBorder="1" applyAlignment="1">
      <alignment vertical="top"/>
    </xf>
    <xf numFmtId="0" fontId="42" fillId="9" borderId="3" xfId="0" applyFont="1" applyFill="1" applyBorder="1" applyAlignment="1">
      <alignment horizontal="center" vertical="top" wrapText="1"/>
    </xf>
    <xf numFmtId="0" fontId="40" fillId="9" borderId="3" xfId="0" applyFont="1" applyFill="1" applyBorder="1" applyAlignment="1">
      <alignment horizontal="left" vertical="top" wrapText="1"/>
    </xf>
    <xf numFmtId="3" fontId="42" fillId="9" borderId="3" xfId="0" applyNumberFormat="1" applyFont="1" applyFill="1" applyBorder="1" applyAlignment="1">
      <alignment horizontal="right" vertical="top" wrapText="1"/>
    </xf>
    <xf numFmtId="9" fontId="42" fillId="9" borderId="3" xfId="0" applyNumberFormat="1" applyFont="1" applyFill="1" applyBorder="1" applyAlignment="1">
      <alignment horizontal="right" vertical="top" wrapText="1"/>
    </xf>
    <xf numFmtId="3" fontId="43" fillId="0" borderId="3" xfId="0" applyNumberFormat="1" applyFont="1" applyBorder="1" applyAlignment="1">
      <alignment horizontal="right" vertical="top" wrapText="1"/>
    </xf>
    <xf numFmtId="0" fontId="42" fillId="9" borderId="3" xfId="0" applyFont="1" applyFill="1" applyBorder="1" applyAlignment="1">
      <alignment horizontal="left" vertical="top" wrapText="1"/>
    </xf>
    <xf numFmtId="0" fontId="42" fillId="0" borderId="3" xfId="0" applyFont="1" applyBorder="1" applyAlignment="1">
      <alignment horizontal="left" vertical="top" wrapText="1"/>
    </xf>
    <xf numFmtId="3" fontId="42" fillId="0" borderId="3" xfId="0" applyNumberFormat="1" applyFont="1" applyBorder="1" applyAlignment="1">
      <alignment horizontal="left" vertical="top" wrapText="1"/>
    </xf>
    <xf numFmtId="3" fontId="43" fillId="0" borderId="0" xfId="0" applyNumberFormat="1" applyFont="1" applyAlignment="1">
      <alignment horizontal="right" vertical="top" wrapText="1"/>
    </xf>
    <xf numFmtId="3" fontId="43" fillId="0" borderId="0" xfId="0" applyNumberFormat="1" applyFont="1" applyAlignment="1">
      <alignment horizontal="left" vertical="top" wrapText="1"/>
    </xf>
    <xf numFmtId="14" fontId="42" fillId="9" borderId="3" xfId="0" applyNumberFormat="1" applyFont="1" applyFill="1" applyBorder="1" applyAlignment="1">
      <alignment horizontal="center" vertical="top" wrapText="1"/>
    </xf>
    <xf numFmtId="3" fontId="42" fillId="9" borderId="1" xfId="0" applyNumberFormat="1" applyFont="1" applyFill="1" applyBorder="1" applyAlignment="1">
      <alignment horizontal="center" vertical="top" wrapText="1"/>
    </xf>
    <xf numFmtId="0" fontId="42"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43"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2" fillId="0" borderId="3" xfId="0" applyNumberFormat="1" applyFont="1" applyBorder="1" applyAlignment="1">
      <alignment vertical="top"/>
    </xf>
    <xf numFmtId="3" fontId="21" fillId="0" borderId="3" xfId="0" applyNumberFormat="1" applyFont="1" applyBorder="1" applyAlignment="1">
      <alignment vertical="top"/>
    </xf>
    <xf numFmtId="0" fontId="0" fillId="3" borderId="11" xfId="0" applyFill="1" applyBorder="1" applyAlignment="1">
      <alignment horizontal="center" vertical="top" wrapText="1"/>
    </xf>
    <xf numFmtId="164" fontId="6" fillId="4" borderId="70" xfId="0" applyNumberFormat="1" applyFont="1" applyFill="1" applyBorder="1" applyAlignment="1">
      <alignment horizontal="center" vertical="top" wrapText="1"/>
    </xf>
    <xf numFmtId="0" fontId="11" fillId="0" borderId="0" xfId="0" applyFont="1" applyAlignment="1">
      <alignment vertical="top"/>
    </xf>
    <xf numFmtId="0" fontId="19" fillId="0" borderId="0" xfId="0" applyFont="1" applyAlignment="1">
      <alignment vertical="top"/>
    </xf>
    <xf numFmtId="0" fontId="2" fillId="0" borderId="0" xfId="0" applyFont="1" applyAlignment="1">
      <alignment vertical="top" wrapText="1"/>
    </xf>
    <xf numFmtId="3" fontId="20" fillId="0" borderId="32" xfId="0" applyNumberFormat="1" applyFont="1" applyBorder="1" applyAlignment="1">
      <alignment vertical="top"/>
    </xf>
    <xf numFmtId="3" fontId="20" fillId="0" borderId="77" xfId="0" applyNumberFormat="1" applyFont="1" applyBorder="1" applyAlignment="1">
      <alignment vertical="top"/>
    </xf>
    <xf numFmtId="3" fontId="20" fillId="0" borderId="58" xfId="0" applyNumberFormat="1" applyFont="1" applyBorder="1" applyAlignment="1">
      <alignment vertical="top"/>
    </xf>
    <xf numFmtId="3" fontId="20" fillId="0" borderId="42"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8"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5"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wrapText="1"/>
      <protection locked="0"/>
    </xf>
    <xf numFmtId="0" fontId="15" fillId="11" borderId="21" xfId="0" applyFont="1" applyFill="1" applyBorder="1" applyAlignment="1" applyProtection="1">
      <alignment horizontal="left" vertical="top" wrapText="1"/>
      <protection locked="0"/>
    </xf>
    <xf numFmtId="3" fontId="20" fillId="11" borderId="39" xfId="0" applyNumberFormat="1" applyFont="1" applyFill="1" applyBorder="1" applyAlignment="1" applyProtection="1">
      <alignment vertical="top"/>
      <protection locked="0"/>
    </xf>
    <xf numFmtId="3" fontId="20" fillId="11" borderId="2" xfId="0" applyNumberFormat="1" applyFont="1" applyFill="1" applyBorder="1" applyAlignment="1" applyProtection="1">
      <alignment vertical="top"/>
      <protection locked="0"/>
    </xf>
    <xf numFmtId="3" fontId="20" fillId="11" borderId="14" xfId="0" applyNumberFormat="1" applyFont="1" applyFill="1" applyBorder="1" applyAlignment="1" applyProtection="1">
      <alignment vertical="top"/>
      <protection locked="0"/>
    </xf>
    <xf numFmtId="3" fontId="20" fillId="11" borderId="22" xfId="0" applyNumberFormat="1" applyFont="1" applyFill="1" applyBorder="1" applyAlignment="1" applyProtection="1">
      <alignment vertical="top"/>
      <protection locked="0"/>
    </xf>
    <xf numFmtId="0" fontId="19" fillId="11" borderId="40" xfId="0" applyFont="1" applyFill="1" applyBorder="1" applyAlignment="1" applyProtection="1">
      <alignment vertical="top" wrapText="1"/>
      <protection locked="0"/>
    </xf>
    <xf numFmtId="0" fontId="19" fillId="11" borderId="39"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3" fontId="20" fillId="11" borderId="13" xfId="0" applyNumberFormat="1" applyFont="1" applyFill="1" applyBorder="1" applyAlignment="1" applyProtection="1">
      <alignment vertical="top"/>
      <protection locked="0"/>
    </xf>
    <xf numFmtId="3" fontId="20" fillId="11" borderId="3" xfId="0" applyNumberFormat="1" applyFont="1" applyFill="1" applyBorder="1" applyAlignment="1" applyProtection="1">
      <alignment vertical="top"/>
      <protection locked="0"/>
    </xf>
    <xf numFmtId="3" fontId="20" fillId="11" borderId="12" xfId="0" applyNumberFormat="1" applyFont="1" applyFill="1" applyBorder="1" applyAlignment="1" applyProtection="1">
      <alignment vertical="top"/>
      <protection locked="0"/>
    </xf>
    <xf numFmtId="0" fontId="19" fillId="11" borderId="3" xfId="0" applyFont="1" applyFill="1" applyBorder="1" applyAlignment="1" applyProtection="1">
      <alignment vertical="top" wrapText="1"/>
      <protection locked="0"/>
    </xf>
    <xf numFmtId="4" fontId="20" fillId="11" borderId="2" xfId="0" applyNumberFormat="1" applyFont="1" applyFill="1" applyBorder="1" applyAlignment="1" applyProtection="1">
      <alignment vertical="top"/>
      <protection locked="0"/>
    </xf>
    <xf numFmtId="0" fontId="19" fillId="11" borderId="22" xfId="0" applyFont="1" applyFill="1" applyBorder="1" applyAlignment="1" applyProtection="1">
      <alignment vertical="top" wrapText="1"/>
      <protection locked="0"/>
    </xf>
    <xf numFmtId="0" fontId="19" fillId="11" borderId="26" xfId="0" applyFont="1" applyFill="1" applyBorder="1" applyAlignment="1" applyProtection="1">
      <alignment vertical="top" wrapText="1"/>
      <protection locked="0"/>
    </xf>
    <xf numFmtId="3" fontId="20" fillId="11" borderId="26" xfId="0" applyNumberFormat="1" applyFont="1" applyFill="1" applyBorder="1" applyAlignment="1" applyProtection="1">
      <alignment vertical="top"/>
      <protection locked="0"/>
    </xf>
    <xf numFmtId="3" fontId="20" fillId="11" borderId="11" xfId="0" applyNumberFormat="1" applyFont="1" applyFill="1" applyBorder="1" applyAlignment="1" applyProtection="1">
      <alignment vertical="top"/>
      <protection locked="0"/>
    </xf>
    <xf numFmtId="3" fontId="20" fillId="11" borderId="20" xfId="0" applyNumberFormat="1" applyFont="1" applyFill="1" applyBorder="1" applyAlignment="1" applyProtection="1">
      <alignment vertical="top"/>
      <protection locked="0"/>
    </xf>
    <xf numFmtId="3" fontId="18" fillId="11" borderId="13" xfId="0" applyNumberFormat="1" applyFont="1" applyFill="1" applyBorder="1" applyAlignment="1" applyProtection="1">
      <alignment horizontal="right" vertical="top"/>
      <protection locked="0"/>
    </xf>
    <xf numFmtId="3" fontId="18" fillId="11" borderId="3" xfId="0" applyNumberFormat="1" applyFont="1" applyFill="1" applyBorder="1" applyAlignment="1" applyProtection="1">
      <alignment horizontal="right" vertical="top"/>
      <protection locked="0"/>
    </xf>
    <xf numFmtId="3" fontId="18" fillId="11" borderId="12" xfId="0" applyNumberFormat="1" applyFont="1" applyFill="1" applyBorder="1" applyAlignment="1" applyProtection="1">
      <alignment horizontal="right" vertical="top"/>
      <protection locked="0"/>
    </xf>
    <xf numFmtId="3" fontId="18" fillId="11" borderId="11" xfId="0" applyNumberFormat="1" applyFont="1" applyFill="1" applyBorder="1" applyAlignment="1" applyProtection="1">
      <alignment horizontal="right" vertical="top"/>
      <protection locked="0"/>
    </xf>
    <xf numFmtId="3" fontId="20" fillId="11" borderId="26" xfId="0" applyNumberFormat="1" applyFont="1" applyFill="1" applyBorder="1" applyAlignment="1" applyProtection="1">
      <alignment vertical="top" wrapText="1"/>
      <protection locked="0"/>
    </xf>
    <xf numFmtId="3" fontId="20" fillId="11" borderId="11" xfId="0" applyNumberFormat="1" applyFont="1" applyFill="1" applyBorder="1" applyAlignment="1" applyProtection="1">
      <alignment vertical="top" wrapText="1"/>
      <protection locked="0"/>
    </xf>
    <xf numFmtId="3" fontId="20" fillId="11" borderId="12" xfId="0" applyNumberFormat="1" applyFont="1" applyFill="1" applyBorder="1" applyAlignment="1" applyProtection="1">
      <alignment vertical="top" wrapText="1"/>
      <protection locked="0"/>
    </xf>
    <xf numFmtId="3" fontId="20" fillId="11" borderId="20" xfId="0" applyNumberFormat="1" applyFont="1" applyFill="1" applyBorder="1" applyAlignment="1" applyProtection="1">
      <alignment vertical="top" wrapText="1"/>
      <protection locked="0"/>
    </xf>
    <xf numFmtId="3" fontId="18" fillId="11" borderId="13" xfId="0" applyNumberFormat="1" applyFont="1" applyFill="1" applyBorder="1" applyAlignment="1" applyProtection="1">
      <alignment horizontal="right" vertical="top" wrapText="1"/>
      <protection locked="0"/>
    </xf>
    <xf numFmtId="3" fontId="18" fillId="11" borderId="3" xfId="0" applyNumberFormat="1" applyFont="1" applyFill="1" applyBorder="1" applyAlignment="1" applyProtection="1">
      <alignment horizontal="right" vertical="top" wrapText="1"/>
      <protection locked="0"/>
    </xf>
    <xf numFmtId="3" fontId="18" fillId="11" borderId="12" xfId="0" applyNumberFormat="1" applyFont="1" applyFill="1" applyBorder="1" applyAlignment="1" applyProtection="1">
      <alignment horizontal="right" vertical="top" wrapText="1"/>
      <protection locked="0"/>
    </xf>
    <xf numFmtId="3" fontId="18" fillId="11" borderId="11" xfId="0" applyNumberFormat="1" applyFont="1" applyFill="1" applyBorder="1" applyAlignment="1" applyProtection="1">
      <alignment horizontal="right" vertical="top" wrapText="1"/>
      <protection locked="0"/>
    </xf>
    <xf numFmtId="0" fontId="2" fillId="11" borderId="40" xfId="0" applyFont="1" applyFill="1" applyBorder="1" applyAlignment="1" applyProtection="1">
      <alignment vertical="top" wrapText="1"/>
      <protection locked="0"/>
    </xf>
    <xf numFmtId="3" fontId="20" fillId="11" borderId="50" xfId="0" applyNumberFormat="1" applyFont="1" applyFill="1" applyBorder="1" applyAlignment="1" applyProtection="1">
      <alignment vertical="top"/>
      <protection locked="0"/>
    </xf>
    <xf numFmtId="3" fontId="20" fillId="11" borderId="45" xfId="0" applyNumberFormat="1" applyFont="1" applyFill="1" applyBorder="1" applyAlignment="1" applyProtection="1">
      <alignment vertical="top"/>
      <protection locked="0"/>
    </xf>
    <xf numFmtId="3" fontId="20" fillId="11" borderId="48" xfId="0" applyNumberFormat="1" applyFont="1" applyFill="1" applyBorder="1" applyAlignment="1" applyProtection="1">
      <alignment vertical="top"/>
      <protection locked="0"/>
    </xf>
    <xf numFmtId="3" fontId="20" fillId="11" borderId="44" xfId="0" applyNumberFormat="1" applyFont="1" applyFill="1" applyBorder="1" applyAlignment="1" applyProtection="1">
      <alignment vertical="top"/>
      <protection locked="0"/>
    </xf>
    <xf numFmtId="3" fontId="18" fillId="11" borderId="50" xfId="0" applyNumberFormat="1" applyFont="1" applyFill="1" applyBorder="1" applyAlignment="1" applyProtection="1">
      <alignment horizontal="right" vertical="top"/>
      <protection locked="0"/>
    </xf>
    <xf numFmtId="3" fontId="18" fillId="11" borderId="45" xfId="0" applyNumberFormat="1" applyFont="1" applyFill="1" applyBorder="1" applyAlignment="1" applyProtection="1">
      <alignment horizontal="right" vertical="top"/>
      <protection locked="0"/>
    </xf>
    <xf numFmtId="3" fontId="18" fillId="11" borderId="48" xfId="0" applyNumberFormat="1" applyFont="1" applyFill="1" applyBorder="1" applyAlignment="1" applyProtection="1">
      <alignment horizontal="right" vertical="top"/>
      <protection locked="0"/>
    </xf>
    <xf numFmtId="0" fontId="19" fillId="11" borderId="47" xfId="0" applyFont="1" applyFill="1" applyBorder="1" applyAlignment="1" applyProtection="1">
      <alignment vertical="top" wrapText="1"/>
      <protection locked="0"/>
    </xf>
    <xf numFmtId="0" fontId="19" fillId="11" borderId="50"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20" fillId="12" borderId="31" xfId="0" applyNumberFormat="1" applyFont="1" applyFill="1" applyBorder="1" applyAlignment="1">
      <alignment vertical="top"/>
    </xf>
    <xf numFmtId="3" fontId="47" fillId="12" borderId="1" xfId="0" applyNumberFormat="1" applyFont="1" applyFill="1" applyBorder="1" applyAlignment="1">
      <alignment vertical="top"/>
    </xf>
    <xf numFmtId="3" fontId="47" fillId="12" borderId="22" xfId="0" applyNumberFormat="1" applyFont="1" applyFill="1" applyBorder="1" applyAlignment="1">
      <alignment vertical="top"/>
    </xf>
    <xf numFmtId="3" fontId="47" fillId="12" borderId="2" xfId="0" applyNumberFormat="1" applyFont="1" applyFill="1" applyBorder="1" applyAlignment="1">
      <alignment vertical="top"/>
    </xf>
    <xf numFmtId="3" fontId="47" fillId="12" borderId="39" xfId="0" applyNumberFormat="1" applyFont="1" applyFill="1" applyBorder="1" applyAlignment="1">
      <alignment vertical="top"/>
    </xf>
    <xf numFmtId="3" fontId="47" fillId="12" borderId="14" xfId="0" applyNumberFormat="1" applyFont="1" applyFill="1" applyBorder="1" applyAlignment="1">
      <alignment vertical="top"/>
    </xf>
    <xf numFmtId="0" fontId="19" fillId="12" borderId="40" xfId="0" applyFont="1" applyFill="1" applyBorder="1" applyAlignment="1">
      <alignment vertical="top" wrapText="1"/>
    </xf>
    <xf numFmtId="3" fontId="20" fillId="12" borderId="5" xfId="0" applyNumberFormat="1" applyFont="1" applyFill="1" applyBorder="1" applyAlignment="1">
      <alignment vertical="top"/>
    </xf>
    <xf numFmtId="3" fontId="20" fillId="12" borderId="4" xfId="0" applyNumberFormat="1" applyFont="1" applyFill="1" applyBorder="1" applyAlignment="1">
      <alignment vertical="top"/>
    </xf>
    <xf numFmtId="3" fontId="20" fillId="12" borderId="54" xfId="0" applyNumberFormat="1" applyFont="1" applyFill="1" applyBorder="1" applyAlignment="1">
      <alignment vertical="top"/>
    </xf>
    <xf numFmtId="3" fontId="20" fillId="12" borderId="1" xfId="0" applyNumberFormat="1" applyFont="1" applyFill="1" applyBorder="1" applyAlignment="1">
      <alignment vertical="top"/>
    </xf>
    <xf numFmtId="3" fontId="20" fillId="12" borderId="3" xfId="0" applyNumberFormat="1" applyFont="1" applyFill="1" applyBorder="1" applyAlignment="1">
      <alignment vertical="top"/>
    </xf>
    <xf numFmtId="3" fontId="20"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2" borderId="39" xfId="0" applyFont="1" applyFill="1" applyBorder="1" applyAlignment="1">
      <alignment vertical="top" wrapText="1"/>
    </xf>
    <xf numFmtId="0" fontId="19"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20" fillId="12" borderId="11" xfId="0" applyNumberFormat="1" applyFont="1" applyFill="1" applyBorder="1" applyAlignment="1">
      <alignment vertical="top"/>
    </xf>
    <xf numFmtId="3" fontId="20" fillId="12" borderId="12" xfId="0" applyNumberFormat="1" applyFont="1" applyFill="1" applyBorder="1" applyAlignment="1">
      <alignment vertical="top"/>
    </xf>
    <xf numFmtId="3" fontId="47" fillId="12" borderId="20" xfId="0" applyNumberFormat="1" applyFont="1" applyFill="1" applyBorder="1" applyAlignment="1">
      <alignment vertical="top"/>
    </xf>
    <xf numFmtId="3" fontId="47" fillId="12" borderId="11" xfId="0" applyNumberFormat="1" applyFont="1" applyFill="1" applyBorder="1" applyAlignment="1">
      <alignment vertical="top"/>
    </xf>
    <xf numFmtId="3" fontId="47" fillId="12" borderId="26" xfId="0" applyNumberFormat="1" applyFont="1" applyFill="1" applyBorder="1" applyAlignment="1">
      <alignment vertical="top"/>
    </xf>
    <xf numFmtId="3" fontId="47" fillId="12" borderId="12" xfId="0" applyNumberFormat="1" applyFont="1" applyFill="1" applyBorder="1" applyAlignment="1">
      <alignment vertical="top"/>
    </xf>
    <xf numFmtId="3" fontId="48" fillId="12" borderId="13" xfId="0" applyNumberFormat="1" applyFont="1" applyFill="1" applyBorder="1" applyAlignment="1">
      <alignment horizontal="right" vertical="top"/>
    </xf>
    <xf numFmtId="3" fontId="48" fillId="12" borderId="3" xfId="0" applyNumberFormat="1" applyFont="1" applyFill="1" applyBorder="1" applyAlignment="1">
      <alignment horizontal="right" vertical="top"/>
    </xf>
    <xf numFmtId="3" fontId="48" fillId="12" borderId="12" xfId="0" applyNumberFormat="1" applyFont="1" applyFill="1" applyBorder="1" applyAlignment="1">
      <alignment horizontal="right" vertical="top"/>
    </xf>
    <xf numFmtId="0" fontId="15" fillId="12" borderId="46" xfId="0" applyFont="1" applyFill="1" applyBorder="1" applyAlignment="1">
      <alignment horizontal="left" vertical="top" wrapText="1"/>
    </xf>
    <xf numFmtId="0" fontId="19"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3" fontId="48" fillId="12" borderId="50" xfId="0" applyNumberFormat="1" applyFont="1" applyFill="1" applyBorder="1" applyAlignment="1">
      <alignment horizontal="right" vertical="top"/>
    </xf>
    <xf numFmtId="3" fontId="48" fillId="12" borderId="45" xfId="0" applyNumberFormat="1" applyFont="1" applyFill="1" applyBorder="1" applyAlignment="1">
      <alignment horizontal="right" vertical="top"/>
    </xf>
    <xf numFmtId="3" fontId="48" fillId="12" borderId="48" xfId="0" applyNumberFormat="1" applyFont="1" applyFill="1" applyBorder="1" applyAlignment="1">
      <alignment horizontal="right" vertical="top"/>
    </xf>
    <xf numFmtId="0" fontId="19" fillId="12" borderId="47" xfId="0" applyFont="1" applyFill="1" applyBorder="1" applyAlignment="1">
      <alignment vertical="top" wrapText="1"/>
    </xf>
    <xf numFmtId="0" fontId="19" fillId="12" borderId="1" xfId="1" applyFont="1" applyFill="1" applyBorder="1" applyAlignment="1">
      <alignment horizontal="left" vertical="top" wrapText="1"/>
    </xf>
    <xf numFmtId="0" fontId="19" fillId="12" borderId="31" xfId="0" applyFont="1" applyFill="1" applyBorder="1" applyAlignment="1">
      <alignment horizontal="left" vertical="top" wrapText="1"/>
    </xf>
    <xf numFmtId="0" fontId="19" fillId="12" borderId="3" xfId="1" applyFont="1" applyFill="1" applyBorder="1" applyAlignment="1">
      <alignment horizontal="left" vertical="top" wrapText="1"/>
    </xf>
    <xf numFmtId="0" fontId="19" fillId="12" borderId="0" xfId="0" applyFont="1" applyFill="1" applyAlignment="1">
      <alignment vertical="top" wrapText="1"/>
    </xf>
    <xf numFmtId="0" fontId="19"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1" fillId="0" borderId="18" xfId="0" applyNumberFormat="1" applyFont="1" applyBorder="1" applyAlignment="1">
      <alignment vertical="top"/>
    </xf>
    <xf numFmtId="3" fontId="21" fillId="0" borderId="16" xfId="0" applyNumberFormat="1" applyFont="1" applyBorder="1" applyAlignment="1">
      <alignment vertical="top"/>
    </xf>
    <xf numFmtId="3" fontId="21" fillId="0" borderId="15" xfId="0" applyNumberFormat="1" applyFont="1" applyBorder="1" applyAlignment="1">
      <alignment vertical="top"/>
    </xf>
    <xf numFmtId="0" fontId="19" fillId="11" borderId="31" xfId="0" applyFont="1" applyFill="1" applyBorder="1" applyAlignment="1" applyProtection="1">
      <alignment horizontal="left" vertical="top" wrapText="1"/>
      <protection locked="0"/>
    </xf>
    <xf numFmtId="0" fontId="17" fillId="4" borderId="41" xfId="0" applyFont="1" applyFill="1" applyBorder="1" applyAlignment="1">
      <alignment horizontal="center" vertical="top"/>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20" fillId="11" borderId="4" xfId="0" applyNumberFormat="1" applyFont="1" applyFill="1" applyBorder="1" applyAlignment="1" applyProtection="1">
      <alignment vertical="top"/>
      <protection locked="0"/>
    </xf>
    <xf numFmtId="3" fontId="20" fillId="11" borderId="5" xfId="0" applyNumberFormat="1" applyFont="1" applyFill="1" applyBorder="1" applyAlignment="1" applyProtection="1">
      <alignment vertical="top"/>
      <protection locked="0"/>
    </xf>
    <xf numFmtId="3" fontId="20" fillId="11" borderId="6" xfId="0" applyNumberFormat="1" applyFont="1" applyFill="1" applyBorder="1" applyAlignment="1" applyProtection="1">
      <alignment vertical="top"/>
      <protection locked="0"/>
    </xf>
    <xf numFmtId="3" fontId="20" fillId="0" borderId="18" xfId="0" applyNumberFormat="1" applyFont="1" applyBorder="1" applyAlignment="1">
      <alignment vertical="top"/>
    </xf>
    <xf numFmtId="3" fontId="20"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7" fillId="12" borderId="5" xfId="0" applyNumberFormat="1" applyFont="1" applyFill="1" applyBorder="1" applyAlignment="1">
      <alignment vertical="top"/>
    </xf>
    <xf numFmtId="3" fontId="47" fillId="0" borderId="77"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5"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7" fillId="0" borderId="18" xfId="0" applyNumberFormat="1" applyFont="1" applyBorder="1" applyAlignment="1">
      <alignment vertical="top"/>
    </xf>
    <xf numFmtId="3" fontId="47"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9" fillId="12" borderId="26" xfId="0" applyFont="1" applyFill="1" applyBorder="1" applyAlignment="1">
      <alignment vertical="top" wrapText="1"/>
    </xf>
    <xf numFmtId="0" fontId="19" fillId="12" borderId="50" xfId="0" applyFont="1" applyFill="1" applyBorder="1" applyAlignment="1">
      <alignment vertical="top" wrapText="1"/>
    </xf>
    <xf numFmtId="0" fontId="19"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0" fontId="1" fillId="3" borderId="0" xfId="0" applyFont="1" applyFill="1" applyAlignment="1">
      <alignment horizontal="left" vertical="top"/>
    </xf>
    <xf numFmtId="0" fontId="1" fillId="2" borderId="33" xfId="0" applyFont="1" applyFill="1" applyBorder="1" applyAlignment="1">
      <alignment vertical="top" wrapText="1"/>
    </xf>
    <xf numFmtId="0" fontId="0" fillId="0" borderId="36" xfId="0" applyBorder="1" applyAlignment="1">
      <alignment horizontal="left" vertical="top"/>
    </xf>
    <xf numFmtId="3" fontId="0" fillId="12" borderId="37" xfId="0" applyNumberFormat="1" applyFill="1" applyBorder="1" applyAlignment="1">
      <alignment horizontal="left" vertical="top" wrapText="1"/>
    </xf>
    <xf numFmtId="0" fontId="3" fillId="0" borderId="33" xfId="0" applyFont="1" applyBorder="1" applyAlignment="1">
      <alignment horizontal="left" vertical="top"/>
    </xf>
    <xf numFmtId="0" fontId="0" fillId="0" borderId="43" xfId="0" applyBorder="1" applyAlignment="1">
      <alignment horizontal="left" vertical="top"/>
    </xf>
    <xf numFmtId="3" fontId="47" fillId="12" borderId="70" xfId="0" applyNumberFormat="1" applyFont="1" applyFill="1" applyBorder="1" applyAlignment="1">
      <alignment vertical="top"/>
    </xf>
    <xf numFmtId="3" fontId="47" fillId="0" borderId="57" xfId="0" applyNumberFormat="1" applyFont="1" applyBorder="1" applyAlignment="1">
      <alignment vertical="top"/>
    </xf>
    <xf numFmtId="164" fontId="0" fillId="4" borderId="93" xfId="0" applyNumberFormat="1" applyFill="1" applyBorder="1" applyAlignment="1">
      <alignment horizontal="center" vertical="top" wrapText="1"/>
    </xf>
    <xf numFmtId="164" fontId="0" fillId="4" borderId="94" xfId="0" applyNumberFormat="1" applyFill="1" applyBorder="1" applyAlignment="1">
      <alignment horizontal="center" vertical="top" wrapText="1"/>
    </xf>
    <xf numFmtId="164" fontId="0" fillId="4" borderId="92" xfId="0" applyNumberFormat="1" applyFill="1" applyBorder="1" applyAlignment="1">
      <alignment horizontal="center" vertical="top" wrapText="1"/>
    </xf>
    <xf numFmtId="3" fontId="20" fillId="12" borderId="6" xfId="0" applyNumberFormat="1" applyFont="1" applyFill="1" applyBorder="1" applyAlignment="1">
      <alignment vertical="top"/>
    </xf>
    <xf numFmtId="3" fontId="20" fillId="12" borderId="13" xfId="0" applyNumberFormat="1" applyFont="1" applyFill="1" applyBorder="1" applyAlignment="1">
      <alignment vertical="top"/>
    </xf>
    <xf numFmtId="3" fontId="20" fillId="12" borderId="69" xfId="0" applyNumberFormat="1" applyFont="1" applyFill="1" applyBorder="1" applyAlignment="1">
      <alignment vertical="top"/>
    </xf>
    <xf numFmtId="3" fontId="48" fillId="12" borderId="19" xfId="0" applyNumberFormat="1" applyFont="1" applyFill="1" applyBorder="1" applyAlignment="1">
      <alignment horizontal="right" vertical="top"/>
    </xf>
    <xf numFmtId="3" fontId="48" fillId="12" borderId="44" xfId="0" applyNumberFormat="1" applyFont="1" applyFill="1" applyBorder="1" applyAlignment="1">
      <alignment horizontal="right" vertical="top"/>
    </xf>
    <xf numFmtId="164" fontId="0" fillId="4" borderId="82" xfId="0" applyNumberFormat="1" applyFill="1" applyBorder="1" applyAlignment="1">
      <alignment horizontal="center" vertical="top" wrapText="1"/>
    </xf>
    <xf numFmtId="164" fontId="0" fillId="4" borderId="71" xfId="0" applyNumberFormat="1" applyFill="1" applyBorder="1" applyAlignment="1">
      <alignment horizontal="center" vertical="top" wrapText="1"/>
    </xf>
    <xf numFmtId="3" fontId="47" fillId="12" borderId="3" xfId="0" applyNumberFormat="1" applyFont="1" applyFill="1" applyBorder="1" applyAlignment="1">
      <alignment vertical="top"/>
    </xf>
    <xf numFmtId="3" fontId="47" fillId="12" borderId="13" xfId="0" applyNumberFormat="1" applyFont="1" applyFill="1" applyBorder="1" applyAlignment="1">
      <alignment vertical="top"/>
    </xf>
    <xf numFmtId="0" fontId="19" fillId="11" borderId="1" xfId="1" applyFont="1" applyFill="1" applyBorder="1" applyAlignment="1" applyProtection="1">
      <alignment horizontal="left" vertical="top" wrapText="1"/>
      <protection locked="0"/>
    </xf>
    <xf numFmtId="0" fontId="49" fillId="0" borderId="0" xfId="0" applyFont="1" applyAlignment="1">
      <alignment vertical="top"/>
    </xf>
    <xf numFmtId="0" fontId="11" fillId="4" borderId="8" xfId="0" applyFont="1" applyFill="1" applyBorder="1" applyAlignment="1">
      <alignment horizontal="center"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50" fillId="0" borderId="0" xfId="0" applyFont="1" applyAlignment="1">
      <alignment vertical="top"/>
    </xf>
    <xf numFmtId="0" fontId="2" fillId="0" borderId="30" xfId="0" applyFont="1" applyBorder="1" applyAlignment="1">
      <alignment vertical="top" wrapText="1"/>
    </xf>
    <xf numFmtId="0" fontId="50" fillId="0" borderId="25" xfId="0" applyFont="1" applyBorder="1" applyAlignment="1">
      <alignment horizontal="right" vertical="top" wrapText="1"/>
    </xf>
    <xf numFmtId="0" fontId="50" fillId="0" borderId="60" xfId="0" applyFont="1" applyBorder="1" applyAlignment="1">
      <alignment vertical="top" wrapText="1"/>
    </xf>
    <xf numFmtId="3" fontId="50" fillId="0" borderId="30" xfId="0" applyNumberFormat="1" applyFont="1" applyBorder="1" applyAlignment="1">
      <alignment vertical="top"/>
    </xf>
    <xf numFmtId="0" fontId="50" fillId="0" borderId="39" xfId="0" applyFont="1" applyBorder="1" applyAlignment="1">
      <alignment vertical="top" wrapText="1"/>
    </xf>
    <xf numFmtId="3" fontId="50"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50" fillId="0" borderId="26" xfId="0" applyFont="1" applyBorder="1" applyAlignment="1">
      <alignment vertical="top" wrapText="1"/>
    </xf>
    <xf numFmtId="3" fontId="50"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50" fillId="0" borderId="35" xfId="0" applyFont="1" applyBorder="1" applyAlignment="1">
      <alignment vertical="top" wrapText="1"/>
    </xf>
    <xf numFmtId="3" fontId="50"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50" fillId="0" borderId="30" xfId="0" applyFont="1" applyBorder="1" applyAlignment="1">
      <alignment horizontal="right" vertical="top" wrapText="1"/>
    </xf>
    <xf numFmtId="0" fontId="50" fillId="0" borderId="74" xfId="0" applyFont="1" applyBorder="1" applyAlignment="1">
      <alignment vertical="top" wrapText="1"/>
    </xf>
    <xf numFmtId="3" fontId="50" fillId="0" borderId="74" xfId="0" applyNumberFormat="1" applyFont="1" applyBorder="1" applyAlignment="1">
      <alignment horizontal="right" vertical="top" wrapText="1"/>
    </xf>
    <xf numFmtId="3" fontId="50" fillId="0" borderId="76" xfId="0" applyNumberFormat="1" applyFont="1" applyBorder="1" applyAlignment="1">
      <alignment horizontal="right" vertical="top" wrapText="1"/>
    </xf>
    <xf numFmtId="3" fontId="50" fillId="0" borderId="78" xfId="0" applyNumberFormat="1" applyFont="1" applyBorder="1" applyAlignment="1">
      <alignment horizontal="right" vertical="top" wrapText="1"/>
    </xf>
    <xf numFmtId="0" fontId="37" fillId="0" borderId="40" xfId="0" applyFont="1" applyBorder="1" applyAlignment="1">
      <alignment vertical="top" wrapText="1"/>
    </xf>
    <xf numFmtId="3" fontId="50" fillId="0" borderId="40" xfId="0" applyNumberFormat="1" applyFont="1" applyBorder="1" applyAlignment="1">
      <alignment vertical="top"/>
    </xf>
    <xf numFmtId="3" fontId="2" fillId="0" borderId="75"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50"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7" fillId="0" borderId="74" xfId="0" applyFont="1" applyBorder="1" applyAlignment="1">
      <alignment vertical="top" wrapText="1"/>
    </xf>
    <xf numFmtId="3" fontId="50" fillId="0" borderId="37" xfId="0" applyNumberFormat="1" applyFont="1" applyBorder="1" applyAlignment="1">
      <alignment vertical="top"/>
    </xf>
    <xf numFmtId="3" fontId="2" fillId="0" borderId="73"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3" fontId="16" fillId="12" borderId="14" xfId="0" applyNumberFormat="1" applyFont="1" applyFill="1" applyBorder="1" applyAlignment="1">
      <alignment vertical="top" wrapText="1"/>
    </xf>
    <xf numFmtId="0" fontId="19" fillId="12" borderId="49" xfId="0" applyFont="1" applyFill="1" applyBorder="1" applyAlignment="1">
      <alignment horizontal="left" vertical="top" wrapText="1"/>
    </xf>
    <xf numFmtId="0" fontId="19" fillId="12" borderId="21" xfId="0" applyFont="1" applyFill="1" applyBorder="1" applyAlignment="1">
      <alignment horizontal="left" vertical="top" wrapText="1"/>
    </xf>
    <xf numFmtId="0" fontId="2" fillId="11" borderId="36" xfId="0" applyFont="1" applyFill="1" applyBorder="1" applyAlignment="1" applyProtection="1">
      <alignment vertical="top" wrapText="1"/>
      <protection locked="0"/>
    </xf>
    <xf numFmtId="0" fontId="2" fillId="11" borderId="51" xfId="0" applyFont="1" applyFill="1" applyBorder="1" applyAlignment="1" applyProtection="1">
      <alignment vertical="top" wrapText="1"/>
      <protection locked="0"/>
    </xf>
    <xf numFmtId="0" fontId="19" fillId="11" borderId="21" xfId="0" applyFont="1" applyFill="1" applyBorder="1" applyAlignment="1" applyProtection="1">
      <alignment horizontal="left" vertical="top" wrapText="1"/>
      <protection locked="0"/>
    </xf>
    <xf numFmtId="0" fontId="19" fillId="11" borderId="3" xfId="1" applyFont="1" applyFill="1" applyBorder="1" applyAlignment="1" applyProtection="1">
      <alignment horizontal="left" vertical="top" wrapText="1"/>
      <protection locked="0"/>
    </xf>
    <xf numFmtId="0" fontId="19" fillId="11" borderId="21" xfId="1" applyFont="1" applyFill="1" applyBorder="1" applyAlignment="1" applyProtection="1">
      <alignment horizontal="left" vertical="top" wrapText="1"/>
      <protection locked="0"/>
    </xf>
    <xf numFmtId="0" fontId="19" fillId="11" borderId="20" xfId="0" applyFont="1" applyFill="1" applyBorder="1" applyAlignment="1" applyProtection="1">
      <alignment vertical="top" wrapText="1"/>
      <protection locked="0"/>
    </xf>
    <xf numFmtId="0" fontId="19" fillId="11" borderId="44" xfId="0" applyFont="1" applyFill="1" applyBorder="1" applyAlignment="1" applyProtection="1">
      <alignment vertical="top" wrapText="1"/>
      <protection locked="0"/>
    </xf>
    <xf numFmtId="0" fontId="19" fillId="11" borderId="33" xfId="0" applyFont="1" applyFill="1" applyBorder="1" applyAlignment="1" applyProtection="1">
      <alignment vertical="top" wrapText="1"/>
      <protection locked="0"/>
    </xf>
    <xf numFmtId="0" fontId="19" fillId="11" borderId="36" xfId="0" applyFont="1" applyFill="1" applyBorder="1" applyAlignment="1" applyProtection="1">
      <alignment vertical="top" wrapText="1"/>
      <protection locked="0"/>
    </xf>
    <xf numFmtId="164" fontId="14" fillId="4" borderId="7" xfId="0" applyNumberFormat="1" applyFont="1" applyFill="1" applyBorder="1" applyAlignment="1">
      <alignment horizontal="center" vertical="top" wrapText="1"/>
    </xf>
    <xf numFmtId="164" fontId="14" fillId="4" borderId="10"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0" xfId="0" applyFont="1" applyAlignment="1">
      <alignment vertical="top" wrapText="1"/>
    </xf>
    <xf numFmtId="0" fontId="50" fillId="4" borderId="3" xfId="0" applyFont="1" applyFill="1" applyBorder="1" applyAlignment="1">
      <alignment horizontal="center" vertical="top" wrapText="1"/>
    </xf>
    <xf numFmtId="0" fontId="53" fillId="0" borderId="3" xfId="0" applyFont="1" applyBorder="1" applyAlignment="1">
      <alignment horizontal="left" vertical="top" wrapText="1"/>
    </xf>
    <xf numFmtId="0" fontId="53" fillId="0" borderId="3" xfId="0" applyFont="1" applyBorder="1" applyAlignment="1">
      <alignment horizontal="left" vertical="top"/>
    </xf>
    <xf numFmtId="0" fontId="53" fillId="0" borderId="3" xfId="0" applyFont="1" applyBorder="1" applyAlignment="1">
      <alignment horizontal="center" vertical="top"/>
    </xf>
    <xf numFmtId="3" fontId="53" fillId="0" borderId="3" xfId="0" applyNumberFormat="1" applyFont="1" applyBorder="1" applyAlignment="1">
      <alignment horizontal="right" vertical="top"/>
    </xf>
    <xf numFmtId="0" fontId="46" fillId="0" borderId="0" xfId="0" applyFont="1" applyAlignment="1">
      <alignment vertical="top"/>
    </xf>
    <xf numFmtId="0" fontId="53" fillId="0" borderId="3" xfId="0" applyFont="1" applyBorder="1" applyAlignment="1">
      <alignment horizontal="right" vertical="top"/>
    </xf>
    <xf numFmtId="0" fontId="53" fillId="0" borderId="0" xfId="0" applyFont="1"/>
    <xf numFmtId="0" fontId="53" fillId="0" borderId="0" xfId="0" applyFont="1" applyAlignment="1">
      <alignment vertical="center"/>
    </xf>
    <xf numFmtId="0" fontId="2" fillId="0" borderId="0" xfId="0" applyFont="1" applyAlignment="1">
      <alignment vertical="center"/>
    </xf>
    <xf numFmtId="3" fontId="0" fillId="0" borderId="0" xfId="0" applyNumberFormat="1"/>
    <xf numFmtId="0" fontId="53" fillId="0" borderId="0" xfId="0" applyFont="1" applyAlignment="1">
      <alignment horizontal="left" vertical="top"/>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0" fontId="50" fillId="0" borderId="97" xfId="0" applyFont="1" applyBorder="1" applyAlignment="1">
      <alignment horizontal="right" vertical="top" wrapText="1"/>
    </xf>
    <xf numFmtId="3" fontId="50" fillId="0" borderId="98" xfId="0" applyNumberFormat="1" applyFont="1" applyBorder="1" applyAlignment="1">
      <alignment horizontal="right" vertical="top" wrapText="1"/>
    </xf>
    <xf numFmtId="0" fontId="50" fillId="0" borderId="99" xfId="0" applyFont="1" applyBorder="1" applyAlignment="1">
      <alignment horizontal="right" vertical="top" wrapText="1"/>
    </xf>
    <xf numFmtId="3" fontId="50" fillId="0" borderId="100" xfId="0" applyNumberFormat="1" applyFont="1" applyBorder="1" applyAlignment="1">
      <alignment horizontal="right" vertical="top" wrapText="1"/>
    </xf>
    <xf numFmtId="0" fontId="50" fillId="0" borderId="25" xfId="0" applyFont="1" applyBorder="1" applyAlignment="1">
      <alignment vertical="top"/>
    </xf>
    <xf numFmtId="3" fontId="50" fillId="0" borderId="25" xfId="0" applyNumberFormat="1" applyFont="1" applyBorder="1" applyAlignment="1">
      <alignment horizontal="right" vertical="top" wrapText="1"/>
    </xf>
    <xf numFmtId="0" fontId="50" fillId="0" borderId="24" xfId="0" applyFont="1" applyBorder="1" applyAlignment="1">
      <alignment horizontal="right" vertical="top" wrapText="1"/>
    </xf>
    <xf numFmtId="3" fontId="50" fillId="0" borderId="101" xfId="0" applyNumberFormat="1" applyFont="1" applyBorder="1" applyAlignment="1">
      <alignment horizontal="right" vertical="top" wrapText="1"/>
    </xf>
    <xf numFmtId="0" fontId="50" fillId="0" borderId="96" xfId="0" applyFont="1" applyBorder="1" applyAlignment="1">
      <alignment horizontal="right" vertical="top" wrapText="1"/>
    </xf>
    <xf numFmtId="0" fontId="1" fillId="3" borderId="95" xfId="0" applyFont="1" applyFill="1" applyBorder="1" applyAlignment="1">
      <alignment vertical="top" wrapText="1"/>
    </xf>
    <xf numFmtId="3" fontId="2" fillId="3" borderId="21" xfId="0" applyNumberFormat="1" applyFont="1" applyFill="1" applyBorder="1" applyAlignment="1">
      <alignment horizontal="right" vertical="top" wrapText="1"/>
    </xf>
    <xf numFmtId="3" fontId="2" fillId="3" borderId="48" xfId="0" applyNumberFormat="1" applyFont="1" applyFill="1" applyBorder="1" applyAlignment="1">
      <alignment horizontal="right" vertical="top" wrapText="1"/>
    </xf>
    <xf numFmtId="0" fontId="1" fillId="2" borderId="102" xfId="0" applyFont="1" applyFill="1" applyBorder="1" applyAlignment="1">
      <alignment vertical="top" wrapText="1"/>
    </xf>
    <xf numFmtId="0" fontId="1" fillId="3" borderId="105" xfId="0" applyFont="1" applyFill="1" applyBorder="1" applyAlignment="1">
      <alignment vertical="top" wrapText="1"/>
    </xf>
    <xf numFmtId="0" fontId="0" fillId="3" borderId="106" xfId="0" applyFill="1" applyBorder="1" applyAlignment="1">
      <alignment horizontal="center" vertical="top" wrapText="1"/>
    </xf>
    <xf numFmtId="0" fontId="1" fillId="3" borderId="107" xfId="0" applyFont="1" applyFill="1" applyBorder="1" applyAlignment="1">
      <alignment vertical="top" wrapText="1"/>
    </xf>
    <xf numFmtId="9" fontId="2" fillId="3" borderId="108" xfId="0" applyNumberFormat="1" applyFont="1" applyFill="1" applyBorder="1" applyAlignment="1">
      <alignment horizontal="right" vertical="top" wrapText="1"/>
    </xf>
    <xf numFmtId="9" fontId="2" fillId="3" borderId="109" xfId="0" applyNumberFormat="1" applyFont="1" applyFill="1" applyBorder="1" applyAlignment="1">
      <alignment horizontal="right" vertical="top" wrapText="1"/>
    </xf>
    <xf numFmtId="164" fontId="30" fillId="4" borderId="24" xfId="0" applyNumberFormat="1" applyFont="1" applyFill="1" applyBorder="1" applyAlignment="1">
      <alignment horizontal="center" vertical="top" wrapText="1"/>
    </xf>
    <xf numFmtId="3" fontId="2" fillId="12" borderId="108" xfId="0" applyNumberFormat="1" applyFont="1" applyFill="1" applyBorder="1" applyAlignment="1">
      <alignment horizontal="right" vertical="top" wrapText="1"/>
    </xf>
    <xf numFmtId="3" fontId="0" fillId="12" borderId="108" xfId="0" applyNumberFormat="1" applyFill="1" applyBorder="1" applyAlignment="1">
      <alignment horizontal="right" vertical="top" wrapText="1"/>
    </xf>
    <xf numFmtId="3" fontId="0" fillId="12" borderId="109" xfId="0" applyNumberFormat="1" applyFill="1" applyBorder="1" applyAlignment="1">
      <alignment horizontal="right" vertical="top" wrapText="1"/>
    </xf>
    <xf numFmtId="0" fontId="3" fillId="0" borderId="54" xfId="0" applyFont="1" applyBorder="1" applyAlignment="1">
      <alignment horizontal="left" vertical="top"/>
    </xf>
    <xf numFmtId="0" fontId="0" fillId="0" borderId="56" xfId="0" applyBorder="1" applyAlignment="1">
      <alignment horizontal="left" vertical="top"/>
    </xf>
    <xf numFmtId="3" fontId="0" fillId="12" borderId="110" xfId="0" applyNumberFormat="1" applyFill="1" applyBorder="1" applyAlignment="1">
      <alignment horizontal="left" vertical="top" wrapText="1"/>
    </xf>
    <xf numFmtId="0" fontId="1" fillId="3" borderId="111" xfId="0" applyFont="1" applyFill="1" applyBorder="1" applyAlignment="1">
      <alignment vertical="top" wrapText="1"/>
    </xf>
    <xf numFmtId="3" fontId="2" fillId="12" borderId="21" xfId="0" applyNumberFormat="1" applyFont="1" applyFill="1" applyBorder="1" applyAlignment="1">
      <alignment horizontal="right" vertical="top" wrapText="1"/>
    </xf>
    <xf numFmtId="3" fontId="0" fillId="12" borderId="21" xfId="0" applyNumberFormat="1" applyFill="1" applyBorder="1" applyAlignment="1">
      <alignment horizontal="right" vertical="top" wrapText="1"/>
    </xf>
    <xf numFmtId="3" fontId="0" fillId="12" borderId="112" xfId="0" applyNumberFormat="1" applyFill="1" applyBorder="1" applyAlignment="1">
      <alignment horizontal="right" vertical="top" wrapText="1"/>
    </xf>
    <xf numFmtId="0" fontId="1" fillId="2" borderId="31" xfId="0" applyFont="1" applyFill="1" applyBorder="1" applyAlignment="1">
      <alignment vertical="top" wrapText="1"/>
    </xf>
    <xf numFmtId="3" fontId="0" fillId="0" borderId="69" xfId="0" applyNumberFormat="1" applyBorder="1" applyAlignment="1">
      <alignment vertical="top"/>
    </xf>
    <xf numFmtId="3" fontId="0" fillId="0" borderId="17" xfId="0" applyNumberFormat="1" applyBorder="1" applyAlignment="1">
      <alignment vertical="top"/>
    </xf>
    <xf numFmtId="3" fontId="0" fillId="0" borderId="53" xfId="0" applyNumberFormat="1" applyBorder="1" applyAlignment="1">
      <alignment vertical="top"/>
    </xf>
    <xf numFmtId="3" fontId="0" fillId="0" borderId="73" xfId="0" applyNumberFormat="1" applyBorder="1" applyAlignment="1">
      <alignment vertical="top"/>
    </xf>
    <xf numFmtId="0" fontId="28" fillId="13" borderId="3" xfId="0" applyFont="1" applyFill="1" applyBorder="1" applyAlignment="1">
      <alignment horizontal="center" vertical="top" wrapText="1"/>
    </xf>
    <xf numFmtId="0" fontId="2" fillId="0" borderId="3" xfId="0" applyFont="1" applyBorder="1" applyAlignment="1">
      <alignment horizontal="left" vertical="top"/>
    </xf>
    <xf numFmtId="0" fontId="27" fillId="0" borderId="0" xfId="0" applyFont="1"/>
    <xf numFmtId="0" fontId="27" fillId="0" borderId="3" xfId="0" applyFont="1" applyBorder="1" applyAlignment="1">
      <alignment horizontal="left" vertical="top"/>
    </xf>
    <xf numFmtId="0" fontId="27" fillId="0" borderId="3" xfId="0" applyFont="1" applyBorder="1"/>
    <xf numFmtId="49" fontId="12" fillId="4" borderId="7" xfId="0" applyNumberFormat="1" applyFont="1" applyFill="1" applyBorder="1" applyAlignment="1">
      <alignment horizontal="center" vertical="top" wrapText="1"/>
    </xf>
    <xf numFmtId="0" fontId="19" fillId="14" borderId="1" xfId="0" applyFont="1" applyFill="1" applyBorder="1" applyAlignment="1" applyProtection="1">
      <alignment horizontal="left" vertical="top" wrapText="1"/>
      <protection locked="0"/>
    </xf>
    <xf numFmtId="0" fontId="19" fillId="14" borderId="3" xfId="0" applyFont="1" applyFill="1" applyBorder="1" applyAlignment="1" applyProtection="1">
      <alignment horizontal="left" vertical="top" wrapText="1"/>
      <protection locked="0"/>
    </xf>
    <xf numFmtId="0" fontId="54" fillId="11" borderId="1" xfId="0" applyFont="1" applyFill="1" applyBorder="1" applyAlignment="1" applyProtection="1">
      <alignment horizontal="left" vertical="top" wrapText="1"/>
      <protection locked="0"/>
    </xf>
    <xf numFmtId="0" fontId="54" fillId="11" borderId="1" xfId="0" applyFont="1" applyFill="1" applyBorder="1" applyAlignment="1" applyProtection="1">
      <alignment horizontal="left" vertical="center" wrapText="1" indent="1"/>
      <protection locked="0"/>
    </xf>
    <xf numFmtId="3" fontId="56" fillId="0" borderId="3" xfId="0" applyNumberFormat="1" applyFont="1" applyBorder="1"/>
    <xf numFmtId="3" fontId="57" fillId="0" borderId="3" xfId="0" applyNumberFormat="1" applyFont="1" applyBorder="1" applyAlignment="1">
      <alignment horizontal="right" vertical="center"/>
    </xf>
    <xf numFmtId="9" fontId="57" fillId="0" borderId="3" xfId="0" applyNumberFormat="1" applyFont="1" applyBorder="1" applyAlignment="1">
      <alignment horizontal="right" vertical="center"/>
    </xf>
    <xf numFmtId="0" fontId="57" fillId="0" borderId="3" xfId="0" applyFont="1" applyBorder="1" applyAlignment="1">
      <alignment horizontal="right" vertical="center"/>
    </xf>
    <xf numFmtId="0" fontId="2" fillId="0" borderId="3" xfId="0" applyFont="1" applyBorder="1" applyAlignment="1">
      <alignment vertical="center"/>
    </xf>
    <xf numFmtId="3" fontId="42" fillId="0" borderId="3" xfId="0" applyNumberFormat="1" applyFont="1" applyBorder="1" applyAlignment="1">
      <alignment horizontal="right" vertical="top" wrapText="1"/>
    </xf>
    <xf numFmtId="3" fontId="46" fillId="0" borderId="3" xfId="0" applyNumberFormat="1" applyFont="1" applyBorder="1" applyAlignment="1">
      <alignment vertical="top"/>
    </xf>
    <xf numFmtId="0" fontId="46" fillId="0" borderId="3" xfId="0" applyFont="1" applyBorder="1" applyAlignment="1">
      <alignment vertical="top"/>
    </xf>
    <xf numFmtId="9" fontId="43" fillId="0" borderId="3" xfId="0" applyNumberFormat="1" applyFont="1" applyBorder="1" applyAlignment="1">
      <alignment horizontal="right" vertical="top" wrapText="1"/>
    </xf>
    <xf numFmtId="0" fontId="40" fillId="17" borderId="3" xfId="0" applyFont="1" applyFill="1" applyBorder="1" applyAlignment="1">
      <alignment horizontal="left" vertical="top" wrapText="1"/>
    </xf>
    <xf numFmtId="0" fontId="42" fillId="17" borderId="3" xfId="0" applyFont="1" applyFill="1" applyBorder="1" applyAlignment="1">
      <alignment horizontal="center" vertical="top" wrapText="1"/>
    </xf>
    <xf numFmtId="3" fontId="42" fillId="17" borderId="3" xfId="0" applyNumberFormat="1" applyFont="1" applyFill="1" applyBorder="1" applyAlignment="1">
      <alignment horizontal="right" vertical="top" wrapText="1"/>
    </xf>
    <xf numFmtId="9" fontId="42" fillId="17" borderId="3" xfId="0" applyNumberFormat="1" applyFont="1" applyFill="1" applyBorder="1" applyAlignment="1">
      <alignment horizontal="right" vertical="top" wrapText="1"/>
    </xf>
    <xf numFmtId="0" fontId="2" fillId="0" borderId="3" xfId="0" applyFont="1" applyBorder="1" applyAlignment="1">
      <alignment vertical="center" wrapText="1"/>
    </xf>
    <xf numFmtId="3" fontId="20" fillId="11" borderId="22" xfId="0" quotePrefix="1" applyNumberFormat="1" applyFont="1" applyFill="1" applyBorder="1" applyAlignment="1" applyProtection="1">
      <alignment vertical="top"/>
      <protection locked="0"/>
    </xf>
    <xf numFmtId="3" fontId="20" fillId="11" borderId="2" xfId="0" quotePrefix="1" applyNumberFormat="1" applyFont="1" applyFill="1" applyBorder="1" applyAlignment="1" applyProtection="1">
      <alignment vertical="top"/>
      <protection locked="0"/>
    </xf>
    <xf numFmtId="3" fontId="20" fillId="11" borderId="14" xfId="0" quotePrefix="1" applyNumberFormat="1" applyFont="1" applyFill="1" applyBorder="1" applyAlignment="1" applyProtection="1">
      <alignment vertical="top"/>
      <protection locked="0"/>
    </xf>
    <xf numFmtId="0" fontId="60" fillId="0" borderId="3" xfId="0" applyFont="1" applyBorder="1" applyAlignment="1">
      <alignment horizontal="left" vertical="top" wrapText="1"/>
    </xf>
    <xf numFmtId="0" fontId="61" fillId="0" borderId="0" xfId="0" applyFont="1" applyAlignment="1">
      <alignment vertical="center" wrapText="1"/>
    </xf>
    <xf numFmtId="0" fontId="60" fillId="0" borderId="3" xfId="0" applyFont="1" applyBorder="1" applyAlignment="1">
      <alignment horizontal="left" vertical="top"/>
    </xf>
    <xf numFmtId="0" fontId="60" fillId="0" borderId="3" xfId="0" applyFont="1" applyBorder="1" applyAlignment="1">
      <alignment horizontal="center" vertical="top"/>
    </xf>
    <xf numFmtId="3" fontId="60" fillId="0" borderId="3" xfId="0" applyNumberFormat="1" applyFont="1" applyBorder="1" applyAlignment="1">
      <alignment horizontal="right" vertical="top"/>
    </xf>
    <xf numFmtId="0" fontId="61" fillId="0" borderId="3" xfId="0" applyFont="1" applyBorder="1" applyAlignment="1">
      <alignment horizontal="left" vertical="top"/>
    </xf>
    <xf numFmtId="0" fontId="50" fillId="0" borderId="0" xfId="0" applyFont="1" applyAlignment="1">
      <alignment vertical="top" wrapText="1"/>
    </xf>
    <xf numFmtId="0" fontId="2" fillId="15" borderId="0" xfId="0" applyFont="1" applyFill="1"/>
    <xf numFmtId="3" fontId="2" fillId="0" borderId="0" xfId="0" applyNumberFormat="1" applyFont="1" applyAlignment="1">
      <alignment vertical="top"/>
    </xf>
    <xf numFmtId="0" fontId="61" fillId="0" borderId="3" xfId="0" applyFont="1" applyBorder="1" applyAlignment="1">
      <alignment vertical="center" wrapText="1"/>
    </xf>
    <xf numFmtId="0" fontId="54" fillId="11" borderId="3" xfId="0" applyFont="1" applyFill="1" applyBorder="1" applyAlignment="1" applyProtection="1">
      <alignment horizontal="left" vertical="top" wrapText="1"/>
      <protection locked="0"/>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5" xfId="0" applyBorder="1" applyAlignment="1">
      <alignment horizontal="center" vertical="top" wrapText="1"/>
    </xf>
    <xf numFmtId="0" fontId="3" fillId="0" borderId="71"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72" xfId="0" applyFont="1" applyBorder="1" applyAlignment="1">
      <alignment horizontal="left" vertical="top" wrapText="1"/>
    </xf>
    <xf numFmtId="0" fontId="0" fillId="0" borderId="57" xfId="0" applyBorder="1" applyAlignment="1">
      <alignment vertical="top"/>
    </xf>
    <xf numFmtId="0" fontId="0" fillId="0" borderId="58" xfId="0" applyBorder="1" applyAlignment="1">
      <alignment vertical="top"/>
    </xf>
    <xf numFmtId="1" fontId="1" fillId="4" borderId="93" xfId="0" applyNumberFormat="1" applyFont="1" applyFill="1" applyBorder="1" applyAlignment="1">
      <alignment horizontal="center" vertical="top" wrapText="1"/>
    </xf>
    <xf numFmtId="0" fontId="1" fillId="0" borderId="94" xfId="0" applyFont="1" applyBorder="1" applyAlignment="1">
      <alignment horizontal="center" vertical="top" wrapText="1"/>
    </xf>
    <xf numFmtId="0" fontId="1" fillId="0" borderId="92" xfId="0" applyFont="1" applyBorder="1" applyAlignment="1">
      <alignment horizontal="center" vertical="top" wrapText="1"/>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9" xfId="0" applyFont="1" applyFill="1" applyBorder="1" applyAlignment="1">
      <alignment vertical="top" wrapText="1"/>
    </xf>
    <xf numFmtId="0" fontId="2" fillId="2" borderId="70"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9" xfId="0" applyFill="1" applyBorder="1" applyAlignment="1">
      <alignment vertical="top" wrapText="1"/>
    </xf>
    <xf numFmtId="0" fontId="0" fillId="8" borderId="3" xfId="0" applyFill="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60" xfId="0" applyFont="1" applyBorder="1" applyAlignment="1">
      <alignment horizontal="left" vertical="top" wrapText="1"/>
    </xf>
    <xf numFmtId="0" fontId="3" fillId="0" borderId="78" xfId="0" applyFont="1" applyBorder="1" applyAlignment="1">
      <alignment horizontal="left" vertical="top" wrapText="1"/>
    </xf>
    <xf numFmtId="0" fontId="2" fillId="2" borderId="103" xfId="0" applyFont="1" applyFill="1" applyBorder="1" applyAlignment="1">
      <alignment vertical="top" wrapText="1"/>
    </xf>
    <xf numFmtId="0" fontId="2" fillId="2" borderId="104" xfId="0" applyFont="1" applyFill="1" applyBorder="1" applyAlignment="1">
      <alignment vertical="top" wrapText="1"/>
    </xf>
    <xf numFmtId="0" fontId="3" fillId="0" borderId="28" xfId="0" applyFont="1" applyBorder="1" applyAlignment="1">
      <alignment horizontal="left" vertical="top" wrapText="1"/>
    </xf>
    <xf numFmtId="0" fontId="3" fillId="0" borderId="92"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2" fillId="2" borderId="1" xfId="0" applyFont="1" applyFill="1" applyBorder="1" applyAlignment="1">
      <alignment vertical="top" wrapText="1"/>
    </xf>
    <xf numFmtId="0" fontId="0" fillId="2" borderId="6" xfId="0" applyFill="1" applyBorder="1" applyAlignment="1">
      <alignment vertical="top" wrapText="1"/>
    </xf>
    <xf numFmtId="0" fontId="0" fillId="2" borderId="103" xfId="0" applyFill="1" applyBorder="1" applyAlignment="1">
      <alignment vertical="top" wrapText="1"/>
    </xf>
    <xf numFmtId="0" fontId="0" fillId="2" borderId="104" xfId="0" applyFill="1" applyBorder="1" applyAlignment="1">
      <alignment vertical="top" wrapText="1"/>
    </xf>
    <xf numFmtId="0" fontId="30" fillId="6" borderId="84" xfId="0" applyFont="1" applyFill="1" applyBorder="1" applyAlignment="1">
      <alignment horizontal="center" vertical="top" wrapText="1"/>
    </xf>
    <xf numFmtId="0" fontId="30" fillId="6" borderId="87" xfId="0" applyFont="1" applyFill="1" applyBorder="1" applyAlignment="1">
      <alignment horizontal="center" vertical="top" wrapText="1"/>
    </xf>
    <xf numFmtId="0" fontId="30" fillId="6" borderId="85" xfId="0" applyFont="1" applyFill="1" applyBorder="1" applyAlignment="1">
      <alignment horizontal="center" vertical="top"/>
    </xf>
    <xf numFmtId="0" fontId="30" fillId="6" borderId="61" xfId="0" applyFont="1" applyFill="1" applyBorder="1" applyAlignment="1">
      <alignment horizontal="center" vertical="top"/>
    </xf>
    <xf numFmtId="0" fontId="28"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7" xfId="0" applyBorder="1" applyAlignment="1">
      <alignment horizontal="center" vertical="top" wrapText="1"/>
    </xf>
    <xf numFmtId="0" fontId="0" fillId="0" borderId="64" xfId="0" applyBorder="1" applyAlignment="1">
      <alignment horizontal="center" vertical="top" wrapText="1"/>
    </xf>
    <xf numFmtId="0" fontId="28" fillId="6" borderId="86" xfId="0" applyFont="1" applyFill="1" applyBorder="1" applyAlignment="1">
      <alignment horizontal="center" vertical="top" wrapText="1"/>
    </xf>
    <xf numFmtId="0" fontId="28" fillId="6" borderId="67" xfId="0" applyFont="1" applyFill="1" applyBorder="1" applyAlignment="1">
      <alignment horizontal="center" vertical="top" wrapText="1"/>
    </xf>
    <xf numFmtId="0" fontId="0" fillId="0" borderId="0" xfId="0" applyAlignment="1">
      <alignment vertical="top" wrapText="1"/>
    </xf>
    <xf numFmtId="0" fontId="31" fillId="6" borderId="63" xfId="0" applyFont="1" applyFill="1" applyBorder="1" applyAlignment="1">
      <alignment horizontal="center" vertical="top" wrapText="1"/>
    </xf>
    <xf numFmtId="0" fontId="31" fillId="6" borderId="64" xfId="0" applyFont="1" applyFill="1" applyBorder="1" applyAlignment="1">
      <alignment horizontal="center" vertical="top" wrapText="1"/>
    </xf>
    <xf numFmtId="0" fontId="28" fillId="6" borderId="29" xfId="0" applyFont="1" applyFill="1" applyBorder="1" applyAlignment="1">
      <alignment horizontal="center" vertical="top" wrapText="1"/>
    </xf>
    <xf numFmtId="0" fontId="31" fillId="6" borderId="55" xfId="0" applyFont="1" applyFill="1" applyBorder="1" applyAlignment="1">
      <alignment horizontal="center"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horizontal="center" vertical="top"/>
    </xf>
    <xf numFmtId="0" fontId="42" fillId="9" borderId="3" xfId="0" applyFont="1" applyFill="1" applyBorder="1" applyAlignment="1">
      <alignment horizontal="center" vertical="top" wrapText="1"/>
    </xf>
    <xf numFmtId="0" fontId="0" fillId="0" borderId="3" xfId="0" applyBorder="1" applyAlignment="1">
      <alignment horizontal="center" vertical="top" wrapText="1"/>
    </xf>
    <xf numFmtId="0" fontId="42" fillId="17" borderId="3" xfId="0" applyFont="1" applyFill="1" applyBorder="1" applyAlignment="1">
      <alignment horizontal="center" vertical="top" wrapText="1"/>
    </xf>
    <xf numFmtId="0" fontId="42" fillId="9" borderId="3" xfId="0" applyFont="1" applyFill="1" applyBorder="1" applyAlignment="1">
      <alignment horizontal="left" vertical="top" wrapText="1"/>
    </xf>
    <xf numFmtId="3" fontId="43" fillId="0" borderId="45" xfId="0" applyNumberFormat="1" applyFont="1" applyBorder="1" applyAlignment="1">
      <alignment horizontal="left" vertical="top" wrapText="1"/>
    </xf>
    <xf numFmtId="3" fontId="43" fillId="0" borderId="44" xfId="0" applyNumberFormat="1" applyFont="1" applyBorder="1" applyAlignment="1">
      <alignment horizontal="left" vertical="top" wrapText="1"/>
    </xf>
    <xf numFmtId="0" fontId="0" fillId="0" borderId="44" xfId="0" applyBorder="1" applyAlignment="1">
      <alignment vertical="top"/>
    </xf>
    <xf numFmtId="0" fontId="53" fillId="16" borderId="44" xfId="0" applyFont="1" applyFill="1" applyBorder="1" applyAlignment="1">
      <alignment horizontal="center"/>
    </xf>
    <xf numFmtId="0" fontId="31" fillId="13" borderId="21" xfId="0" applyFont="1" applyFill="1" applyBorder="1" applyAlignment="1">
      <alignment horizontal="center" vertical="top" wrapText="1"/>
    </xf>
    <xf numFmtId="0" fontId="31" fillId="13" borderId="1" xfId="0" applyFont="1" applyFill="1" applyBorder="1" applyAlignment="1">
      <alignment horizontal="center" vertical="top" wrapText="1"/>
    </xf>
    <xf numFmtId="0" fontId="50"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52" fillId="4" borderId="11" xfId="0" applyFont="1" applyFill="1" applyBorder="1" applyAlignment="1">
      <alignment horizontal="center" vertical="top" wrapText="1"/>
    </xf>
    <xf numFmtId="0" fontId="52" fillId="4" borderId="21" xfId="0" applyFont="1" applyFill="1" applyBorder="1" applyAlignment="1">
      <alignment horizontal="center" vertical="top" wrapText="1"/>
    </xf>
    <xf numFmtId="0" fontId="52" fillId="4" borderId="1" xfId="0" applyFont="1" applyFill="1" applyBorder="1" applyAlignment="1">
      <alignment horizontal="center" vertical="top" wrapText="1"/>
    </xf>
  </cellXfs>
  <cellStyles count="3">
    <cellStyle name="Good" xfId="1" builtinId="26"/>
    <cellStyle name="Normal" xfId="0" builtinId="0"/>
    <cellStyle name="Normal 2" xfId="2" xr:uid="{25CE4F35-47EA-4770-A2A7-518CA1D95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10517469</c:v>
                </c:pt>
                <c:pt idx="1">
                  <c:v>5288429</c:v>
                </c:pt>
                <c:pt idx="2">
                  <c:v>461913</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6492889</c:v>
                </c:pt>
                <c:pt idx="1">
                  <c:v>5585623</c:v>
                </c:pt>
                <c:pt idx="2">
                  <c:v>461913</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10294989</c:v>
                </c:pt>
                <c:pt idx="1">
                  <c:v>4250963</c:v>
                </c:pt>
                <c:pt idx="2">
                  <c:v>1713860</c:v>
                </c:pt>
                <c:pt idx="3">
                  <c:v>4000</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6435965</c:v>
                </c:pt>
                <c:pt idx="1">
                  <c:v>4454999</c:v>
                </c:pt>
                <c:pt idx="2">
                  <c:v>1641461</c:v>
                </c:pt>
                <c:pt idx="3">
                  <c:v>4000</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Andmeturve</c:v>
                </c:pt>
                <c:pt idx="1">
                  <c:v>Arvutigraafika</c:v>
                </c:pt>
                <c:pt idx="2">
                  <c:v>Juhtimine</c:v>
                </c:pt>
                <c:pt idx="3">
                  <c:v>Konsultandid</c:v>
                </c:pt>
                <c:pt idx="4">
                  <c:v>Projektijuhtimine</c:v>
                </c:pt>
                <c:pt idx="5">
                  <c:v>Süsteemiadministratsioon</c:v>
                </c:pt>
                <c:pt idx="6">
                  <c:v>Süsteemianalüüs</c:v>
                </c:pt>
                <c:pt idx="7">
                  <c:v>Süsteemiarhitektuur</c:v>
                </c:pt>
                <c:pt idx="8">
                  <c:v>Tarkvara programmeerimine</c:v>
                </c:pt>
                <c:pt idx="9">
                  <c:v>Teenuste tugi</c:v>
                </c:pt>
                <c:pt idx="10">
                  <c:v>Testimine</c:v>
                </c:pt>
              </c:strCache>
            </c:strRef>
          </c:cat>
          <c:val>
            <c:numRef>
              <c:f>'Ettekande arvutused'!$F$72:$F$82</c:f>
              <c:numCache>
                <c:formatCode>#,##0</c:formatCode>
                <c:ptCount val="11"/>
                <c:pt idx="0">
                  <c:v>2</c:v>
                </c:pt>
                <c:pt idx="1">
                  <c:v>0</c:v>
                </c:pt>
                <c:pt idx="2">
                  <c:v>6</c:v>
                </c:pt>
                <c:pt idx="3">
                  <c:v>1</c:v>
                </c:pt>
                <c:pt idx="4">
                  <c:v>16</c:v>
                </c:pt>
                <c:pt idx="5">
                  <c:v>11</c:v>
                </c:pt>
                <c:pt idx="6">
                  <c:v>60</c:v>
                </c:pt>
                <c:pt idx="7">
                  <c:v>2</c:v>
                </c:pt>
                <c:pt idx="8">
                  <c:v>3</c:v>
                </c:pt>
                <c:pt idx="9">
                  <c:v>11</c:v>
                </c:pt>
                <c:pt idx="10">
                  <c:v>4</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Andmeturve</c:v>
                </c:pt>
                <c:pt idx="1">
                  <c:v>Arvutigraafika</c:v>
                </c:pt>
                <c:pt idx="2">
                  <c:v>Juhtimine</c:v>
                </c:pt>
                <c:pt idx="3">
                  <c:v>Konsultandid</c:v>
                </c:pt>
                <c:pt idx="4">
                  <c:v>Projektijuhtimine</c:v>
                </c:pt>
                <c:pt idx="5">
                  <c:v>Süsteemiadministratsioon</c:v>
                </c:pt>
                <c:pt idx="6">
                  <c:v>Süsteemianalüüs</c:v>
                </c:pt>
                <c:pt idx="7">
                  <c:v>Süsteemiarhitektuur</c:v>
                </c:pt>
                <c:pt idx="8">
                  <c:v>Tarkvara programmeerimine</c:v>
                </c:pt>
                <c:pt idx="9">
                  <c:v>Teenuste tugi</c:v>
                </c:pt>
                <c:pt idx="10">
                  <c:v>Testimine</c:v>
                </c:pt>
              </c:strCache>
            </c:strRef>
          </c:cat>
          <c:val>
            <c:numRef>
              <c:f>'Ettekande arvutused'!$G$72:$G$82</c:f>
              <c:numCache>
                <c:formatCode>#,##0</c:formatCode>
                <c:ptCount val="11"/>
                <c:pt idx="0">
                  <c:v>0</c:v>
                </c:pt>
                <c:pt idx="1">
                  <c:v>0</c:v>
                </c:pt>
                <c:pt idx="2">
                  <c:v>0</c:v>
                </c:pt>
                <c:pt idx="3">
                  <c:v>1</c:v>
                </c:pt>
                <c:pt idx="4">
                  <c:v>1</c:v>
                </c:pt>
                <c:pt idx="5">
                  <c:v>0</c:v>
                </c:pt>
                <c:pt idx="6">
                  <c:v>6</c:v>
                </c:pt>
                <c:pt idx="7">
                  <c:v>2</c:v>
                </c:pt>
                <c:pt idx="8">
                  <c:v>2</c:v>
                </c:pt>
                <c:pt idx="9">
                  <c:v>0</c:v>
                </c:pt>
                <c:pt idx="10">
                  <c:v>0</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8679599</c:v>
                </c:pt>
                <c:pt idx="1">
                  <c:v>3610431</c:v>
                </c:pt>
                <c:pt idx="2">
                  <c:v>1587528</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6661579</c:v>
                </c:pt>
                <c:pt idx="1">
                  <c:v>4315079</c:v>
                </c:pt>
                <c:pt idx="2">
                  <c:v>2896900</c:v>
                </c:pt>
                <c:pt idx="3">
                  <c:v>4000</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arvutused'!$C$70:$E$70</c15:sqref>
                  </c15:fullRef>
                </c:ext>
              </c:extLst>
              <c:f>'Ettekande arvutused'!$C$70:$D$70</c:f>
              <c:strCache>
                <c:ptCount val="2"/>
                <c:pt idx="0">
                  <c:v>Täidetud/olemas</c:v>
                </c:pt>
                <c:pt idx="1">
                  <c:v>Täitmata</c:v>
                </c:pt>
              </c:strCache>
            </c:strRef>
          </c:cat>
          <c:val>
            <c:numRef>
              <c:extLst>
                <c:ext xmlns:c15="http://schemas.microsoft.com/office/drawing/2012/chart" uri="{02D57815-91ED-43cb-92C2-25804820EDAC}">
                  <c15:fullRef>
                    <c15:sqref>'Ettekande arvutused'!$C$71:$E$71</c15:sqref>
                  </c15:fullRef>
                </c:ext>
              </c:extLst>
              <c:f>'Ettekande arvutused'!$C$71:$D$71</c:f>
              <c:numCache>
                <c:formatCode>#,##0</c:formatCode>
                <c:ptCount val="2"/>
                <c:pt idx="0">
                  <c:v>100</c:v>
                </c:pt>
                <c:pt idx="1">
                  <c:v>16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116</c:v>
                </c:pt>
                <c:pt idx="1">
                  <c:v>12</c:v>
                </c:pt>
                <c:pt idx="2">
                  <c:v>128</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4"/>
            <c:marker>
              <c:symbol val="circle"/>
              <c:size val="5"/>
              <c:spPr>
                <a:solidFill>
                  <a:schemeClr val="accent1"/>
                </a:solidFill>
                <a:ln w="9525">
                  <a:solidFill>
                    <a:schemeClr val="accent1"/>
                  </a:solidFill>
                </a:ln>
                <a:effectLst/>
              </c:spPr>
            </c:marker>
            <c:bubble3D val="0"/>
            <c:spPr>
              <a:ln w="28575" cap="rnd">
                <a:solidFill>
                  <a:schemeClr val="accent5">
                    <a:lumMod val="60000"/>
                    <a:lumOff val="40000"/>
                  </a:schemeClr>
                </a:solidFill>
                <a:round/>
              </a:ln>
              <a:effectLst/>
            </c:spPr>
            <c:extLst>
              <c:ext xmlns:c16="http://schemas.microsoft.com/office/drawing/2014/chart" uri="{C3380CC4-5D6E-409C-BE32-E72D297353CC}">
                <c16:uniqueId val="{00000002-A81F-4382-894E-570B0E0F2895}"/>
              </c:ext>
            </c:extLst>
          </c:dPt>
          <c:dPt>
            <c:idx val="5"/>
            <c:marker>
              <c:symbol val="circle"/>
              <c:size val="5"/>
              <c:spPr>
                <a:solidFill>
                  <a:schemeClr val="accent1"/>
                </a:solidFill>
                <a:ln w="9525">
                  <a:solidFill>
                    <a:schemeClr val="accent1"/>
                  </a:solidFill>
                </a:ln>
                <a:effectLst/>
              </c:spPr>
            </c:marker>
            <c:bubble3D val="0"/>
            <c:spPr>
              <a:ln w="28575" cap="rnd">
                <a:solidFill>
                  <a:schemeClr val="accent5">
                    <a:lumMod val="60000"/>
                    <a:lumOff val="40000"/>
                  </a:schemeClr>
                </a:solidFill>
                <a:round/>
              </a:ln>
              <a:effectLst/>
            </c:spPr>
            <c:extLst>
              <c:ext xmlns:c16="http://schemas.microsoft.com/office/drawing/2014/chart" uri="{C3380CC4-5D6E-409C-BE32-E72D297353CC}">
                <c16:uniqueId val="{00000001-A81F-4382-894E-570B0E0F2895}"/>
              </c:ext>
            </c:extLst>
          </c:dPt>
          <c:dPt>
            <c:idx val="6"/>
            <c:marker>
              <c:symbol val="circle"/>
              <c:size val="5"/>
              <c:spPr>
                <a:solidFill>
                  <a:schemeClr val="accent1"/>
                </a:solidFill>
                <a:ln w="9525">
                  <a:solidFill>
                    <a:schemeClr val="accent1"/>
                  </a:solidFill>
                </a:ln>
                <a:effectLst/>
              </c:spPr>
            </c:marker>
            <c:bubble3D val="0"/>
            <c:spPr>
              <a:ln w="28575" cap="rnd">
                <a:solidFill>
                  <a:schemeClr val="accent1">
                    <a:lumMod val="40000"/>
                    <a:lumOff val="60000"/>
                  </a:schemeClr>
                </a:solidFill>
                <a:round/>
              </a:ln>
              <a:effectLst/>
            </c:spPr>
            <c:extLst>
              <c:ext xmlns:c16="http://schemas.microsoft.com/office/drawing/2014/chart" uri="{C3380CC4-5D6E-409C-BE32-E72D297353CC}">
                <c16:uniqueId val="{00000000-A81F-4382-894E-570B0E0F2895}"/>
              </c:ext>
            </c:extLst>
          </c:dPt>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85</c:v>
                </c:pt>
                <c:pt idx="1">
                  <c:v>89</c:v>
                </c:pt>
                <c:pt idx="2">
                  <c:v>100</c:v>
                </c:pt>
                <c:pt idx="3">
                  <c:v>116</c:v>
                </c:pt>
                <c:pt idx="4">
                  <c:v>124.12</c:v>
                </c:pt>
                <c:pt idx="5">
                  <c:v>130.32600000000002</c:v>
                </c:pt>
                <c:pt idx="6">
                  <c:v>134.23578000000003</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4"/>
            <c:marker>
              <c:symbol val="circle"/>
              <c:size val="5"/>
              <c:spPr>
                <a:solidFill>
                  <a:schemeClr val="accent2"/>
                </a:solidFill>
                <a:ln w="9525">
                  <a:solidFill>
                    <a:schemeClr val="accent2"/>
                  </a:solidFill>
                </a:ln>
                <a:effectLst/>
              </c:spPr>
            </c:marker>
            <c:bubble3D val="0"/>
            <c:spPr>
              <a:ln w="28575" cap="rnd">
                <a:solidFill>
                  <a:schemeClr val="accent2">
                    <a:lumMod val="40000"/>
                    <a:lumOff val="60000"/>
                  </a:schemeClr>
                </a:solidFill>
                <a:round/>
              </a:ln>
              <a:effectLst/>
            </c:spPr>
            <c:extLst>
              <c:ext xmlns:c16="http://schemas.microsoft.com/office/drawing/2014/chart" uri="{C3380CC4-5D6E-409C-BE32-E72D297353CC}">
                <c16:uniqueId val="{00000005-A81F-4382-894E-570B0E0F2895}"/>
              </c:ext>
            </c:extLst>
          </c:dPt>
          <c:dPt>
            <c:idx val="5"/>
            <c:marker>
              <c:symbol val="circle"/>
              <c:size val="5"/>
              <c:spPr>
                <a:solidFill>
                  <a:schemeClr val="accent2"/>
                </a:solidFill>
                <a:ln w="9525">
                  <a:solidFill>
                    <a:schemeClr val="accent2"/>
                  </a:solidFill>
                </a:ln>
                <a:effectLst/>
              </c:spPr>
            </c:marker>
            <c:bubble3D val="0"/>
            <c:spPr>
              <a:ln w="28575" cap="rnd">
                <a:solidFill>
                  <a:schemeClr val="accent2">
                    <a:lumMod val="40000"/>
                    <a:lumOff val="60000"/>
                  </a:schemeClr>
                </a:solidFill>
                <a:round/>
              </a:ln>
              <a:effectLst/>
            </c:spPr>
            <c:extLst>
              <c:ext xmlns:c16="http://schemas.microsoft.com/office/drawing/2014/chart" uri="{C3380CC4-5D6E-409C-BE32-E72D297353CC}">
                <c16:uniqueId val="{00000004-A81F-4382-894E-570B0E0F2895}"/>
              </c:ext>
            </c:extLst>
          </c:dPt>
          <c:dPt>
            <c:idx val="6"/>
            <c:marker>
              <c:symbol val="circle"/>
              <c:size val="5"/>
              <c:spPr>
                <a:solidFill>
                  <a:schemeClr val="accent2"/>
                </a:solidFill>
                <a:ln w="9525">
                  <a:solidFill>
                    <a:schemeClr val="accent2"/>
                  </a:solidFill>
                </a:ln>
                <a:effectLst/>
              </c:spPr>
            </c:marker>
            <c:bubble3D val="0"/>
            <c:spPr>
              <a:ln w="28575" cap="rnd">
                <a:solidFill>
                  <a:schemeClr val="accent2">
                    <a:lumMod val="40000"/>
                    <a:lumOff val="60000"/>
                  </a:schemeClr>
                </a:solidFill>
                <a:round/>
              </a:ln>
              <a:effectLst/>
            </c:spPr>
            <c:extLst>
              <c:ext xmlns:c16="http://schemas.microsoft.com/office/drawing/2014/chart" uri="{C3380CC4-5D6E-409C-BE32-E72D297353CC}">
                <c16:uniqueId val="{00000003-A81F-4382-894E-570B0E0F2895}"/>
              </c:ext>
            </c:extLst>
          </c:dPt>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4.7058823529411882</c:v>
                </c:pt>
                <c:pt idx="2">
                  <c:v>12.359550561797761</c:v>
                </c:pt>
                <c:pt idx="3">
                  <c:v>15.999999999999986</c:v>
                </c:pt>
                <c:pt idx="4">
                  <c:v>7</c:v>
                </c:pt>
                <c:pt idx="5">
                  <c:v>5</c:v>
                </c:pt>
                <c:pt idx="6">
                  <c:v>3</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in val="8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'Ettekande arvutused'!$C$115</c:f>
              <c:strCache>
                <c:ptCount val="1"/>
                <c:pt idx="0">
                  <c:v>Täitmata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4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'Ettekande arvutused'!$B$114:$C$114</c:f>
              <c:numCache>
                <c:formatCode>General</c:formatCode>
                <c:ptCount val="2"/>
                <c:pt idx="0">
                  <c:v>2023</c:v>
                </c:pt>
              </c:numCache>
            </c:numRef>
          </c:cat>
          <c:val>
            <c:numRef>
              <c:f>'Ettekande arvutused'!$C$116</c:f>
              <c:numCache>
                <c:formatCode>#,##0</c:formatCode>
                <c:ptCount val="1"/>
                <c:pt idx="0">
                  <c:v>16</c:v>
                </c:pt>
              </c:numCache>
            </c:numRef>
          </c:val>
          <c:extLst>
            <c:ext xmlns:c16="http://schemas.microsoft.com/office/drawing/2014/chart" uri="{C3380CC4-5D6E-409C-BE32-E72D297353CC}">
              <c16:uniqueId val="{00000000-3C90-4807-B81B-D38498D8971C}"/>
            </c:ext>
          </c:extLst>
        </c:ser>
        <c:ser>
          <c:idx val="1"/>
          <c:order val="1"/>
          <c:tx>
            <c:strRef>
              <c:f>'Ettekande arvutused'!$B$115</c:f>
              <c:strCache>
                <c:ptCount val="1"/>
                <c:pt idx="0">
                  <c:v>Kokku</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4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'Ettekande arvutused'!$B$114:$C$114</c:f>
              <c:numCache>
                <c:formatCode>General</c:formatCode>
                <c:ptCount val="2"/>
                <c:pt idx="0">
                  <c:v>2023</c:v>
                </c:pt>
              </c:numCache>
            </c:numRef>
          </c:cat>
          <c:val>
            <c:numRef>
              <c:f>'Ettekande arvutused'!$B$116</c:f>
              <c:numCache>
                <c:formatCode>#,##0</c:formatCode>
                <c:ptCount val="1"/>
                <c:pt idx="0">
                  <c:v>116</c:v>
                </c:pt>
              </c:numCache>
            </c:numRef>
          </c:val>
          <c:extLst>
            <c:ext xmlns:c16="http://schemas.microsoft.com/office/drawing/2014/chart" uri="{C3380CC4-5D6E-409C-BE32-E72D297353CC}">
              <c16:uniqueId val="{00000001-3C90-4807-B81B-D38498D8971C}"/>
            </c:ext>
          </c:extLst>
        </c:ser>
        <c:dLbls>
          <c:dLblPos val="ctr"/>
          <c:showLegendKey val="0"/>
          <c:showVal val="1"/>
          <c:showCatName val="0"/>
          <c:showSerName val="0"/>
          <c:showPercent val="0"/>
          <c:showBubbleSize val="0"/>
        </c:dLbls>
        <c:gapWidth val="0"/>
        <c:overlap val="100"/>
        <c:axId val="184667599"/>
        <c:axId val="184667119"/>
      </c:barChart>
      <c:catAx>
        <c:axId val="184667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lgn="ctr">
              <a:defRPr lang="en-US" sz="1600" b="0" i="0" u="none" strike="noStrike" kern="1200" cap="all" spc="120" normalizeH="0" baseline="0">
                <a:solidFill>
                  <a:schemeClr val="tx1"/>
                </a:solidFill>
                <a:latin typeface="+mn-lt"/>
                <a:ea typeface="+mn-ea"/>
                <a:cs typeface="+mn-cs"/>
              </a:defRPr>
            </a:pPr>
            <a:endParaRPr lang="et-EE"/>
          </a:p>
        </c:txPr>
        <c:crossAx val="184667119"/>
        <c:crosses val="autoZero"/>
        <c:auto val="1"/>
        <c:lblAlgn val="ctr"/>
        <c:lblOffset val="100"/>
        <c:noMultiLvlLbl val="0"/>
      </c:catAx>
      <c:valAx>
        <c:axId val="184667119"/>
        <c:scaling>
          <c:orientation val="minMax"/>
        </c:scaling>
        <c:delete val="1"/>
        <c:axPos val="b"/>
        <c:numFmt formatCode="#,##0" sourceLinked="1"/>
        <c:majorTickMark val="none"/>
        <c:minorTickMark val="none"/>
        <c:tickLblPos val="nextTo"/>
        <c:crossAx val="184667599"/>
        <c:crosses val="autoZero"/>
        <c:crossBetween val="between"/>
      </c:valAx>
      <c:spPr>
        <a:noFill/>
        <a:ln>
          <a:solidFill>
            <a:schemeClr val="bg1"/>
          </a:solid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'Ettekande arvutused'!$C$115</c:f>
              <c:strCache>
                <c:ptCount val="1"/>
                <c:pt idx="0">
                  <c:v>Täitmata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400" b="0" i="0" u="none" strike="noStrike" kern="1200" baseline="0">
                    <a:solidFill>
                      <a:schemeClr val="tx1"/>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'Ettekande arvutused'!$D$114:$E$114</c:f>
              <c:numCache>
                <c:formatCode>General</c:formatCode>
                <c:ptCount val="2"/>
                <c:pt idx="0">
                  <c:v>2024</c:v>
                </c:pt>
              </c:numCache>
            </c:numRef>
          </c:cat>
          <c:val>
            <c:numRef>
              <c:f>'Ettekande arvutused'!$E$116</c:f>
              <c:numCache>
                <c:formatCode>#,##0</c:formatCode>
                <c:ptCount val="1"/>
                <c:pt idx="0">
                  <c:v>12</c:v>
                </c:pt>
              </c:numCache>
            </c:numRef>
          </c:val>
          <c:extLst>
            <c:ext xmlns:c16="http://schemas.microsoft.com/office/drawing/2014/chart" uri="{C3380CC4-5D6E-409C-BE32-E72D297353CC}">
              <c16:uniqueId val="{00000000-F436-4D66-9B5A-5A19989E87E1}"/>
            </c:ext>
          </c:extLst>
        </c:ser>
        <c:ser>
          <c:idx val="1"/>
          <c:order val="1"/>
          <c:tx>
            <c:strRef>
              <c:f>'Ettekande arvutused'!$B$115</c:f>
              <c:strCache>
                <c:ptCount val="1"/>
                <c:pt idx="0">
                  <c:v>Kokku</c:v>
                </c:pt>
              </c:strCache>
            </c:strRef>
          </c:tx>
          <c:spPr>
            <a:solidFill>
              <a:schemeClr val="accent1">
                <a:lumMod val="40000"/>
                <a:lumOff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36-4D66-9B5A-5A19989E87E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t-EE"/>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'Ettekande arvutused'!$D$114:$E$114</c:f>
              <c:numCache>
                <c:formatCode>General</c:formatCode>
                <c:ptCount val="2"/>
                <c:pt idx="0">
                  <c:v>2024</c:v>
                </c:pt>
              </c:numCache>
            </c:numRef>
          </c:cat>
          <c:val>
            <c:numRef>
              <c:f>'Ettekande arvutused'!$D$116</c:f>
              <c:numCache>
                <c:formatCode>#,##0</c:formatCode>
                <c:ptCount val="1"/>
                <c:pt idx="0">
                  <c:v>128</c:v>
                </c:pt>
              </c:numCache>
            </c:numRef>
          </c:val>
          <c:extLst>
            <c:ext xmlns:c16="http://schemas.microsoft.com/office/drawing/2014/chart" uri="{C3380CC4-5D6E-409C-BE32-E72D297353CC}">
              <c16:uniqueId val="{00000001-F436-4D66-9B5A-5A19989E87E1}"/>
            </c:ext>
          </c:extLst>
        </c:ser>
        <c:dLbls>
          <c:dLblPos val="ctr"/>
          <c:showLegendKey val="0"/>
          <c:showVal val="1"/>
          <c:showCatName val="0"/>
          <c:showSerName val="0"/>
          <c:showPercent val="0"/>
          <c:showBubbleSize val="0"/>
        </c:dLbls>
        <c:gapWidth val="0"/>
        <c:overlap val="100"/>
        <c:axId val="184667599"/>
        <c:axId val="184667119"/>
      </c:barChart>
      <c:catAx>
        <c:axId val="184667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lgn="ctr">
              <a:defRPr lang="en-US" sz="1600" b="0" i="0" u="none" strike="noStrike" kern="1200" cap="all" spc="120" normalizeH="0" baseline="0">
                <a:solidFill>
                  <a:schemeClr val="tx1"/>
                </a:solidFill>
                <a:latin typeface="+mn-lt"/>
                <a:ea typeface="+mn-ea"/>
                <a:cs typeface="+mn-cs"/>
              </a:defRPr>
            </a:pPr>
            <a:endParaRPr lang="et-EE"/>
          </a:p>
        </c:txPr>
        <c:crossAx val="184667119"/>
        <c:crosses val="autoZero"/>
        <c:auto val="1"/>
        <c:lblAlgn val="ctr"/>
        <c:lblOffset val="100"/>
        <c:noMultiLvlLbl val="0"/>
      </c:catAx>
      <c:valAx>
        <c:axId val="184667119"/>
        <c:scaling>
          <c:orientation val="minMax"/>
        </c:scaling>
        <c:delete val="1"/>
        <c:axPos val="b"/>
        <c:numFmt formatCode="#,##0" sourceLinked="1"/>
        <c:majorTickMark val="none"/>
        <c:minorTickMark val="none"/>
        <c:tickLblPos val="nextTo"/>
        <c:crossAx val="184667599"/>
        <c:crosses val="autoZero"/>
        <c:crossBetween val="between"/>
      </c:valAx>
      <c:spPr>
        <a:noFill/>
        <a:ln>
          <a:solidFill>
            <a:schemeClr val="bg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484514</xdr:colOff>
      <xdr:row>67</xdr:row>
      <xdr:rowOff>16902</xdr:rowOff>
    </xdr:from>
    <xdr:to>
      <xdr:col>24</xdr:col>
      <xdr:colOff>150346</xdr:colOff>
      <xdr:row>86</xdr:row>
      <xdr:rowOff>28015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588869</xdr:colOff>
      <xdr:row>49</xdr:row>
      <xdr:rowOff>58086</xdr:rowOff>
    </xdr:from>
    <xdr:to>
      <xdr:col>21</xdr:col>
      <xdr:colOff>537322</xdr:colOff>
      <xdr:row>64</xdr:row>
      <xdr:rowOff>22412</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930088</xdr:colOff>
      <xdr:row>109</xdr:row>
      <xdr:rowOff>44823</xdr:rowOff>
    </xdr:from>
    <xdr:to>
      <xdr:col>11</xdr:col>
      <xdr:colOff>347382</xdr:colOff>
      <xdr:row>114</xdr:row>
      <xdr:rowOff>145674</xdr:rowOff>
    </xdr:to>
    <xdr:graphicFrame macro="">
      <xdr:nvGraphicFramePr>
        <xdr:cNvPr id="3" name="Chart 2">
          <a:extLst>
            <a:ext uri="{FF2B5EF4-FFF2-40B4-BE49-F238E27FC236}">
              <a16:creationId xmlns:a16="http://schemas.microsoft.com/office/drawing/2014/main" id="{56758942-0853-4A6C-46A9-D5C6B8D03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930088</xdr:colOff>
      <xdr:row>117</xdr:row>
      <xdr:rowOff>0</xdr:rowOff>
    </xdr:from>
    <xdr:to>
      <xdr:col>11</xdr:col>
      <xdr:colOff>347382</xdr:colOff>
      <xdr:row>120</xdr:row>
      <xdr:rowOff>67232</xdr:rowOff>
    </xdr:to>
    <xdr:graphicFrame macro="">
      <xdr:nvGraphicFramePr>
        <xdr:cNvPr id="4" name="Chart 3">
          <a:extLst>
            <a:ext uri="{FF2B5EF4-FFF2-40B4-BE49-F238E27FC236}">
              <a16:creationId xmlns:a16="http://schemas.microsoft.com/office/drawing/2014/main" id="{DDD4A3B2-88FF-461F-82A8-8D04E44D5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pakats\AppData\Local\Microsoft\Windows\INetCache\Content.Outlook\LUTLE3WM\PTA_Digip&#246;&#246;rde_hindamisleht.xlsx" TargetMode="External"/><Relationship Id="rId1" Type="http://schemas.openxmlformats.org/officeDocument/2006/relationships/externalLinkPath" Target="/Users/mpakats/AppData/Local/Microsoft/Windows/INetCache/Content.Outlook/LUTLE3WM/PTA_Digip&#246;&#246;rde_hindamisle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Üldandmed"/>
      <sheetName val="ÜLDVÕIMEKUS"/>
      <sheetName val="KESTLIKKUS"/>
      <sheetName val="TEENUSE JUHTIMINE"/>
      <sheetName val="ANDMED"/>
      <sheetName val="KÜBERTURVALISUS"/>
      <sheetName val="ARHITEKTUUR"/>
      <sheetName val="ARENDUSALGATUS (MEIS)"/>
      <sheetName val="VA HINDAMISE TÖÖRIIST"/>
    </sheetNames>
    <sheetDataSet>
      <sheetData sheetId="0">
        <row r="3">
          <cell r="E3" t="str">
            <v>Jah</v>
          </cell>
          <cell r="F3">
            <v>0</v>
          </cell>
        </row>
        <row r="4">
          <cell r="E4" t="str">
            <v>Ei</v>
          </cell>
          <cell r="F4">
            <v>1</v>
          </cell>
        </row>
        <row r="5">
          <cell r="F5">
            <v>2</v>
          </cell>
        </row>
        <row r="6">
          <cell r="F6">
            <v>3</v>
          </cell>
        </row>
        <row r="7">
          <cell r="F7">
            <v>4</v>
          </cell>
        </row>
        <row r="8">
          <cell r="F8">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filterMode="1">
    <tabColor theme="8" tint="0.59999389629810485"/>
  </sheetPr>
  <dimension ref="A1:AS137"/>
  <sheetViews>
    <sheetView tabSelected="1" topLeftCell="E26" zoomScale="85" zoomScaleNormal="85" workbookViewId="0">
      <selection activeCell="AD39" sqref="AD39"/>
    </sheetView>
  </sheetViews>
  <sheetFormatPr defaultColWidth="8.7109375" defaultRowHeight="15" x14ac:dyDescent="0.25"/>
  <cols>
    <col min="1" max="1" width="21.28515625" style="1" customWidth="1"/>
    <col min="2" max="2" width="15" style="1" customWidth="1"/>
    <col min="3" max="3" width="13.7109375" style="1" customWidth="1"/>
    <col min="4" max="4" width="14.140625" style="1" customWidth="1"/>
    <col min="5" max="5" width="16.7109375" style="1" customWidth="1"/>
    <col min="6" max="6" width="18.5703125" style="1" customWidth="1"/>
    <col min="7" max="7" width="14.140625" style="1" customWidth="1"/>
    <col min="8" max="8" width="12.85546875" style="1" customWidth="1"/>
    <col min="9" max="9" width="20.28515625" style="1" customWidth="1"/>
    <col min="10" max="10" width="25.28515625" style="3" customWidth="1"/>
    <col min="11" max="11" width="42" style="1" customWidth="1"/>
    <col min="12" max="12" width="12" style="1" customWidth="1"/>
    <col min="13" max="13" width="14.28515625" style="1" customWidth="1"/>
    <col min="14" max="14" width="12.28515625" style="1" customWidth="1"/>
    <col min="15" max="15" width="8.7109375" style="1"/>
    <col min="16" max="16" width="14.85546875" style="1" bestFit="1" customWidth="1"/>
    <col min="17" max="21" width="13.140625" style="1" bestFit="1" customWidth="1"/>
    <col min="22" max="22" width="13.140625" style="1" customWidth="1"/>
    <col min="23" max="25" width="10.140625" style="1" bestFit="1" customWidth="1"/>
    <col min="26" max="26" width="11" style="1" bestFit="1" customWidth="1"/>
    <col min="27" max="27" width="10.85546875" style="1" customWidth="1"/>
    <col min="28" max="28" width="11.140625" style="1" customWidth="1"/>
    <col min="29" max="29" width="11" style="1" bestFit="1" customWidth="1"/>
    <col min="30" max="30" width="11.42578125" style="1" customWidth="1"/>
    <col min="31" max="31" width="11.140625" style="1" customWidth="1"/>
    <col min="32" max="32" width="11" style="1" bestFit="1" customWidth="1"/>
    <col min="33" max="34" width="10.140625" style="1" bestFit="1" customWidth="1"/>
    <col min="35" max="35" width="11" style="1" bestFit="1" customWidth="1"/>
    <col min="36" max="37" width="10.140625" style="1" bestFit="1" customWidth="1"/>
    <col min="38" max="40" width="10.140625" style="1" customWidth="1"/>
    <col min="41" max="41" width="40.28515625" style="1" bestFit="1" customWidth="1"/>
    <col min="42" max="42" width="37" style="1" customWidth="1"/>
    <col min="43" max="43" width="60.7109375" style="1" bestFit="1" customWidth="1"/>
    <col min="44" max="44" width="48.42578125" style="1" customWidth="1"/>
    <col min="45" max="45" width="23.28515625" style="1" customWidth="1"/>
    <col min="46" max="16384" width="8.7109375" style="1"/>
  </cols>
  <sheetData>
    <row r="1" spans="1:13" x14ac:dyDescent="0.25">
      <c r="A1" s="5" t="s">
        <v>0</v>
      </c>
      <c r="B1" s="224"/>
      <c r="C1" s="225"/>
      <c r="D1" s="225"/>
      <c r="E1" s="225"/>
      <c r="F1" s="8"/>
      <c r="G1" s="225"/>
      <c r="H1" s="393"/>
      <c r="I1" s="8"/>
    </row>
    <row r="2" spans="1:13" ht="30.75" customHeight="1" x14ac:dyDescent="0.25">
      <c r="A2" s="197" t="s">
        <v>1</v>
      </c>
      <c r="B2" s="564" t="s">
        <v>2</v>
      </c>
      <c r="C2" s="565"/>
      <c r="D2" s="565"/>
      <c r="E2" s="566"/>
      <c r="F2" s="8"/>
      <c r="G2" s="564" t="s">
        <v>3</v>
      </c>
      <c r="H2" s="565"/>
      <c r="I2" s="565"/>
      <c r="J2" s="565"/>
      <c r="K2" s="566"/>
    </row>
    <row r="3" spans="1:13" ht="76.5" x14ac:dyDescent="0.25">
      <c r="A3" s="219" t="s">
        <v>4</v>
      </c>
      <c r="B3" s="220" t="s">
        <v>5</v>
      </c>
      <c r="C3" s="221">
        <v>2023</v>
      </c>
      <c r="D3" s="221">
        <v>2024</v>
      </c>
      <c r="E3" s="221">
        <v>2025</v>
      </c>
      <c r="F3" s="8"/>
      <c r="G3" s="5" t="s">
        <v>6</v>
      </c>
      <c r="H3" s="226" t="s">
        <v>7</v>
      </c>
      <c r="I3" s="227" t="s">
        <v>8</v>
      </c>
      <c r="J3" s="228" t="s">
        <v>9</v>
      </c>
      <c r="K3" s="228" t="s">
        <v>10</v>
      </c>
      <c r="L3" s="8"/>
      <c r="M3" s="3"/>
    </row>
    <row r="4" spans="1:13" x14ac:dyDescent="0.25">
      <c r="A4" s="222" t="s">
        <v>11</v>
      </c>
      <c r="B4" s="9">
        <f>SUM(C4:E4)</f>
        <v>25897046.880000003</v>
      </c>
      <c r="C4" s="9">
        <f>SUM(C5+C12)</f>
        <v>1884860.6300000001</v>
      </c>
      <c r="D4" s="9">
        <f>SUM(D5+D12)</f>
        <v>9983641.5899999999</v>
      </c>
      <c r="E4" s="9">
        <f>SUM(E5+E12)</f>
        <v>14028544.66</v>
      </c>
      <c r="F4" s="8"/>
      <c r="G4" s="9">
        <f>SUM(H4:K4)</f>
        <v>68992274.798822358</v>
      </c>
      <c r="H4" s="229">
        <f>SUMIFS(P35:P94,G35:G94,$G$97)</f>
        <v>46776591.511622801</v>
      </c>
      <c r="I4" s="230">
        <f>SUMIFS(P35:P94,G35:G94,$G$98)</f>
        <v>8579597.2871995606</v>
      </c>
      <c r="J4" s="230">
        <f>SUMIFS(P35:P94,G35:G94,$G$99)</f>
        <v>953882</v>
      </c>
      <c r="K4" s="230">
        <f>SUMIFS(P35:P94,G35:G94,$G$100)</f>
        <v>12682204</v>
      </c>
      <c r="L4" s="8"/>
      <c r="M4" s="4"/>
    </row>
    <row r="5" spans="1:13" x14ac:dyDescent="0.25">
      <c r="A5" s="222" t="s">
        <v>12</v>
      </c>
      <c r="B5" s="9">
        <f>SUM(C5:E5)</f>
        <v>10532627.5</v>
      </c>
      <c r="C5" s="9">
        <f>SUM(C6:C11)</f>
        <v>1224110.6300000001</v>
      </c>
      <c r="D5" s="9">
        <f>SUM(D6:D11)</f>
        <v>5757327.5899999999</v>
      </c>
      <c r="E5" s="9">
        <f>SUM(E6:E11)</f>
        <v>3551189.28</v>
      </c>
      <c r="F5" s="8"/>
      <c r="G5" s="8"/>
      <c r="J5" s="8"/>
      <c r="K5" s="4"/>
    </row>
    <row r="6" spans="1:13" x14ac:dyDescent="0.25">
      <c r="A6" s="223" t="s">
        <v>13</v>
      </c>
      <c r="B6" s="17">
        <f>SUM(C6:E6)</f>
        <v>79593.600000000006</v>
      </c>
      <c r="C6" s="18">
        <f>SUMIFS(Q35:Q94,O35:O94,"Baaseelarve")</f>
        <v>0</v>
      </c>
      <c r="D6" s="18">
        <f>SUMIFS(R35:R94,O35:O94,"Baaseelarve")</f>
        <v>26531.200000000001</v>
      </c>
      <c r="E6" s="18">
        <f>SUMIFS(S35:S94,O35:O94,"Baaseelarve")</f>
        <v>53062.400000000001</v>
      </c>
      <c r="F6" s="10"/>
      <c r="G6" s="8"/>
      <c r="H6" s="8"/>
      <c r="I6" s="8"/>
      <c r="J6" s="8"/>
      <c r="K6" s="4"/>
    </row>
    <row r="7" spans="1:13" x14ac:dyDescent="0.25">
      <c r="A7" s="223" t="s">
        <v>14</v>
      </c>
      <c r="B7" s="17">
        <f>SUM(C7:E7)</f>
        <v>10453033.899999999</v>
      </c>
      <c r="C7" s="18">
        <f>SUMIFS(Q35:Q94,O35:O94,"Muu rahastus")</f>
        <v>1224110.6300000001</v>
      </c>
      <c r="D7" s="18">
        <f>SUMIFS(R35:R94,O35:O94,"Muu rahastus")</f>
        <v>5730796.3899999997</v>
      </c>
      <c r="E7" s="18">
        <f>SUMIFS(S35:S94,O35:O94,"Muu rahastus")</f>
        <v>3498126.88</v>
      </c>
      <c r="F7" s="10"/>
      <c r="G7" s="8"/>
      <c r="H7" s="8"/>
      <c r="I7" s="8"/>
      <c r="J7" s="8"/>
      <c r="K7" s="4"/>
    </row>
    <row r="8" spans="1:13" x14ac:dyDescent="0.25">
      <c r="A8" s="223" t="s">
        <v>15</v>
      </c>
      <c r="B8" s="17">
        <f>SUM(C8:E8)</f>
        <v>0</v>
      </c>
      <c r="C8" s="18">
        <f>SUMIFS(Q35:Q94,O35:O94,"Reserv (SR)")</f>
        <v>0</v>
      </c>
      <c r="D8" s="18">
        <f>SUMIFS(R35:R94,O35:O94,"Reserv (SR)")</f>
        <v>0</v>
      </c>
      <c r="E8" s="18">
        <f>SUMIFS(S35:S94,O35:O94,"Reserv (SR)")</f>
        <v>0</v>
      </c>
      <c r="F8" s="10"/>
      <c r="G8" s="8"/>
      <c r="H8" s="8"/>
      <c r="I8" s="8"/>
      <c r="J8" s="8"/>
      <c r="K8" s="4"/>
    </row>
    <row r="9" spans="1:13" hidden="1" x14ac:dyDescent="0.25">
      <c r="A9" s="223" t="s">
        <v>16</v>
      </c>
      <c r="B9" s="17">
        <f t="shared" ref="B9" si="0">SUM(C9:D9)</f>
        <v>0</v>
      </c>
      <c r="C9" s="18">
        <f>SUMIFS(Q35:Q94,O35:O94,"RRF")</f>
        <v>0</v>
      </c>
      <c r="D9" s="18">
        <f>SUMIFS(R35:R94,O35:O94,"RRF")</f>
        <v>0</v>
      </c>
      <c r="E9" s="18"/>
      <c r="F9" s="10"/>
      <c r="G9" s="8"/>
      <c r="H9" s="8"/>
      <c r="I9" s="8"/>
      <c r="J9" s="8"/>
      <c r="K9" s="4"/>
    </row>
    <row r="10" spans="1:13" x14ac:dyDescent="0.25">
      <c r="A10" s="223" t="s">
        <v>17</v>
      </c>
      <c r="B10" s="17">
        <f>SUM(C10:E10)</f>
        <v>0</v>
      </c>
      <c r="C10" s="18">
        <f>SUMIFS(Q35:Q94,O35:O94,"SF 14-20 (töös olev projekt)")</f>
        <v>0</v>
      </c>
      <c r="D10" s="18">
        <f>SUMIFS(R35:R94,O35:O94,"SF 14-20 (töös olev projekt)")</f>
        <v>0</v>
      </c>
      <c r="E10" s="18">
        <f>SUMIFS(S35:S94,O35:O94,"SF 14-20 (töös olev projekt)")</f>
        <v>0</v>
      </c>
      <c r="F10" s="10"/>
      <c r="G10" s="8"/>
      <c r="H10" s="8"/>
      <c r="I10" s="8"/>
      <c r="J10" s="8"/>
      <c r="K10" s="4"/>
    </row>
    <row r="11" spans="1:13" x14ac:dyDescent="0.25">
      <c r="A11" s="223" t="s">
        <v>18</v>
      </c>
      <c r="B11" s="17">
        <f>SUM(C11:E11)</f>
        <v>0</v>
      </c>
      <c r="C11" s="18">
        <f>SUMIFS(Q35:Q94,O35:O94,"RRF")</f>
        <v>0</v>
      </c>
      <c r="D11" s="18">
        <f>SUMIFS(R35:R94,O35:O94,"RRF")</f>
        <v>0</v>
      </c>
      <c r="E11" s="18">
        <f>SUMIFS(S35:S94,O35:O94,"RRF")</f>
        <v>0</v>
      </c>
      <c r="F11" s="10"/>
      <c r="G11" s="8"/>
      <c r="H11" s="8"/>
      <c r="I11" s="8"/>
      <c r="J11" s="8"/>
      <c r="K11" s="4"/>
    </row>
    <row r="12" spans="1:13" x14ac:dyDescent="0.25">
      <c r="A12" s="222" t="s">
        <v>19</v>
      </c>
      <c r="B12" s="9">
        <f>SUM(C12:E12)</f>
        <v>15364419.380000001</v>
      </c>
      <c r="C12" s="9">
        <f>SUM(C13:C14)</f>
        <v>660750</v>
      </c>
      <c r="D12" s="9">
        <f>SUM(D13:D14)</f>
        <v>4226314</v>
      </c>
      <c r="E12" s="9">
        <f>SUM(E13:E14)</f>
        <v>10477355.380000001</v>
      </c>
      <c r="F12" s="10"/>
      <c r="G12" s="8"/>
      <c r="H12" s="8"/>
      <c r="I12" s="8"/>
      <c r="J12" s="8"/>
      <c r="K12" s="4"/>
    </row>
    <row r="13" spans="1:13" x14ac:dyDescent="0.25">
      <c r="A13" s="223" t="s">
        <v>20</v>
      </c>
      <c r="B13" s="17">
        <f>SUM(C13:E13)</f>
        <v>10754416.68</v>
      </c>
      <c r="C13" s="18">
        <f>SUMIFS(Q35:Q94,O35:O94,"RES IKT (vaja juurde taotleda)")</f>
        <v>660750</v>
      </c>
      <c r="D13" s="18">
        <f>SUMIFS(R35:R94,O35:O94,"RES IKT (vaja juurde taotleda)")</f>
        <v>3297637</v>
      </c>
      <c r="E13" s="18">
        <f>SUMIFS(S35:S94,O35:O94,"RES IKT (vaja juurde taotleda)")</f>
        <v>6796029.6800000006</v>
      </c>
      <c r="F13" s="10" t="s">
        <v>21</v>
      </c>
      <c r="G13" s="8"/>
      <c r="H13" s="8"/>
      <c r="I13" s="8"/>
      <c r="J13" s="8"/>
      <c r="K13" s="4"/>
    </row>
    <row r="14" spans="1:13" x14ac:dyDescent="0.25">
      <c r="A14" s="223" t="s">
        <v>22</v>
      </c>
      <c r="B14" s="17">
        <f>SUM(C14:E14)</f>
        <v>4610002.7</v>
      </c>
      <c r="C14" s="18">
        <f>SUMIFS(Q35:Q94,O35:O94,"SF 21-27 (taotletav raha)")</f>
        <v>0</v>
      </c>
      <c r="D14" s="18">
        <f>SUMIFS(R35:R94,O35:O94,"SF 21-27 (taotletav raha)")</f>
        <v>928677</v>
      </c>
      <c r="E14" s="18">
        <f>SUMIFS(S35:S94,O35:O94,"SF 21-27 (taotletav raha)")</f>
        <v>3681325.7</v>
      </c>
      <c r="F14" s="10" t="s">
        <v>23</v>
      </c>
      <c r="G14" s="8"/>
      <c r="H14" s="8"/>
      <c r="I14" s="8"/>
      <c r="J14" s="8"/>
      <c r="K14" s="4"/>
    </row>
    <row r="15" spans="1:13" x14ac:dyDescent="0.25">
      <c r="A15" s="6"/>
      <c r="B15" s="6"/>
      <c r="C15" s="6"/>
      <c r="D15" s="6"/>
      <c r="E15" s="6"/>
      <c r="F15" s="6"/>
      <c r="G15" s="6"/>
      <c r="H15" s="6"/>
      <c r="I15" s="6"/>
    </row>
    <row r="16" spans="1:13" ht="15.75" thickBot="1" x14ac:dyDescent="0.3">
      <c r="A16" s="10" t="s">
        <v>24</v>
      </c>
      <c r="B16" s="6"/>
      <c r="C16" s="6"/>
      <c r="D16" s="6"/>
      <c r="E16" s="6"/>
      <c r="F16" s="6"/>
      <c r="G16" s="6"/>
      <c r="H16" s="6"/>
      <c r="I16" s="6"/>
    </row>
    <row r="17" spans="1:44" ht="29.1" customHeight="1" x14ac:dyDescent="0.25">
      <c r="A17" s="52" t="s">
        <v>25</v>
      </c>
      <c r="B17" s="585" t="s">
        <v>26</v>
      </c>
      <c r="C17" s="586"/>
      <c r="D17" s="586"/>
      <c r="E17" s="586"/>
      <c r="F17" s="586"/>
      <c r="G17" s="586"/>
      <c r="H17" s="586"/>
      <c r="I17" s="586"/>
      <c r="J17" s="52" t="s">
        <v>27</v>
      </c>
      <c r="K17" s="570" t="s">
        <v>28</v>
      </c>
      <c r="L17" s="571"/>
      <c r="M17" s="571"/>
      <c r="N17" s="571"/>
      <c r="O17" s="571"/>
      <c r="P17" s="571"/>
      <c r="Q17" s="572"/>
    </row>
    <row r="18" spans="1:44" x14ac:dyDescent="0.25">
      <c r="A18" s="53" t="s">
        <v>29</v>
      </c>
      <c r="B18" s="115" t="s">
        <v>30</v>
      </c>
      <c r="C18" s="116" t="s">
        <v>31</v>
      </c>
      <c r="D18" s="116" t="s">
        <v>32</v>
      </c>
      <c r="E18" s="116" t="s">
        <v>33</v>
      </c>
      <c r="F18" s="116" t="s">
        <v>34</v>
      </c>
      <c r="G18" s="116" t="s">
        <v>35</v>
      </c>
      <c r="H18" s="116" t="s">
        <v>36</v>
      </c>
      <c r="I18" s="231" t="s">
        <v>37</v>
      </c>
      <c r="J18" s="73"/>
      <c r="K18" s="3"/>
      <c r="Q18" s="69"/>
    </row>
    <row r="19" spans="1:44" ht="90.75" thickBot="1" x14ac:dyDescent="0.3">
      <c r="A19" s="54" t="s">
        <v>38</v>
      </c>
      <c r="B19" s="319">
        <v>0</v>
      </c>
      <c r="C19" s="302">
        <v>0</v>
      </c>
      <c r="D19" s="302">
        <f>0.05*I19</f>
        <v>35000</v>
      </c>
      <c r="E19" s="302">
        <v>50000</v>
      </c>
      <c r="F19" s="302">
        <v>200000</v>
      </c>
      <c r="G19" s="302">
        <v>500000</v>
      </c>
      <c r="H19" s="302">
        <v>600000</v>
      </c>
      <c r="I19" s="303">
        <v>700000</v>
      </c>
      <c r="J19" s="304" t="s">
        <v>402</v>
      </c>
      <c r="K19" s="573" t="s">
        <v>39</v>
      </c>
      <c r="L19" s="574"/>
      <c r="M19" s="574"/>
      <c r="N19" s="574"/>
      <c r="O19" s="574"/>
      <c r="P19" s="574"/>
      <c r="Q19" s="575"/>
    </row>
    <row r="20" spans="1:44" ht="29.1" customHeight="1" x14ac:dyDescent="0.25">
      <c r="A20" s="52" t="s">
        <v>40</v>
      </c>
      <c r="B20" s="587" t="s">
        <v>41</v>
      </c>
      <c r="C20" s="588"/>
      <c r="D20" s="588"/>
      <c r="E20" s="588"/>
      <c r="F20" s="588"/>
      <c r="G20" s="588"/>
      <c r="H20" s="588"/>
      <c r="I20" s="589"/>
      <c r="J20" s="75"/>
      <c r="K20" s="570" t="s">
        <v>42</v>
      </c>
      <c r="L20" s="571"/>
      <c r="M20" s="571"/>
      <c r="N20" s="571"/>
      <c r="O20" s="571"/>
      <c r="P20" s="571"/>
      <c r="Q20" s="572"/>
    </row>
    <row r="21" spans="1:44" x14ac:dyDescent="0.25">
      <c r="A21" s="53" t="s">
        <v>29</v>
      </c>
      <c r="B21" s="115" t="s">
        <v>30</v>
      </c>
      <c r="C21" s="116" t="s">
        <v>31</v>
      </c>
      <c r="D21" s="116" t="s">
        <v>32</v>
      </c>
      <c r="E21" s="116" t="s">
        <v>33</v>
      </c>
      <c r="F21" s="116" t="s">
        <v>34</v>
      </c>
      <c r="G21" s="116" t="s">
        <v>35</v>
      </c>
      <c r="H21" s="116" t="s">
        <v>36</v>
      </c>
      <c r="I21" s="231" t="s">
        <v>37</v>
      </c>
      <c r="J21" s="73"/>
      <c r="K21" s="3"/>
      <c r="Q21" s="69"/>
    </row>
    <row r="22" spans="1:44" ht="90.75" thickBot="1" x14ac:dyDescent="0.3">
      <c r="A22" s="54" t="s">
        <v>38</v>
      </c>
      <c r="B22" s="319">
        <v>0</v>
      </c>
      <c r="C22" s="302">
        <v>0</v>
      </c>
      <c r="D22" s="302">
        <v>2</v>
      </c>
      <c r="E22" s="302">
        <v>3</v>
      </c>
      <c r="F22" s="302">
        <v>5</v>
      </c>
      <c r="G22" s="302">
        <v>7</v>
      </c>
      <c r="H22" s="302">
        <v>9</v>
      </c>
      <c r="I22" s="303">
        <v>10</v>
      </c>
      <c r="J22" s="304" t="s">
        <v>402</v>
      </c>
      <c r="K22" s="573" t="s">
        <v>43</v>
      </c>
      <c r="L22" s="574"/>
      <c r="M22" s="574"/>
      <c r="N22" s="574"/>
      <c r="O22" s="574"/>
      <c r="P22" s="574"/>
      <c r="Q22" s="575"/>
    </row>
    <row r="23" spans="1:44" ht="29.1" customHeight="1" x14ac:dyDescent="0.25">
      <c r="A23" s="52" t="s">
        <v>40</v>
      </c>
      <c r="B23" s="587" t="s">
        <v>44</v>
      </c>
      <c r="C23" s="588"/>
      <c r="D23" s="588"/>
      <c r="E23" s="588"/>
      <c r="F23" s="588"/>
      <c r="G23" s="588"/>
      <c r="H23" s="588"/>
      <c r="I23" s="589"/>
      <c r="J23" s="75"/>
      <c r="K23" s="570" t="s">
        <v>45</v>
      </c>
      <c r="L23" s="571"/>
      <c r="M23" s="571"/>
      <c r="N23" s="571"/>
      <c r="O23" s="571"/>
      <c r="P23" s="571"/>
      <c r="Q23" s="572"/>
    </row>
    <row r="24" spans="1:44" x14ac:dyDescent="0.25">
      <c r="A24" s="53" t="s">
        <v>29</v>
      </c>
      <c r="B24" s="115" t="s">
        <v>30</v>
      </c>
      <c r="C24" s="116" t="s">
        <v>31</v>
      </c>
      <c r="D24" s="116" t="s">
        <v>32</v>
      </c>
      <c r="E24" s="116" t="s">
        <v>33</v>
      </c>
      <c r="F24" s="116" t="s">
        <v>34</v>
      </c>
      <c r="G24" s="116" t="s">
        <v>35</v>
      </c>
      <c r="H24" s="116" t="s">
        <v>36</v>
      </c>
      <c r="I24" s="231" t="s">
        <v>37</v>
      </c>
      <c r="J24" s="73"/>
      <c r="K24" s="3"/>
      <c r="Q24" s="69"/>
    </row>
    <row r="25" spans="1:44" ht="150.75" thickBot="1" x14ac:dyDescent="0.3">
      <c r="A25" s="54" t="s">
        <v>38</v>
      </c>
      <c r="B25" s="319">
        <v>0</v>
      </c>
      <c r="C25" s="302">
        <v>7</v>
      </c>
      <c r="D25" s="302">
        <v>7</v>
      </c>
      <c r="E25" s="302">
        <v>7</v>
      </c>
      <c r="F25" s="302">
        <v>7</v>
      </c>
      <c r="G25" s="302">
        <v>7</v>
      </c>
      <c r="H25" s="302">
        <v>7</v>
      </c>
      <c r="I25" s="303">
        <v>7</v>
      </c>
      <c r="J25" s="304" t="s">
        <v>401</v>
      </c>
      <c r="K25" s="573" t="s">
        <v>46</v>
      </c>
      <c r="L25" s="574"/>
      <c r="M25" s="574"/>
      <c r="N25" s="574"/>
      <c r="O25" s="574"/>
      <c r="P25" s="574"/>
      <c r="Q25" s="575"/>
    </row>
    <row r="26" spans="1:44" ht="75" x14ac:dyDescent="0.25">
      <c r="A26" s="52" t="s">
        <v>47</v>
      </c>
      <c r="B26" s="587" t="s">
        <v>48</v>
      </c>
      <c r="C26" s="588"/>
      <c r="D26" s="588"/>
      <c r="E26" s="588"/>
      <c r="F26" s="588"/>
      <c r="G26" s="588"/>
      <c r="H26" s="588"/>
      <c r="I26" s="589"/>
      <c r="J26" s="75"/>
      <c r="K26" s="570" t="s">
        <v>49</v>
      </c>
      <c r="L26" s="571"/>
      <c r="M26" s="571"/>
      <c r="N26" s="571"/>
      <c r="O26" s="571"/>
      <c r="P26" s="571"/>
      <c r="Q26" s="572"/>
    </row>
    <row r="27" spans="1:44" ht="14.45" customHeight="1" x14ac:dyDescent="0.25">
      <c r="A27" s="53" t="s">
        <v>29</v>
      </c>
      <c r="B27" s="115" t="s">
        <v>30</v>
      </c>
      <c r="C27" s="116" t="s">
        <v>31</v>
      </c>
      <c r="D27" s="116" t="s">
        <v>32</v>
      </c>
      <c r="E27" s="116" t="s">
        <v>33</v>
      </c>
      <c r="F27" s="116" t="s">
        <v>34</v>
      </c>
      <c r="G27" s="116" t="s">
        <v>35</v>
      </c>
      <c r="H27" s="116" t="s">
        <v>36</v>
      </c>
      <c r="I27" s="231" t="s">
        <v>37</v>
      </c>
      <c r="J27" s="73"/>
      <c r="K27" s="3"/>
      <c r="Q27" s="69"/>
    </row>
    <row r="28" spans="1:44" ht="105.75" thickBot="1" x14ac:dyDescent="0.3">
      <c r="A28" s="54" t="s">
        <v>38</v>
      </c>
      <c r="B28" s="319">
        <v>47</v>
      </c>
      <c r="C28" s="302">
        <v>50</v>
      </c>
      <c r="D28" s="302">
        <v>55</v>
      </c>
      <c r="E28" s="302">
        <v>60</v>
      </c>
      <c r="F28" s="302">
        <v>65</v>
      </c>
      <c r="G28" s="302">
        <v>70</v>
      </c>
      <c r="H28" s="302">
        <v>80</v>
      </c>
      <c r="I28" s="303">
        <v>90</v>
      </c>
      <c r="J28" s="304" t="s">
        <v>659</v>
      </c>
      <c r="K28" s="573" t="s">
        <v>50</v>
      </c>
      <c r="L28" s="574"/>
      <c r="M28" s="574"/>
      <c r="N28" s="574"/>
      <c r="O28" s="574"/>
      <c r="P28" s="574"/>
      <c r="Q28" s="575"/>
    </row>
    <row r="29" spans="1:44" x14ac:dyDescent="0.25">
      <c r="A29" s="3"/>
      <c r="B29" s="3"/>
    </row>
    <row r="31" spans="1:44" ht="15.75" thickBot="1" x14ac:dyDescent="0.3">
      <c r="C31" s="80"/>
      <c r="D31" s="80"/>
    </row>
    <row r="32" spans="1:44" ht="15.75" thickBot="1" x14ac:dyDescent="0.3">
      <c r="C32" s="80"/>
      <c r="D32" s="80"/>
      <c r="W32" s="583" t="s">
        <v>51</v>
      </c>
      <c r="X32" s="584"/>
      <c r="Y32" s="584"/>
      <c r="Z32" s="584"/>
      <c r="AA32" s="584"/>
      <c r="AB32" s="584"/>
      <c r="AC32" s="584"/>
      <c r="AD32" s="584"/>
      <c r="AE32" s="584"/>
      <c r="AF32" s="584"/>
      <c r="AG32" s="584"/>
      <c r="AH32" s="584"/>
      <c r="AI32" s="584"/>
      <c r="AJ32" s="584"/>
      <c r="AK32" s="584"/>
      <c r="AL32" s="571"/>
      <c r="AM32" s="571"/>
      <c r="AN32" s="572"/>
      <c r="AR32" s="34"/>
    </row>
    <row r="33" spans="1:45" ht="75.75" thickBot="1" x14ac:dyDescent="0.3">
      <c r="A33" s="354" t="s">
        <v>52</v>
      </c>
      <c r="B33" s="355" t="s">
        <v>53</v>
      </c>
      <c r="C33" s="355" t="s">
        <v>54</v>
      </c>
      <c r="D33" s="356" t="s">
        <v>55</v>
      </c>
      <c r="E33" s="356" t="s">
        <v>56</v>
      </c>
      <c r="F33" s="356" t="s">
        <v>57</v>
      </c>
      <c r="G33" s="356" t="s">
        <v>58</v>
      </c>
      <c r="H33" s="356" t="s">
        <v>59</v>
      </c>
      <c r="I33" s="356" t="s">
        <v>60</v>
      </c>
      <c r="J33" s="356" t="s">
        <v>61</v>
      </c>
      <c r="K33" s="357" t="s">
        <v>62</v>
      </c>
      <c r="L33" s="358" t="s">
        <v>63</v>
      </c>
      <c r="M33" s="356" t="s">
        <v>64</v>
      </c>
      <c r="N33" s="356" t="s">
        <v>65</v>
      </c>
      <c r="O33" s="356" t="s">
        <v>66</v>
      </c>
      <c r="P33" s="359" t="s">
        <v>67</v>
      </c>
      <c r="Q33" s="353">
        <v>2023</v>
      </c>
      <c r="R33" s="255">
        <v>2024</v>
      </c>
      <c r="S33" s="255">
        <v>2025</v>
      </c>
      <c r="T33" s="255">
        <v>2026</v>
      </c>
      <c r="U33" s="255">
        <v>2027</v>
      </c>
      <c r="V33" s="254">
        <v>2028</v>
      </c>
      <c r="W33" s="579" t="s">
        <v>68</v>
      </c>
      <c r="X33" s="580"/>
      <c r="Y33" s="581"/>
      <c r="Z33" s="582">
        <v>2024</v>
      </c>
      <c r="AA33" s="580"/>
      <c r="AB33" s="581"/>
      <c r="AC33" s="582">
        <v>2025</v>
      </c>
      <c r="AD33" s="580"/>
      <c r="AE33" s="581"/>
      <c r="AF33" s="582">
        <v>2026</v>
      </c>
      <c r="AG33" s="580"/>
      <c r="AH33" s="581"/>
      <c r="AI33" s="582">
        <v>2027</v>
      </c>
      <c r="AJ33" s="580"/>
      <c r="AK33" s="580"/>
      <c r="AL33" s="576">
        <v>2028</v>
      </c>
      <c r="AM33" s="577"/>
      <c r="AN33" s="578"/>
      <c r="AO33" s="510" t="s">
        <v>69</v>
      </c>
      <c r="AP33" s="22" t="s">
        <v>70</v>
      </c>
      <c r="AQ33" s="21" t="s">
        <v>71</v>
      </c>
      <c r="AR33" s="474" t="s">
        <v>72</v>
      </c>
      <c r="AS33" s="475" t="s">
        <v>73</v>
      </c>
    </row>
    <row r="34" spans="1:45" s="233" customFormat="1" ht="169.5" hidden="1" customHeight="1" thickBot="1" x14ac:dyDescent="0.3">
      <c r="A34" s="531" t="s">
        <v>74</v>
      </c>
      <c r="B34" s="360" t="s">
        <v>75</v>
      </c>
      <c r="C34" s="360" t="s">
        <v>76</v>
      </c>
      <c r="D34" s="360" t="s">
        <v>77</v>
      </c>
      <c r="E34" s="361" t="s">
        <v>78</v>
      </c>
      <c r="F34" s="361" t="s">
        <v>78</v>
      </c>
      <c r="G34" s="361" t="s">
        <v>79</v>
      </c>
      <c r="H34" s="360" t="s">
        <v>80</v>
      </c>
      <c r="I34" s="360" t="s">
        <v>81</v>
      </c>
      <c r="J34" s="360" t="s">
        <v>82</v>
      </c>
      <c r="K34" s="360" t="s">
        <v>83</v>
      </c>
      <c r="L34" s="362" t="s">
        <v>84</v>
      </c>
      <c r="M34" s="362" t="s">
        <v>85</v>
      </c>
      <c r="N34" s="363" t="s">
        <v>86</v>
      </c>
      <c r="O34" s="361" t="s">
        <v>78</v>
      </c>
      <c r="P34" s="364"/>
      <c r="Q34" s="567"/>
      <c r="R34" s="568"/>
      <c r="S34" s="568"/>
      <c r="T34" s="568"/>
      <c r="U34" s="568"/>
      <c r="V34" s="569"/>
      <c r="W34" s="28" t="s">
        <v>87</v>
      </c>
      <c r="X34" s="25" t="s">
        <v>88</v>
      </c>
      <c r="Y34" s="26" t="s">
        <v>89</v>
      </c>
      <c r="Z34" s="24" t="s">
        <v>87</v>
      </c>
      <c r="AA34" s="25" t="s">
        <v>88</v>
      </c>
      <c r="AB34" s="27" t="s">
        <v>89</v>
      </c>
      <c r="AC34" s="28" t="s">
        <v>87</v>
      </c>
      <c r="AD34" s="25" t="s">
        <v>88</v>
      </c>
      <c r="AE34" s="26" t="s">
        <v>89</v>
      </c>
      <c r="AF34" s="28" t="s">
        <v>87</v>
      </c>
      <c r="AG34" s="25" t="s">
        <v>88</v>
      </c>
      <c r="AH34" s="26" t="s">
        <v>89</v>
      </c>
      <c r="AI34" s="28" t="s">
        <v>87</v>
      </c>
      <c r="AJ34" s="25" t="s">
        <v>88</v>
      </c>
      <c r="AK34" s="27" t="s">
        <v>89</v>
      </c>
      <c r="AL34" s="28" t="s">
        <v>87</v>
      </c>
      <c r="AM34" s="25" t="s">
        <v>88</v>
      </c>
      <c r="AN34" s="27" t="s">
        <v>89</v>
      </c>
      <c r="AO34" s="232" t="s">
        <v>90</v>
      </c>
      <c r="AP34" s="373" t="s">
        <v>78</v>
      </c>
      <c r="AQ34" s="385" t="s">
        <v>91</v>
      </c>
      <c r="AR34" s="385" t="s">
        <v>92</v>
      </c>
      <c r="AS34" s="373" t="s">
        <v>93</v>
      </c>
    </row>
    <row r="35" spans="1:45" s="188" customFormat="1" ht="375" hidden="1" x14ac:dyDescent="0.25">
      <c r="A35" s="352" t="s">
        <v>2</v>
      </c>
      <c r="B35" s="256" t="s">
        <v>94</v>
      </c>
      <c r="C35" s="256"/>
      <c r="D35" s="257" t="s">
        <v>665</v>
      </c>
      <c r="E35" s="257" t="s">
        <v>96</v>
      </c>
      <c r="F35" s="257"/>
      <c r="G35" s="257" t="s">
        <v>97</v>
      </c>
      <c r="H35" s="257"/>
      <c r="I35" s="257" t="s">
        <v>98</v>
      </c>
      <c r="J35" s="256" t="s">
        <v>99</v>
      </c>
      <c r="K35" s="257" t="s">
        <v>100</v>
      </c>
      <c r="L35" s="257" t="s">
        <v>674</v>
      </c>
      <c r="M35" s="257"/>
      <c r="N35" s="257"/>
      <c r="O35" s="257" t="s">
        <v>101</v>
      </c>
      <c r="P35" s="305">
        <f t="shared" ref="P35:P94" si="1">SUM(Q35:V35)</f>
        <v>12682204</v>
      </c>
      <c r="Q35" s="314">
        <f t="shared" ref="Q35" si="2">SUM(W35:Y35)</f>
        <v>0</v>
      </c>
      <c r="R35" s="313">
        <f t="shared" ref="R35" si="3">SUM(Z35:AB35)</f>
        <v>2487301</v>
      </c>
      <c r="S35" s="313">
        <f t="shared" ref="S35" si="4">SUM(AC35:AE35)</f>
        <v>3398301</v>
      </c>
      <c r="T35" s="313">
        <f t="shared" ref="T35" si="5">SUM(AF35:AH35)</f>
        <v>3398301</v>
      </c>
      <c r="U35" s="313">
        <f>SUM(AI35:AK35)</f>
        <v>3398301</v>
      </c>
      <c r="V35" s="315">
        <f>SUM(AL35:AN35)</f>
        <v>0</v>
      </c>
      <c r="W35" s="263"/>
      <c r="X35" s="264"/>
      <c r="Y35" s="265"/>
      <c r="Z35" s="266">
        <f>1488301+1499000-1700000+1200000</f>
        <v>2487301</v>
      </c>
      <c r="AA35" s="264"/>
      <c r="AB35" s="264"/>
      <c r="AC35" s="263">
        <f>1488301+1710000-1000000+1200000</f>
        <v>3398301</v>
      </c>
      <c r="AD35" s="264"/>
      <c r="AE35" s="265"/>
      <c r="AF35" s="263">
        <f>1488301+1710000-1000000+1200000</f>
        <v>3398301</v>
      </c>
      <c r="AG35" s="264"/>
      <c r="AH35" s="265"/>
      <c r="AI35" s="263">
        <f>1488301+1710000-1000000+1200000</f>
        <v>3398301</v>
      </c>
      <c r="AJ35" s="264"/>
      <c r="AK35" s="264"/>
      <c r="AL35" s="365"/>
      <c r="AM35" s="366"/>
      <c r="AN35" s="367"/>
      <c r="AO35" s="275" t="s">
        <v>102</v>
      </c>
      <c r="AP35" s="267" t="s">
        <v>103</v>
      </c>
      <c r="AQ35" s="268" t="s">
        <v>423</v>
      </c>
      <c r="AR35" s="472"/>
      <c r="AS35" s="472" t="s">
        <v>424</v>
      </c>
    </row>
    <row r="36" spans="1:45" s="234" customFormat="1" ht="180" x14ac:dyDescent="0.25">
      <c r="A36" s="352" t="s">
        <v>2</v>
      </c>
      <c r="B36" s="256" t="s">
        <v>94</v>
      </c>
      <c r="C36" s="256"/>
      <c r="D36" s="257" t="s">
        <v>666</v>
      </c>
      <c r="E36" s="257" t="s">
        <v>96</v>
      </c>
      <c r="F36" s="257" t="s">
        <v>104</v>
      </c>
      <c r="G36" s="258" t="s">
        <v>105</v>
      </c>
      <c r="H36" s="257"/>
      <c r="I36" s="257" t="s">
        <v>106</v>
      </c>
      <c r="J36" s="256" t="s">
        <v>107</v>
      </c>
      <c r="K36" s="257" t="s">
        <v>108</v>
      </c>
      <c r="L36" s="257" t="s">
        <v>687</v>
      </c>
      <c r="M36" s="257"/>
      <c r="N36" s="257"/>
      <c r="O36" s="257" t="s">
        <v>109</v>
      </c>
      <c r="P36" s="305">
        <f t="shared" si="1"/>
        <v>150000</v>
      </c>
      <c r="Q36" s="306">
        <f t="shared" ref="Q36" si="6">SUM(W36:Y36)</f>
        <v>0</v>
      </c>
      <c r="R36" s="316">
        <f t="shared" ref="R36" si="7">SUM(Z36:AB36)</f>
        <v>75000</v>
      </c>
      <c r="S36" s="316">
        <f t="shared" ref="S36" si="8">SUM(AC36:AE36)</f>
        <v>75000</v>
      </c>
      <c r="T36" s="316">
        <f t="shared" ref="T36" si="9">SUM(AF36:AH36)</f>
        <v>0</v>
      </c>
      <c r="U36" s="317">
        <f>SUM(AI36:AK36)</f>
        <v>0</v>
      </c>
      <c r="V36" s="318">
        <f t="shared" ref="V36:V94" si="10">SUM(AL36:AN36)</f>
        <v>0</v>
      </c>
      <c r="W36" s="263"/>
      <c r="X36" s="264"/>
      <c r="Y36" s="265"/>
      <c r="Z36" s="266"/>
      <c r="AA36" s="264"/>
      <c r="AB36" s="264">
        <v>75000</v>
      </c>
      <c r="AC36" s="263"/>
      <c r="AD36" s="264"/>
      <c r="AE36" s="265">
        <v>75000</v>
      </c>
      <c r="AF36" s="263"/>
      <c r="AG36" s="264"/>
      <c r="AH36" s="265"/>
      <c r="AI36" s="263"/>
      <c r="AJ36" s="264"/>
      <c r="AK36" s="264"/>
      <c r="AL36" s="270"/>
      <c r="AM36" s="271"/>
      <c r="AN36" s="272"/>
      <c r="AO36" s="275" t="s">
        <v>110</v>
      </c>
      <c r="AP36" s="267" t="s">
        <v>111</v>
      </c>
      <c r="AQ36" s="268" t="s">
        <v>432</v>
      </c>
      <c r="AR36" s="473"/>
      <c r="AS36" s="473"/>
    </row>
    <row r="37" spans="1:45" s="234" customFormat="1" ht="90" x14ac:dyDescent="0.25">
      <c r="A37" s="352" t="s">
        <v>2</v>
      </c>
      <c r="B37" s="256" t="s">
        <v>94</v>
      </c>
      <c r="C37" s="256"/>
      <c r="D37" s="257" t="s">
        <v>666</v>
      </c>
      <c r="E37" s="257" t="s">
        <v>96</v>
      </c>
      <c r="F37" s="257" t="s">
        <v>104</v>
      </c>
      <c r="G37" s="258" t="s">
        <v>105</v>
      </c>
      <c r="H37" s="257"/>
      <c r="I37" s="257" t="s">
        <v>112</v>
      </c>
      <c r="J37" s="413" t="s">
        <v>113</v>
      </c>
      <c r="K37" s="257" t="s">
        <v>114</v>
      </c>
      <c r="L37" s="257" t="s">
        <v>687</v>
      </c>
      <c r="M37" s="257"/>
      <c r="N37" s="257"/>
      <c r="O37" s="257" t="s">
        <v>109</v>
      </c>
      <c r="P37" s="305">
        <f t="shared" si="1"/>
        <v>459252</v>
      </c>
      <c r="Q37" s="306">
        <f t="shared" ref="Q37:Q94" si="11">SUM(W37:Y37)</f>
        <v>0</v>
      </c>
      <c r="R37" s="316">
        <f t="shared" ref="R37:R94" si="12">SUM(Z37:AB37)</f>
        <v>153084</v>
      </c>
      <c r="S37" s="316">
        <f t="shared" ref="S37:S94" si="13">SUM(AC37:AE37)</f>
        <v>153084</v>
      </c>
      <c r="T37" s="316">
        <f t="shared" ref="T37:T94" si="14">SUM(AF37:AH37)</f>
        <v>153084</v>
      </c>
      <c r="U37" s="317">
        <f t="shared" ref="U37:U94" si="15">SUM(AI37:AK37)</f>
        <v>0</v>
      </c>
      <c r="V37" s="318">
        <f t="shared" si="10"/>
        <v>0</v>
      </c>
      <c r="W37" s="263"/>
      <c r="X37" s="264"/>
      <c r="Y37" s="265"/>
      <c r="Z37" s="266"/>
      <c r="AA37" s="264">
        <f>Personal!L6+Personal!L7</f>
        <v>153084</v>
      </c>
      <c r="AB37" s="264"/>
      <c r="AC37" s="263"/>
      <c r="AD37" s="264">
        <f>AA37</f>
        <v>153084</v>
      </c>
      <c r="AE37" s="265"/>
      <c r="AF37" s="263"/>
      <c r="AG37" s="264">
        <f>AD37</f>
        <v>153084</v>
      </c>
      <c r="AH37" s="265"/>
      <c r="AI37" s="263"/>
      <c r="AJ37" s="264"/>
      <c r="AK37" s="264"/>
      <c r="AL37" s="270"/>
      <c r="AM37" s="271"/>
      <c r="AN37" s="272"/>
      <c r="AO37" s="275" t="s">
        <v>115</v>
      </c>
      <c r="AP37" s="267"/>
      <c r="AQ37" s="268" t="s">
        <v>433</v>
      </c>
      <c r="AR37" s="473"/>
      <c r="AS37" s="473"/>
    </row>
    <row r="38" spans="1:45" s="234" customFormat="1" ht="75" x14ac:dyDescent="0.25">
      <c r="A38" s="352" t="s">
        <v>2</v>
      </c>
      <c r="B38" s="256" t="s">
        <v>116</v>
      </c>
      <c r="C38" s="256"/>
      <c r="D38" s="257" t="s">
        <v>666</v>
      </c>
      <c r="E38" s="257" t="s">
        <v>96</v>
      </c>
      <c r="F38" s="257" t="s">
        <v>104</v>
      </c>
      <c r="G38" s="258" t="s">
        <v>105</v>
      </c>
      <c r="H38" s="257"/>
      <c r="I38" s="257" t="s">
        <v>112</v>
      </c>
      <c r="J38" s="413" t="s">
        <v>113</v>
      </c>
      <c r="K38" s="257" t="s">
        <v>117</v>
      </c>
      <c r="L38" s="257" t="s">
        <v>687</v>
      </c>
      <c r="M38" s="257" t="s">
        <v>676</v>
      </c>
      <c r="N38" s="257"/>
      <c r="O38" s="257" t="s">
        <v>109</v>
      </c>
      <c r="P38" s="305">
        <f t="shared" si="1"/>
        <v>180630</v>
      </c>
      <c r="Q38" s="306">
        <f t="shared" si="11"/>
        <v>0</v>
      </c>
      <c r="R38" s="316">
        <f t="shared" si="12"/>
        <v>60210</v>
      </c>
      <c r="S38" s="316">
        <f t="shared" si="13"/>
        <v>60210</v>
      </c>
      <c r="T38" s="316">
        <f t="shared" si="14"/>
        <v>60210</v>
      </c>
      <c r="U38" s="317">
        <f t="shared" si="15"/>
        <v>0</v>
      </c>
      <c r="V38" s="318">
        <f t="shared" si="10"/>
        <v>0</v>
      </c>
      <c r="W38" s="263"/>
      <c r="X38" s="264"/>
      <c r="Y38" s="265"/>
      <c r="Z38" s="266"/>
      <c r="AA38" s="264">
        <v>60210</v>
      </c>
      <c r="AB38" s="264"/>
      <c r="AC38" s="263"/>
      <c r="AD38" s="264">
        <f>AA38</f>
        <v>60210</v>
      </c>
      <c r="AE38" s="265"/>
      <c r="AF38" s="263"/>
      <c r="AG38" s="264">
        <f>AD38</f>
        <v>60210</v>
      </c>
      <c r="AH38" s="265"/>
      <c r="AI38" s="263"/>
      <c r="AJ38" s="264"/>
      <c r="AK38" s="264"/>
      <c r="AL38" s="270"/>
      <c r="AM38" s="271"/>
      <c r="AN38" s="272"/>
      <c r="AO38" s="275" t="s">
        <v>115</v>
      </c>
      <c r="AP38" s="267"/>
      <c r="AQ38" s="268" t="s">
        <v>433</v>
      </c>
      <c r="AR38" s="473"/>
      <c r="AS38" s="473"/>
    </row>
    <row r="39" spans="1:45" s="234" customFormat="1" ht="150" x14ac:dyDescent="0.25">
      <c r="A39" s="352" t="s">
        <v>2</v>
      </c>
      <c r="B39" s="256" t="s">
        <v>116</v>
      </c>
      <c r="C39" s="256"/>
      <c r="D39" s="257" t="s">
        <v>666</v>
      </c>
      <c r="E39" s="257" t="s">
        <v>96</v>
      </c>
      <c r="F39" s="257" t="s">
        <v>118</v>
      </c>
      <c r="G39" s="258" t="s">
        <v>119</v>
      </c>
      <c r="H39" s="257"/>
      <c r="I39" s="257" t="s">
        <v>120</v>
      </c>
      <c r="J39" s="256" t="s">
        <v>121</v>
      </c>
      <c r="K39" s="257" t="s">
        <v>122</v>
      </c>
      <c r="L39" s="257" t="s">
        <v>687</v>
      </c>
      <c r="M39" s="257" t="s">
        <v>676</v>
      </c>
      <c r="N39" s="257"/>
      <c r="O39" s="257" t="s">
        <v>109</v>
      </c>
      <c r="P39" s="305">
        <f t="shared" si="1"/>
        <v>50000</v>
      </c>
      <c r="Q39" s="306">
        <f t="shared" si="11"/>
        <v>0</v>
      </c>
      <c r="R39" s="316">
        <f>SUM(Z39:AB39)</f>
        <v>50000</v>
      </c>
      <c r="S39" s="316">
        <f t="shared" si="13"/>
        <v>0</v>
      </c>
      <c r="T39" s="316">
        <f t="shared" si="14"/>
        <v>0</v>
      </c>
      <c r="U39" s="317">
        <f t="shared" si="15"/>
        <v>0</v>
      </c>
      <c r="V39" s="318">
        <f t="shared" si="10"/>
        <v>0</v>
      </c>
      <c r="W39" s="263"/>
      <c r="X39" s="264"/>
      <c r="Y39" s="265"/>
      <c r="Z39" s="266">
        <v>50000</v>
      </c>
      <c r="AA39" s="264"/>
      <c r="AB39" s="264"/>
      <c r="AC39" s="263"/>
      <c r="AD39" s="264"/>
      <c r="AE39" s="265"/>
      <c r="AF39" s="263"/>
      <c r="AG39" s="274"/>
      <c r="AH39" s="265"/>
      <c r="AI39" s="263"/>
      <c r="AJ39" s="264"/>
      <c r="AK39" s="264"/>
      <c r="AL39" s="270"/>
      <c r="AM39" s="271"/>
      <c r="AN39" s="272"/>
      <c r="AO39" s="275" t="s">
        <v>123</v>
      </c>
      <c r="AP39" s="267" t="s">
        <v>111</v>
      </c>
      <c r="AQ39" s="268" t="s">
        <v>432</v>
      </c>
      <c r="AR39" s="473"/>
      <c r="AS39" s="473"/>
    </row>
    <row r="40" spans="1:45" s="188" customFormat="1" ht="165" x14ac:dyDescent="0.25">
      <c r="A40" s="352" t="s">
        <v>2</v>
      </c>
      <c r="B40" s="256" t="s">
        <v>94</v>
      </c>
      <c r="C40" s="256"/>
      <c r="D40" s="257" t="s">
        <v>666</v>
      </c>
      <c r="E40" s="257" t="s">
        <v>96</v>
      </c>
      <c r="F40" s="257" t="s">
        <v>104</v>
      </c>
      <c r="G40" s="258" t="s">
        <v>119</v>
      </c>
      <c r="H40" s="257"/>
      <c r="I40" s="257" t="s">
        <v>124</v>
      </c>
      <c r="J40" s="256" t="s">
        <v>125</v>
      </c>
      <c r="K40" s="257" t="s">
        <v>126</v>
      </c>
      <c r="L40" s="257" t="s">
        <v>687</v>
      </c>
      <c r="M40" s="257"/>
      <c r="N40" s="257" t="s">
        <v>680</v>
      </c>
      <c r="O40" s="257" t="s">
        <v>109</v>
      </c>
      <c r="P40" s="305">
        <f t="shared" si="1"/>
        <v>300000</v>
      </c>
      <c r="Q40" s="306">
        <f t="shared" si="11"/>
        <v>0</v>
      </c>
      <c r="R40" s="316">
        <f t="shared" si="12"/>
        <v>300000</v>
      </c>
      <c r="S40" s="316">
        <f t="shared" si="13"/>
        <v>0</v>
      </c>
      <c r="T40" s="316">
        <f t="shared" si="14"/>
        <v>0</v>
      </c>
      <c r="U40" s="317">
        <f t="shared" si="15"/>
        <v>0</v>
      </c>
      <c r="V40" s="318">
        <f t="shared" si="10"/>
        <v>0</v>
      </c>
      <c r="W40" s="263"/>
      <c r="X40" s="264"/>
      <c r="Y40" s="265"/>
      <c r="Z40" s="266">
        <v>300000</v>
      </c>
      <c r="AA40" s="264"/>
      <c r="AB40" s="264"/>
      <c r="AC40" s="263"/>
      <c r="AD40" s="264"/>
      <c r="AE40" s="265"/>
      <c r="AF40" s="263"/>
      <c r="AG40" s="264"/>
      <c r="AH40" s="265"/>
      <c r="AI40" s="263"/>
      <c r="AJ40" s="264"/>
      <c r="AK40" s="264"/>
      <c r="AL40" s="270"/>
      <c r="AM40" s="271"/>
      <c r="AN40" s="272"/>
      <c r="AO40" s="275" t="s">
        <v>127</v>
      </c>
      <c r="AP40" s="267" t="s">
        <v>111</v>
      </c>
      <c r="AQ40" s="268" t="s">
        <v>432</v>
      </c>
      <c r="AR40" s="473"/>
      <c r="AS40" s="473"/>
    </row>
    <row r="41" spans="1:45" s="234" customFormat="1" ht="240" x14ac:dyDescent="0.25">
      <c r="A41" s="352" t="s">
        <v>2</v>
      </c>
      <c r="B41" s="256" t="s">
        <v>128</v>
      </c>
      <c r="C41" s="256"/>
      <c r="D41" s="257" t="s">
        <v>129</v>
      </c>
      <c r="E41" s="257" t="s">
        <v>96</v>
      </c>
      <c r="F41" s="257" t="s">
        <v>130</v>
      </c>
      <c r="G41" s="258" t="s">
        <v>119</v>
      </c>
      <c r="H41" s="257"/>
      <c r="I41" s="257" t="s">
        <v>131</v>
      </c>
      <c r="J41" s="256" t="s">
        <v>132</v>
      </c>
      <c r="K41" s="257" t="s">
        <v>133</v>
      </c>
      <c r="L41" s="257" t="s">
        <v>688</v>
      </c>
      <c r="M41" s="257"/>
      <c r="N41" s="257" t="s">
        <v>680</v>
      </c>
      <c r="O41" s="257" t="s">
        <v>109</v>
      </c>
      <c r="P41" s="305">
        <f t="shared" si="1"/>
        <v>0</v>
      </c>
      <c r="Q41" s="306">
        <f t="shared" si="11"/>
        <v>0</v>
      </c>
      <c r="R41" s="316">
        <f t="shared" si="12"/>
        <v>0</v>
      </c>
      <c r="S41" s="316">
        <f t="shared" si="13"/>
        <v>0</v>
      </c>
      <c r="T41" s="316">
        <f t="shared" si="14"/>
        <v>0</v>
      </c>
      <c r="U41" s="317">
        <f t="shared" si="15"/>
        <v>0</v>
      </c>
      <c r="V41" s="318">
        <f t="shared" si="10"/>
        <v>0</v>
      </c>
      <c r="W41" s="263"/>
      <c r="X41" s="264"/>
      <c r="Y41" s="265"/>
      <c r="Z41" s="550" t="s">
        <v>434</v>
      </c>
      <c r="AA41" s="264"/>
      <c r="AB41" s="264"/>
      <c r="AC41" s="263"/>
      <c r="AD41" s="264"/>
      <c r="AE41" s="265"/>
      <c r="AF41" s="263"/>
      <c r="AG41" s="264"/>
      <c r="AH41" s="265"/>
      <c r="AI41" s="263"/>
      <c r="AJ41" s="264"/>
      <c r="AK41" s="264"/>
      <c r="AL41" s="270"/>
      <c r="AM41" s="271"/>
      <c r="AN41" s="272"/>
      <c r="AO41" s="275" t="s">
        <v>134</v>
      </c>
      <c r="AP41" s="267" t="s">
        <v>135</v>
      </c>
      <c r="AQ41" s="268" t="s">
        <v>438</v>
      </c>
      <c r="AR41" s="473"/>
      <c r="AS41" s="473"/>
    </row>
    <row r="42" spans="1:45" s="234" customFormat="1" ht="105" hidden="1" x14ac:dyDescent="0.25">
      <c r="A42" s="352" t="s">
        <v>2</v>
      </c>
      <c r="B42" s="256" t="s">
        <v>128</v>
      </c>
      <c r="C42" s="256"/>
      <c r="D42" s="257" t="s">
        <v>129</v>
      </c>
      <c r="E42" s="257" t="s">
        <v>96</v>
      </c>
      <c r="F42" s="257" t="s">
        <v>130</v>
      </c>
      <c r="G42" s="258" t="s">
        <v>119</v>
      </c>
      <c r="H42" s="257"/>
      <c r="I42" s="257" t="s">
        <v>136</v>
      </c>
      <c r="J42" s="413" t="s">
        <v>137</v>
      </c>
      <c r="K42" s="257" t="s">
        <v>138</v>
      </c>
      <c r="L42" s="257" t="s">
        <v>669</v>
      </c>
      <c r="M42" s="257"/>
      <c r="N42" s="257"/>
      <c r="O42" s="257" t="s">
        <v>101</v>
      </c>
      <c r="P42" s="305">
        <f t="shared" si="1"/>
        <v>0</v>
      </c>
      <c r="Q42" s="306">
        <f t="shared" si="11"/>
        <v>0</v>
      </c>
      <c r="R42" s="316">
        <f t="shared" si="12"/>
        <v>0</v>
      </c>
      <c r="S42" s="316">
        <f t="shared" si="13"/>
        <v>0</v>
      </c>
      <c r="T42" s="316">
        <f t="shared" si="14"/>
        <v>0</v>
      </c>
      <c r="U42" s="317">
        <f t="shared" si="15"/>
        <v>0</v>
      </c>
      <c r="V42" s="318">
        <f t="shared" si="10"/>
        <v>0</v>
      </c>
      <c r="W42" s="263"/>
      <c r="X42" s="264"/>
      <c r="Y42" s="265"/>
      <c r="Z42" s="266"/>
      <c r="AA42" s="264"/>
      <c r="AB42" s="551" t="s">
        <v>435</v>
      </c>
      <c r="AC42" s="263"/>
      <c r="AD42" s="264"/>
      <c r="AE42" s="552" t="s">
        <v>436</v>
      </c>
      <c r="AF42" s="263"/>
      <c r="AG42" s="264"/>
      <c r="AH42" s="552" t="s">
        <v>437</v>
      </c>
      <c r="AI42" s="263"/>
      <c r="AJ42" s="264"/>
      <c r="AK42" s="551" t="s">
        <v>437</v>
      </c>
      <c r="AL42" s="270"/>
      <c r="AM42" s="271"/>
      <c r="AN42" s="272"/>
      <c r="AO42" s="275" t="s">
        <v>139</v>
      </c>
      <c r="AP42" s="267" t="s">
        <v>140</v>
      </c>
      <c r="AQ42" s="268" t="s">
        <v>438</v>
      </c>
      <c r="AR42" s="473"/>
      <c r="AS42" s="473"/>
    </row>
    <row r="43" spans="1:45" s="234" customFormat="1" ht="225" x14ac:dyDescent="0.25">
      <c r="A43" s="352" t="s">
        <v>2</v>
      </c>
      <c r="B43" s="256" t="s">
        <v>128</v>
      </c>
      <c r="C43" s="256"/>
      <c r="D43" s="257" t="s">
        <v>141</v>
      </c>
      <c r="E43" s="257" t="s">
        <v>96</v>
      </c>
      <c r="F43" s="257" t="s">
        <v>142</v>
      </c>
      <c r="G43" s="258" t="s">
        <v>119</v>
      </c>
      <c r="H43" s="257"/>
      <c r="I43" s="257" t="s">
        <v>143</v>
      </c>
      <c r="J43" s="256" t="s">
        <v>144</v>
      </c>
      <c r="K43" s="257" t="s">
        <v>145</v>
      </c>
      <c r="L43" s="257" t="s">
        <v>687</v>
      </c>
      <c r="M43" s="257"/>
      <c r="N43" s="257" t="s">
        <v>681</v>
      </c>
      <c r="O43" s="257" t="s">
        <v>109</v>
      </c>
      <c r="P43" s="305">
        <f t="shared" si="1"/>
        <v>499915.60000000003</v>
      </c>
      <c r="Q43" s="306">
        <f t="shared" si="11"/>
        <v>0</v>
      </c>
      <c r="R43" s="316">
        <f t="shared" si="12"/>
        <v>32563</v>
      </c>
      <c r="S43" s="316">
        <f t="shared" si="13"/>
        <v>203445.7</v>
      </c>
      <c r="T43" s="316">
        <f t="shared" si="14"/>
        <v>263906.90000000002</v>
      </c>
      <c r="U43" s="317">
        <f t="shared" si="15"/>
        <v>0</v>
      </c>
      <c r="V43" s="318">
        <f t="shared" si="10"/>
        <v>0</v>
      </c>
      <c r="W43" s="263"/>
      <c r="X43" s="264"/>
      <c r="Y43" s="265"/>
      <c r="Z43" s="266">
        <v>0</v>
      </c>
      <c r="AA43" s="264">
        <v>18063</v>
      </c>
      <c r="AB43" s="264">
        <v>14500</v>
      </c>
      <c r="AC43" s="263">
        <v>133000</v>
      </c>
      <c r="AD43" s="264">
        <v>70445.700000000012</v>
      </c>
      <c r="AE43" s="265">
        <v>0</v>
      </c>
      <c r="AF43" s="263">
        <v>168575</v>
      </c>
      <c r="AG43" s="264">
        <v>92331.9</v>
      </c>
      <c r="AH43" s="265">
        <v>3000</v>
      </c>
      <c r="AI43" s="263"/>
      <c r="AJ43" s="264"/>
      <c r="AK43" s="264"/>
      <c r="AL43" s="270"/>
      <c r="AM43" s="271"/>
      <c r="AN43" s="272"/>
      <c r="AO43" s="275" t="s">
        <v>431</v>
      </c>
      <c r="AP43" s="267" t="s">
        <v>103</v>
      </c>
      <c r="AQ43" s="268" t="s">
        <v>439</v>
      </c>
      <c r="AR43" s="473"/>
      <c r="AS43" s="473"/>
    </row>
    <row r="44" spans="1:45" s="234" customFormat="1" ht="165" x14ac:dyDescent="0.25">
      <c r="A44" s="352" t="s">
        <v>2</v>
      </c>
      <c r="B44" s="256" t="s">
        <v>128</v>
      </c>
      <c r="C44" s="256"/>
      <c r="D44" s="257" t="s">
        <v>147</v>
      </c>
      <c r="E44" s="257" t="s">
        <v>96</v>
      </c>
      <c r="F44" s="257" t="s">
        <v>148</v>
      </c>
      <c r="G44" s="258" t="s">
        <v>119</v>
      </c>
      <c r="H44" s="257"/>
      <c r="I44" s="257" t="s">
        <v>149</v>
      </c>
      <c r="J44" s="413" t="s">
        <v>150</v>
      </c>
      <c r="K44" s="257" t="s">
        <v>151</v>
      </c>
      <c r="L44" s="257" t="s">
        <v>687</v>
      </c>
      <c r="M44" s="257"/>
      <c r="N44" s="257"/>
      <c r="O44" s="257" t="s">
        <v>109</v>
      </c>
      <c r="P44" s="305">
        <f t="shared" si="1"/>
        <v>252960</v>
      </c>
      <c r="Q44" s="306">
        <f t="shared" si="11"/>
        <v>0</v>
      </c>
      <c r="R44" s="316">
        <f t="shared" si="12"/>
        <v>84320</v>
      </c>
      <c r="S44" s="316">
        <f t="shared" si="13"/>
        <v>168640</v>
      </c>
      <c r="T44" s="316">
        <f t="shared" si="14"/>
        <v>0</v>
      </c>
      <c r="U44" s="317">
        <f t="shared" si="15"/>
        <v>0</v>
      </c>
      <c r="V44" s="318">
        <f t="shared" si="10"/>
        <v>0</v>
      </c>
      <c r="W44" s="263"/>
      <c r="X44" s="264"/>
      <c r="Y44" s="265"/>
      <c r="Z44" s="266">
        <f>252960/3</f>
        <v>84320</v>
      </c>
      <c r="AA44" s="264"/>
      <c r="AB44" s="264"/>
      <c r="AC44" s="263">
        <f>+Z44*2</f>
        <v>168640</v>
      </c>
      <c r="AD44" s="264"/>
      <c r="AE44" s="265"/>
      <c r="AF44" s="263"/>
      <c r="AG44" s="264"/>
      <c r="AH44" s="265"/>
      <c r="AI44" s="263"/>
      <c r="AJ44" s="264"/>
      <c r="AK44" s="264"/>
      <c r="AL44" s="270"/>
      <c r="AM44" s="271"/>
      <c r="AN44" s="272"/>
      <c r="AO44" s="275" t="s">
        <v>152</v>
      </c>
      <c r="AP44" s="267" t="s">
        <v>140</v>
      </c>
      <c r="AQ44" s="268" t="s">
        <v>439</v>
      </c>
      <c r="AR44" s="473"/>
      <c r="AS44" s="473"/>
    </row>
    <row r="45" spans="1:45" s="234" customFormat="1" ht="270" x14ac:dyDescent="0.25">
      <c r="A45" s="352" t="s">
        <v>2</v>
      </c>
      <c r="B45" s="256" t="s">
        <v>128</v>
      </c>
      <c r="C45" s="256"/>
      <c r="D45" s="257" t="s">
        <v>153</v>
      </c>
      <c r="E45" s="257" t="s">
        <v>96</v>
      </c>
      <c r="F45" s="257"/>
      <c r="G45" s="258" t="s">
        <v>105</v>
      </c>
      <c r="H45" s="257"/>
      <c r="I45" s="257" t="s">
        <v>154</v>
      </c>
      <c r="J45" s="413" t="s">
        <v>155</v>
      </c>
      <c r="K45" s="257" t="s">
        <v>156</v>
      </c>
      <c r="L45" s="257">
        <v>14</v>
      </c>
      <c r="M45" s="257"/>
      <c r="N45" s="257"/>
      <c r="O45" s="257" t="s">
        <v>109</v>
      </c>
      <c r="P45" s="305">
        <f t="shared" si="1"/>
        <v>164000</v>
      </c>
      <c r="Q45" s="306">
        <f t="shared" si="11"/>
        <v>0</v>
      </c>
      <c r="R45" s="316">
        <f t="shared" si="12"/>
        <v>0</v>
      </c>
      <c r="S45" s="316">
        <f t="shared" si="13"/>
        <v>0</v>
      </c>
      <c r="T45" s="316">
        <f t="shared" si="14"/>
        <v>82000</v>
      </c>
      <c r="U45" s="317">
        <f t="shared" si="15"/>
        <v>82000</v>
      </c>
      <c r="V45" s="318">
        <f t="shared" si="10"/>
        <v>0</v>
      </c>
      <c r="W45" s="263"/>
      <c r="X45" s="264"/>
      <c r="Y45" s="265"/>
      <c r="Z45" s="266"/>
      <c r="AA45" s="264"/>
      <c r="AB45" s="264"/>
      <c r="AC45" s="263"/>
      <c r="AD45" s="264"/>
      <c r="AE45" s="265"/>
      <c r="AF45" s="263"/>
      <c r="AG45" s="264"/>
      <c r="AH45" s="265">
        <v>82000</v>
      </c>
      <c r="AI45" s="263"/>
      <c r="AJ45" s="264"/>
      <c r="AK45" s="264">
        <v>82000</v>
      </c>
      <c r="AL45" s="270"/>
      <c r="AM45" s="271"/>
      <c r="AN45" s="272"/>
      <c r="AO45" s="275" t="s">
        <v>157</v>
      </c>
      <c r="AP45" s="267" t="s">
        <v>111</v>
      </c>
      <c r="AQ45" s="268"/>
      <c r="AR45" s="473"/>
      <c r="AS45" s="473"/>
    </row>
    <row r="46" spans="1:45" s="188" customFormat="1" ht="90" hidden="1" x14ac:dyDescent="0.25">
      <c r="A46" s="352" t="s">
        <v>2</v>
      </c>
      <c r="B46" s="256" t="s">
        <v>128</v>
      </c>
      <c r="C46" s="256"/>
      <c r="D46" s="257" t="s">
        <v>158</v>
      </c>
      <c r="E46" s="257" t="s">
        <v>159</v>
      </c>
      <c r="F46" s="257" t="s">
        <v>160</v>
      </c>
      <c r="G46" s="258" t="s">
        <v>161</v>
      </c>
      <c r="H46" s="257"/>
      <c r="I46" s="257" t="s">
        <v>162</v>
      </c>
      <c r="J46" s="256" t="s">
        <v>163</v>
      </c>
      <c r="K46" s="257" t="s">
        <v>164</v>
      </c>
      <c r="L46" s="257" t="s">
        <v>670</v>
      </c>
      <c r="M46" s="257"/>
      <c r="N46" s="257"/>
      <c r="O46" s="257" t="s">
        <v>101</v>
      </c>
      <c r="P46" s="305">
        <f t="shared" si="1"/>
        <v>1724865.2871995601</v>
      </c>
      <c r="Q46" s="306">
        <f t="shared" si="11"/>
        <v>0</v>
      </c>
      <c r="R46" s="316">
        <f t="shared" si="12"/>
        <v>221196</v>
      </c>
      <c r="S46" s="316">
        <f t="shared" si="13"/>
        <v>364501.48</v>
      </c>
      <c r="T46" s="316">
        <f t="shared" si="14"/>
        <v>368256.67239999998</v>
      </c>
      <c r="U46" s="317">
        <f t="shared" si="15"/>
        <v>390185.039812</v>
      </c>
      <c r="V46" s="318">
        <f t="shared" si="10"/>
        <v>380726.09498755995</v>
      </c>
      <c r="W46" s="263"/>
      <c r="X46" s="264"/>
      <c r="Y46" s="265"/>
      <c r="Z46" s="266"/>
      <c r="AA46" s="264">
        <f>3500*1.338*12</f>
        <v>56196</v>
      </c>
      <c r="AB46" s="264">
        <v>165000</v>
      </c>
      <c r="AC46" s="263"/>
      <c r="AD46" s="264">
        <f>+AA46*1.13</f>
        <v>63501.479999999996</v>
      </c>
      <c r="AE46" s="265">
        <v>301000</v>
      </c>
      <c r="AF46" s="263"/>
      <c r="AG46" s="264">
        <f>+AD46*1.13</f>
        <v>71756.672399999996</v>
      </c>
      <c r="AH46" s="265">
        <v>296500</v>
      </c>
      <c r="AI46" s="263"/>
      <c r="AJ46" s="264">
        <f>+AG46*1.13</f>
        <v>81085.039811999988</v>
      </c>
      <c r="AK46" s="264">
        <v>309100</v>
      </c>
      <c r="AL46" s="270"/>
      <c r="AM46" s="271">
        <f>+AJ46*1.13</f>
        <v>91626.094987559976</v>
      </c>
      <c r="AN46" s="272">
        <v>289100</v>
      </c>
      <c r="AO46" s="275" t="s">
        <v>165</v>
      </c>
      <c r="AP46" s="267" t="s">
        <v>140</v>
      </c>
      <c r="AQ46" s="268" t="s">
        <v>440</v>
      </c>
      <c r="AR46" s="473" t="s">
        <v>456</v>
      </c>
      <c r="AS46" s="473" t="s">
        <v>457</v>
      </c>
    </row>
    <row r="47" spans="1:45" s="188" customFormat="1" ht="135" hidden="1" x14ac:dyDescent="0.25">
      <c r="A47" s="352" t="s">
        <v>2</v>
      </c>
      <c r="B47" s="256" t="s">
        <v>94</v>
      </c>
      <c r="C47" s="256"/>
      <c r="D47" s="257"/>
      <c r="E47" s="257" t="s">
        <v>159</v>
      </c>
      <c r="F47" s="257" t="s">
        <v>160</v>
      </c>
      <c r="G47" s="258" t="s">
        <v>161</v>
      </c>
      <c r="H47" s="257"/>
      <c r="I47" s="257" t="s">
        <v>166</v>
      </c>
      <c r="J47" s="256"/>
      <c r="K47" s="257" t="s">
        <v>167</v>
      </c>
      <c r="L47" s="257" t="s">
        <v>673</v>
      </c>
      <c r="M47" s="257"/>
      <c r="N47" s="257"/>
      <c r="O47" s="257" t="s">
        <v>101</v>
      </c>
      <c r="P47" s="305">
        <f t="shared" si="1"/>
        <v>2418000</v>
      </c>
      <c r="Q47" s="306">
        <f t="shared" si="11"/>
        <v>660750</v>
      </c>
      <c r="R47" s="316">
        <f t="shared" si="12"/>
        <v>585750</v>
      </c>
      <c r="S47" s="316">
        <f t="shared" si="13"/>
        <v>585750</v>
      </c>
      <c r="T47" s="316">
        <f t="shared" si="14"/>
        <v>585750</v>
      </c>
      <c r="U47" s="317">
        <f t="shared" si="15"/>
        <v>0</v>
      </c>
      <c r="V47" s="318">
        <f t="shared" si="10"/>
        <v>0</v>
      </c>
      <c r="W47" s="263">
        <v>235000</v>
      </c>
      <c r="X47" s="264">
        <v>68750</v>
      </c>
      <c r="Y47" s="265">
        <v>357000</v>
      </c>
      <c r="Z47" s="266">
        <v>200000</v>
      </c>
      <c r="AA47" s="264">
        <v>68750</v>
      </c>
      <c r="AB47" s="264">
        <v>317000</v>
      </c>
      <c r="AC47" s="263">
        <v>250000</v>
      </c>
      <c r="AD47" s="264">
        <v>68750</v>
      </c>
      <c r="AE47" s="265">
        <v>267000</v>
      </c>
      <c r="AF47" s="263">
        <v>250000</v>
      </c>
      <c r="AG47" s="264">
        <v>68750</v>
      </c>
      <c r="AH47" s="265">
        <v>267000</v>
      </c>
      <c r="AI47" s="263"/>
      <c r="AJ47" s="264"/>
      <c r="AK47" s="264"/>
      <c r="AL47" s="270"/>
      <c r="AM47" s="271"/>
      <c r="AN47" s="272"/>
      <c r="AO47" s="275"/>
      <c r="AP47" s="267" t="s">
        <v>217</v>
      </c>
      <c r="AQ47" s="268"/>
      <c r="AR47" s="473"/>
      <c r="AS47" s="473"/>
    </row>
    <row r="48" spans="1:45" s="234" customFormat="1" ht="15.75" hidden="1" x14ac:dyDescent="0.25">
      <c r="A48" s="352"/>
      <c r="B48" s="256"/>
      <c r="C48" s="256"/>
      <c r="D48" s="257"/>
      <c r="E48" s="257"/>
      <c r="F48" s="257"/>
      <c r="G48" s="258"/>
      <c r="H48" s="256"/>
      <c r="I48" s="257"/>
      <c r="J48" s="256"/>
      <c r="K48" s="257"/>
      <c r="L48" s="257"/>
      <c r="M48" s="257"/>
      <c r="N48" s="257"/>
      <c r="O48" s="257"/>
      <c r="P48" s="305">
        <f t="shared" si="1"/>
        <v>0</v>
      </c>
      <c r="Q48" s="306">
        <f t="shared" si="11"/>
        <v>0</v>
      </c>
      <c r="R48" s="316">
        <f t="shared" si="12"/>
        <v>0</v>
      </c>
      <c r="S48" s="316">
        <f t="shared" si="13"/>
        <v>0</v>
      </c>
      <c r="T48" s="316">
        <f t="shared" si="14"/>
        <v>0</v>
      </c>
      <c r="U48" s="317">
        <f t="shared" si="15"/>
        <v>0</v>
      </c>
      <c r="V48" s="318">
        <f t="shared" si="10"/>
        <v>0</v>
      </c>
      <c r="W48" s="263"/>
      <c r="X48" s="264"/>
      <c r="Y48" s="265"/>
      <c r="Z48" s="266"/>
      <c r="AA48" s="264"/>
      <c r="AB48" s="264"/>
      <c r="AC48" s="263"/>
      <c r="AD48" s="264"/>
      <c r="AE48" s="265"/>
      <c r="AF48" s="263"/>
      <c r="AG48" s="264"/>
      <c r="AH48" s="265"/>
      <c r="AI48" s="263"/>
      <c r="AJ48" s="264"/>
      <c r="AK48" s="264"/>
      <c r="AL48" s="270"/>
      <c r="AM48" s="271"/>
      <c r="AN48" s="272"/>
      <c r="AO48" s="275"/>
      <c r="AP48" s="267"/>
      <c r="AQ48" s="268"/>
      <c r="AR48" s="473"/>
      <c r="AS48" s="473"/>
    </row>
    <row r="49" spans="1:45" s="188" customFormat="1" ht="15.75" hidden="1" x14ac:dyDescent="0.25">
      <c r="A49" s="352"/>
      <c r="B49" s="256"/>
      <c r="C49" s="256"/>
      <c r="D49" s="257"/>
      <c r="E49" s="257"/>
      <c r="F49" s="257"/>
      <c r="G49" s="258"/>
      <c r="H49" s="256"/>
      <c r="I49" s="257"/>
      <c r="J49" s="256"/>
      <c r="K49" s="257"/>
      <c r="L49" s="257"/>
      <c r="M49" s="257"/>
      <c r="N49" s="257"/>
      <c r="O49" s="257"/>
      <c r="P49" s="305">
        <f t="shared" si="1"/>
        <v>0</v>
      </c>
      <c r="Q49" s="306">
        <f t="shared" si="11"/>
        <v>0</v>
      </c>
      <c r="R49" s="316">
        <f t="shared" si="12"/>
        <v>0</v>
      </c>
      <c r="S49" s="316">
        <f t="shared" si="13"/>
        <v>0</v>
      </c>
      <c r="T49" s="316">
        <f t="shared" si="14"/>
        <v>0</v>
      </c>
      <c r="U49" s="317">
        <f t="shared" si="15"/>
        <v>0</v>
      </c>
      <c r="V49" s="318">
        <f t="shared" si="10"/>
        <v>0</v>
      </c>
      <c r="W49" s="263"/>
      <c r="X49" s="264"/>
      <c r="Y49" s="265"/>
      <c r="Z49" s="266"/>
      <c r="AA49" s="264"/>
      <c r="AB49" s="264"/>
      <c r="AC49" s="263"/>
      <c r="AD49" s="264"/>
      <c r="AE49" s="265"/>
      <c r="AF49" s="263"/>
      <c r="AG49" s="264"/>
      <c r="AH49" s="265"/>
      <c r="AI49" s="263"/>
      <c r="AJ49" s="264"/>
      <c r="AK49" s="264"/>
      <c r="AL49" s="270"/>
      <c r="AM49" s="271"/>
      <c r="AN49" s="272"/>
      <c r="AO49" s="275"/>
      <c r="AP49" s="267"/>
      <c r="AQ49" s="268"/>
      <c r="AR49" s="473"/>
      <c r="AS49" s="473"/>
    </row>
    <row r="50" spans="1:45" s="234" customFormat="1" ht="409.5" hidden="1" x14ac:dyDescent="0.25">
      <c r="A50" s="352" t="s">
        <v>2</v>
      </c>
      <c r="B50" s="256" t="s">
        <v>128</v>
      </c>
      <c r="C50" s="256"/>
      <c r="D50" s="257" t="s">
        <v>168</v>
      </c>
      <c r="E50" s="257" t="s">
        <v>96</v>
      </c>
      <c r="F50" s="257" t="s">
        <v>177</v>
      </c>
      <c r="G50" s="258" t="s">
        <v>119</v>
      </c>
      <c r="H50" s="256"/>
      <c r="I50" s="257" t="s">
        <v>441</v>
      </c>
      <c r="J50" s="413" t="s">
        <v>442</v>
      </c>
      <c r="K50" s="257" t="s">
        <v>443</v>
      </c>
      <c r="L50" s="257" t="s">
        <v>671</v>
      </c>
      <c r="M50" s="257"/>
      <c r="N50" s="257"/>
      <c r="O50" s="257" t="s">
        <v>101</v>
      </c>
      <c r="P50" s="305">
        <f t="shared" si="1"/>
        <v>6273602</v>
      </c>
      <c r="Q50" s="306">
        <f t="shared" si="11"/>
        <v>0</v>
      </c>
      <c r="R50" s="316">
        <f t="shared" si="12"/>
        <v>0</v>
      </c>
      <c r="S50" s="316">
        <f t="shared" si="13"/>
        <v>1434052</v>
      </c>
      <c r="T50" s="316">
        <f t="shared" si="14"/>
        <v>1439112</v>
      </c>
      <c r="U50" s="317">
        <f t="shared" si="15"/>
        <v>1584963</v>
      </c>
      <c r="V50" s="318">
        <f t="shared" si="10"/>
        <v>1815475</v>
      </c>
      <c r="W50" s="263"/>
      <c r="X50" s="264"/>
      <c r="Y50" s="265"/>
      <c r="Z50" s="266"/>
      <c r="AA50" s="264"/>
      <c r="AB50" s="264"/>
      <c r="AC50" s="263">
        <v>750000</v>
      </c>
      <c r="AD50" s="264">
        <v>244052</v>
      </c>
      <c r="AE50" s="265">
        <v>440000</v>
      </c>
      <c r="AF50" s="263">
        <v>500000</v>
      </c>
      <c r="AG50" s="264">
        <v>275779</v>
      </c>
      <c r="AH50" s="265">
        <v>663333</v>
      </c>
      <c r="AI50" s="263">
        <v>600000</v>
      </c>
      <c r="AJ50" s="264">
        <v>311630</v>
      </c>
      <c r="AK50" s="264">
        <v>673333</v>
      </c>
      <c r="AL50" s="270">
        <v>800000</v>
      </c>
      <c r="AM50" s="271">
        <v>352142</v>
      </c>
      <c r="AN50" s="272">
        <v>663333</v>
      </c>
      <c r="AO50" s="275" t="s">
        <v>453</v>
      </c>
      <c r="AP50" s="267" t="s">
        <v>221</v>
      </c>
      <c r="AQ50" s="268" t="s">
        <v>454</v>
      </c>
      <c r="AR50" s="473" t="s">
        <v>455</v>
      </c>
      <c r="AS50" s="473" t="s">
        <v>450</v>
      </c>
    </row>
    <row r="51" spans="1:45" s="234" customFormat="1" ht="135" hidden="1" x14ac:dyDescent="0.25">
      <c r="A51" s="352" t="s">
        <v>2</v>
      </c>
      <c r="B51" s="256" t="s">
        <v>128</v>
      </c>
      <c r="C51" s="256"/>
      <c r="D51" s="257" t="s">
        <v>168</v>
      </c>
      <c r="E51" s="257" t="s">
        <v>96</v>
      </c>
      <c r="F51" s="257" t="s">
        <v>177</v>
      </c>
      <c r="G51" s="258" t="s">
        <v>119</v>
      </c>
      <c r="H51" s="256"/>
      <c r="I51" s="257" t="s">
        <v>182</v>
      </c>
      <c r="J51" s="256" t="s">
        <v>183</v>
      </c>
      <c r="K51" s="257" t="s">
        <v>184</v>
      </c>
      <c r="L51" s="257" t="s">
        <v>672</v>
      </c>
      <c r="M51" s="257"/>
      <c r="N51" s="257"/>
      <c r="O51" s="257" t="s">
        <v>185</v>
      </c>
      <c r="P51" s="305">
        <f t="shared" si="1"/>
        <v>501380</v>
      </c>
      <c r="Q51" s="306">
        <f t="shared" si="11"/>
        <v>250690</v>
      </c>
      <c r="R51" s="316">
        <f t="shared" si="12"/>
        <v>250690</v>
      </c>
      <c r="S51" s="316">
        <f t="shared" si="13"/>
        <v>0</v>
      </c>
      <c r="T51" s="316">
        <f t="shared" si="14"/>
        <v>0</v>
      </c>
      <c r="U51" s="317">
        <f t="shared" si="15"/>
        <v>0</v>
      </c>
      <c r="V51" s="318">
        <f t="shared" si="10"/>
        <v>0</v>
      </c>
      <c r="W51" s="263"/>
      <c r="X51" s="264">
        <v>250690</v>
      </c>
      <c r="Y51" s="265"/>
      <c r="Z51" s="266"/>
      <c r="AA51" s="264">
        <v>250690</v>
      </c>
      <c r="AB51" s="264"/>
      <c r="AC51" s="263"/>
      <c r="AD51" s="264"/>
      <c r="AE51" s="265"/>
      <c r="AF51" s="263"/>
      <c r="AG51" s="264"/>
      <c r="AH51" s="265"/>
      <c r="AI51" s="263"/>
      <c r="AJ51" s="264"/>
      <c r="AK51" s="264"/>
      <c r="AL51" s="270"/>
      <c r="AM51" s="271"/>
      <c r="AN51" s="272"/>
      <c r="AO51" s="275" t="s">
        <v>186</v>
      </c>
      <c r="AP51" s="267" t="s">
        <v>103</v>
      </c>
      <c r="AQ51" s="268"/>
      <c r="AR51" s="473"/>
      <c r="AS51" s="473"/>
    </row>
    <row r="52" spans="1:45" s="234" customFormat="1" ht="15.75" hidden="1" x14ac:dyDescent="0.25">
      <c r="A52" s="352"/>
      <c r="B52" s="256"/>
      <c r="C52" s="256"/>
      <c r="D52" s="257"/>
      <c r="E52" s="257"/>
      <c r="F52" s="257"/>
      <c r="G52" s="258"/>
      <c r="H52" s="256"/>
      <c r="I52" s="257"/>
      <c r="J52" s="256"/>
      <c r="K52" s="257"/>
      <c r="L52" s="257"/>
      <c r="M52" s="257"/>
      <c r="N52" s="257"/>
      <c r="O52" s="257"/>
      <c r="P52" s="305">
        <f t="shared" si="1"/>
        <v>0</v>
      </c>
      <c r="Q52" s="306">
        <f t="shared" si="11"/>
        <v>0</v>
      </c>
      <c r="R52" s="316">
        <f t="shared" si="12"/>
        <v>0</v>
      </c>
      <c r="S52" s="316">
        <f t="shared" si="13"/>
        <v>0</v>
      </c>
      <c r="T52" s="316">
        <f t="shared" si="14"/>
        <v>0</v>
      </c>
      <c r="U52" s="317">
        <f t="shared" si="15"/>
        <v>0</v>
      </c>
      <c r="V52" s="318">
        <f t="shared" si="10"/>
        <v>0</v>
      </c>
      <c r="W52" s="263"/>
      <c r="X52" s="264"/>
      <c r="Y52" s="265"/>
      <c r="Z52" s="266"/>
      <c r="AA52" s="264"/>
      <c r="AB52" s="264"/>
      <c r="AC52" s="263"/>
      <c r="AD52" s="264"/>
      <c r="AE52" s="265"/>
      <c r="AF52" s="263"/>
      <c r="AG52" s="264"/>
      <c r="AH52" s="265"/>
      <c r="AI52" s="263"/>
      <c r="AJ52" s="264"/>
      <c r="AK52" s="264"/>
      <c r="AL52" s="270"/>
      <c r="AM52" s="271"/>
      <c r="AN52" s="272"/>
      <c r="AO52" s="275"/>
      <c r="AP52" s="267"/>
      <c r="AQ52" s="268"/>
      <c r="AR52" s="473"/>
      <c r="AS52" s="473"/>
    </row>
    <row r="53" spans="1:45" s="188" customFormat="1" ht="15.75" hidden="1" x14ac:dyDescent="0.25">
      <c r="A53" s="352"/>
      <c r="B53" s="256"/>
      <c r="C53" s="256"/>
      <c r="D53" s="257"/>
      <c r="E53" s="257"/>
      <c r="F53" s="257"/>
      <c r="G53" s="258"/>
      <c r="H53" s="256"/>
      <c r="I53" s="257"/>
      <c r="J53" s="256"/>
      <c r="K53" s="257"/>
      <c r="L53" s="257"/>
      <c r="M53" s="257"/>
      <c r="N53" s="257"/>
      <c r="O53" s="257"/>
      <c r="P53" s="305">
        <f t="shared" si="1"/>
        <v>0</v>
      </c>
      <c r="Q53" s="306">
        <f t="shared" si="11"/>
        <v>0</v>
      </c>
      <c r="R53" s="316">
        <f t="shared" si="12"/>
        <v>0</v>
      </c>
      <c r="S53" s="316">
        <f t="shared" si="13"/>
        <v>0</v>
      </c>
      <c r="T53" s="316">
        <f t="shared" si="14"/>
        <v>0</v>
      </c>
      <c r="U53" s="317">
        <f t="shared" si="15"/>
        <v>0</v>
      </c>
      <c r="V53" s="318">
        <f t="shared" si="10"/>
        <v>0</v>
      </c>
      <c r="W53" s="263"/>
      <c r="X53" s="264"/>
      <c r="Y53" s="265"/>
      <c r="Z53" s="266"/>
      <c r="AA53" s="264"/>
      <c r="AB53" s="264"/>
      <c r="AC53" s="263"/>
      <c r="AD53" s="264"/>
      <c r="AE53" s="265"/>
      <c r="AF53" s="263"/>
      <c r="AG53" s="264"/>
      <c r="AH53" s="265"/>
      <c r="AI53" s="263"/>
      <c r="AJ53" s="264"/>
      <c r="AK53" s="264"/>
      <c r="AL53" s="270"/>
      <c r="AM53" s="271"/>
      <c r="AN53" s="272"/>
      <c r="AO53" s="275"/>
      <c r="AP53" s="267"/>
      <c r="AQ53" s="268"/>
      <c r="AR53" s="473"/>
      <c r="AS53" s="473"/>
    </row>
    <row r="54" spans="1:45" s="234" customFormat="1" ht="15.75" hidden="1" x14ac:dyDescent="0.25">
      <c r="A54" s="352"/>
      <c r="B54" s="256"/>
      <c r="C54" s="256"/>
      <c r="D54" s="257"/>
      <c r="E54" s="257"/>
      <c r="F54" s="257"/>
      <c r="G54" s="258"/>
      <c r="H54" s="256"/>
      <c r="I54" s="257"/>
      <c r="J54" s="256"/>
      <c r="K54" s="257"/>
      <c r="L54" s="257"/>
      <c r="M54" s="257"/>
      <c r="N54" s="257"/>
      <c r="O54" s="257"/>
      <c r="P54" s="305">
        <f t="shared" si="1"/>
        <v>0</v>
      </c>
      <c r="Q54" s="306">
        <f t="shared" si="11"/>
        <v>0</v>
      </c>
      <c r="R54" s="316">
        <f t="shared" si="12"/>
        <v>0</v>
      </c>
      <c r="S54" s="316">
        <f t="shared" si="13"/>
        <v>0</v>
      </c>
      <c r="T54" s="316">
        <f t="shared" si="14"/>
        <v>0</v>
      </c>
      <c r="U54" s="317">
        <f t="shared" si="15"/>
        <v>0</v>
      </c>
      <c r="V54" s="318">
        <f t="shared" si="10"/>
        <v>0</v>
      </c>
      <c r="W54" s="263"/>
      <c r="X54" s="264"/>
      <c r="Y54" s="265"/>
      <c r="Z54" s="266"/>
      <c r="AA54" s="264"/>
      <c r="AB54" s="264"/>
      <c r="AC54" s="263"/>
      <c r="AD54" s="264"/>
      <c r="AE54" s="265"/>
      <c r="AF54" s="263"/>
      <c r="AG54" s="264"/>
      <c r="AH54" s="265"/>
      <c r="AI54" s="263"/>
      <c r="AJ54" s="264"/>
      <c r="AK54" s="264"/>
      <c r="AL54" s="270"/>
      <c r="AM54" s="271"/>
      <c r="AN54" s="272"/>
      <c r="AO54" s="275"/>
      <c r="AP54" s="267"/>
      <c r="AQ54" s="268"/>
      <c r="AR54" s="473"/>
      <c r="AS54" s="473"/>
    </row>
    <row r="55" spans="1:45" s="234" customFormat="1" ht="409.5" hidden="1" x14ac:dyDescent="0.25">
      <c r="A55" s="352" t="s">
        <v>2</v>
      </c>
      <c r="B55" s="256" t="s">
        <v>128</v>
      </c>
      <c r="C55" s="256"/>
      <c r="D55" s="257" t="s">
        <v>191</v>
      </c>
      <c r="E55" s="257" t="s">
        <v>96</v>
      </c>
      <c r="F55" s="257" t="s">
        <v>142</v>
      </c>
      <c r="G55" s="258" t="s">
        <v>119</v>
      </c>
      <c r="H55" s="256"/>
      <c r="I55" s="257" t="s">
        <v>444</v>
      </c>
      <c r="J55" s="256" t="s">
        <v>445</v>
      </c>
      <c r="K55" s="257" t="s">
        <v>446</v>
      </c>
      <c r="L55" s="257" t="s">
        <v>672</v>
      </c>
      <c r="M55" s="257"/>
      <c r="N55" s="257"/>
      <c r="O55" s="257" t="s">
        <v>101</v>
      </c>
      <c r="P55" s="305">
        <f t="shared" si="1"/>
        <v>3142449</v>
      </c>
      <c r="Q55" s="306">
        <f t="shared" si="11"/>
        <v>0</v>
      </c>
      <c r="R55" s="316">
        <f t="shared" si="12"/>
        <v>0</v>
      </c>
      <c r="S55" s="316">
        <f t="shared" si="13"/>
        <v>622500</v>
      </c>
      <c r="T55" s="316">
        <f t="shared" si="14"/>
        <v>735000</v>
      </c>
      <c r="U55" s="317">
        <f t="shared" si="15"/>
        <v>791725</v>
      </c>
      <c r="V55" s="318">
        <f t="shared" si="10"/>
        <v>993224</v>
      </c>
      <c r="W55" s="263"/>
      <c r="X55" s="264"/>
      <c r="Y55" s="265"/>
      <c r="Z55" s="266"/>
      <c r="AA55" s="264"/>
      <c r="AB55" s="264"/>
      <c r="AC55" s="263">
        <v>210000</v>
      </c>
      <c r="AD55" s="264">
        <v>250000</v>
      </c>
      <c r="AE55" s="265">
        <v>162500</v>
      </c>
      <c r="AF55" s="263">
        <v>271800</v>
      </c>
      <c r="AG55" s="264">
        <v>282500</v>
      </c>
      <c r="AH55" s="265">
        <v>180700</v>
      </c>
      <c r="AI55" s="263">
        <v>271500</v>
      </c>
      <c r="AJ55" s="264">
        <v>319225</v>
      </c>
      <c r="AK55" s="264">
        <v>201000</v>
      </c>
      <c r="AL55" s="270">
        <v>407900</v>
      </c>
      <c r="AM55" s="271">
        <v>360724</v>
      </c>
      <c r="AN55" s="272">
        <v>224600</v>
      </c>
      <c r="AO55" s="275" t="s">
        <v>447</v>
      </c>
      <c r="AP55" s="267" t="s">
        <v>221</v>
      </c>
      <c r="AQ55" s="268" t="s">
        <v>448</v>
      </c>
      <c r="AR55" s="473" t="s">
        <v>449</v>
      </c>
      <c r="AS55" s="473" t="s">
        <v>450</v>
      </c>
    </row>
    <row r="56" spans="1:45" s="188" customFormat="1" ht="120" hidden="1" x14ac:dyDescent="0.25">
      <c r="A56" s="352" t="s">
        <v>2</v>
      </c>
      <c r="B56" s="256" t="s">
        <v>128</v>
      </c>
      <c r="C56" s="256"/>
      <c r="D56" s="257" t="s">
        <v>191</v>
      </c>
      <c r="E56" s="257" t="s">
        <v>96</v>
      </c>
      <c r="F56" s="257" t="s">
        <v>142</v>
      </c>
      <c r="G56" s="258" t="s">
        <v>119</v>
      </c>
      <c r="H56" s="257"/>
      <c r="I56" s="257" t="s">
        <v>203</v>
      </c>
      <c r="J56" s="256" t="s">
        <v>204</v>
      </c>
      <c r="K56" s="257" t="s">
        <v>205</v>
      </c>
      <c r="L56" s="257" t="s">
        <v>672</v>
      </c>
      <c r="M56" s="257"/>
      <c r="N56" s="257"/>
      <c r="O56" s="257" t="s">
        <v>185</v>
      </c>
      <c r="P56" s="305">
        <f t="shared" si="1"/>
        <v>85000</v>
      </c>
      <c r="Q56" s="306">
        <f t="shared" si="11"/>
        <v>85000</v>
      </c>
      <c r="R56" s="316">
        <f t="shared" si="12"/>
        <v>0</v>
      </c>
      <c r="S56" s="316">
        <f t="shared" si="13"/>
        <v>0</v>
      </c>
      <c r="T56" s="316">
        <f t="shared" si="14"/>
        <v>0</v>
      </c>
      <c r="U56" s="317">
        <f t="shared" si="15"/>
        <v>0</v>
      </c>
      <c r="V56" s="318">
        <f t="shared" si="10"/>
        <v>0</v>
      </c>
      <c r="W56" s="263"/>
      <c r="X56" s="264">
        <v>85000</v>
      </c>
      <c r="Y56" s="265"/>
      <c r="Z56" s="266"/>
      <c r="AA56" s="264"/>
      <c r="AB56" s="264"/>
      <c r="AC56" s="263"/>
      <c r="AD56" s="264"/>
      <c r="AE56" s="265"/>
      <c r="AF56" s="263"/>
      <c r="AG56" s="264"/>
      <c r="AH56" s="265"/>
      <c r="AI56" s="263"/>
      <c r="AJ56" s="264"/>
      <c r="AK56" s="264"/>
      <c r="AL56" s="270"/>
      <c r="AM56" s="271"/>
      <c r="AN56" s="272"/>
      <c r="AO56" s="275" t="s">
        <v>206</v>
      </c>
      <c r="AP56" s="267" t="s">
        <v>103</v>
      </c>
      <c r="AQ56" s="268"/>
      <c r="AR56" s="473"/>
      <c r="AS56" s="473"/>
    </row>
    <row r="57" spans="1:45" s="234" customFormat="1" ht="150" hidden="1" x14ac:dyDescent="0.25">
      <c r="A57" s="352" t="s">
        <v>2</v>
      </c>
      <c r="B57" s="256" t="s">
        <v>128</v>
      </c>
      <c r="C57" s="256"/>
      <c r="D57" s="257" t="s">
        <v>129</v>
      </c>
      <c r="E57" s="257" t="s">
        <v>96</v>
      </c>
      <c r="F57" s="257" t="s">
        <v>130</v>
      </c>
      <c r="G57" s="258" t="s">
        <v>119</v>
      </c>
      <c r="H57" s="257"/>
      <c r="I57" s="257" t="s">
        <v>207</v>
      </c>
      <c r="J57" s="413" t="s">
        <v>208</v>
      </c>
      <c r="K57" s="257" t="s">
        <v>209</v>
      </c>
      <c r="L57" s="257" t="s">
        <v>669</v>
      </c>
      <c r="M57" s="257"/>
      <c r="N57" s="257"/>
      <c r="O57" s="257" t="s">
        <v>101</v>
      </c>
      <c r="P57" s="305">
        <f t="shared" si="1"/>
        <v>0</v>
      </c>
      <c r="Q57" s="306">
        <f t="shared" si="11"/>
        <v>0</v>
      </c>
      <c r="R57" s="316">
        <f t="shared" si="12"/>
        <v>0</v>
      </c>
      <c r="S57" s="316">
        <f t="shared" si="13"/>
        <v>0</v>
      </c>
      <c r="T57" s="316">
        <f t="shared" si="14"/>
        <v>0</v>
      </c>
      <c r="U57" s="317">
        <f t="shared" si="15"/>
        <v>0</v>
      </c>
      <c r="V57" s="318">
        <f t="shared" si="10"/>
        <v>0</v>
      </c>
      <c r="W57" s="263"/>
      <c r="X57" s="264"/>
      <c r="Y57" s="265"/>
      <c r="Z57" s="266"/>
      <c r="AA57" s="551" t="s">
        <v>452</v>
      </c>
      <c r="AB57" s="264"/>
      <c r="AC57" s="263"/>
      <c r="AD57" s="551" t="s">
        <v>452</v>
      </c>
      <c r="AE57" s="265"/>
      <c r="AF57" s="263"/>
      <c r="AG57" s="551" t="s">
        <v>452</v>
      </c>
      <c r="AH57" s="265"/>
      <c r="AI57" s="263"/>
      <c r="AJ57" s="551" t="s">
        <v>452</v>
      </c>
      <c r="AK57" s="264"/>
      <c r="AL57" s="270"/>
      <c r="AM57" s="271"/>
      <c r="AN57" s="272"/>
      <c r="AO57" s="275" t="s">
        <v>210</v>
      </c>
      <c r="AP57" s="267" t="s">
        <v>103</v>
      </c>
      <c r="AQ57" s="268" t="s">
        <v>438</v>
      </c>
      <c r="AR57" s="473"/>
      <c r="AS57" s="473"/>
    </row>
    <row r="58" spans="1:45" s="188" customFormat="1" ht="105" hidden="1" x14ac:dyDescent="0.25">
      <c r="A58" s="352" t="s">
        <v>2</v>
      </c>
      <c r="B58" s="256" t="s">
        <v>128</v>
      </c>
      <c r="C58" s="256"/>
      <c r="D58" s="257" t="s">
        <v>129</v>
      </c>
      <c r="E58" s="257" t="s">
        <v>96</v>
      </c>
      <c r="F58" s="257" t="s">
        <v>130</v>
      </c>
      <c r="G58" s="258" t="s">
        <v>119</v>
      </c>
      <c r="H58" s="257"/>
      <c r="I58" s="257" t="s">
        <v>211</v>
      </c>
      <c r="J58" s="256" t="s">
        <v>212</v>
      </c>
      <c r="K58" s="257" t="s">
        <v>213</v>
      </c>
      <c r="L58" s="257" t="s">
        <v>669</v>
      </c>
      <c r="M58" s="257"/>
      <c r="N58" s="257"/>
      <c r="O58" s="257" t="s">
        <v>214</v>
      </c>
      <c r="P58" s="305">
        <f t="shared" si="1"/>
        <v>0</v>
      </c>
      <c r="Q58" s="306">
        <f t="shared" si="11"/>
        <v>0</v>
      </c>
      <c r="R58" s="316">
        <f t="shared" si="12"/>
        <v>0</v>
      </c>
      <c r="S58" s="316">
        <f t="shared" si="13"/>
        <v>0</v>
      </c>
      <c r="T58" s="316">
        <f t="shared" si="14"/>
        <v>0</v>
      </c>
      <c r="U58" s="317">
        <f t="shared" si="15"/>
        <v>0</v>
      </c>
      <c r="V58" s="318">
        <f t="shared" si="10"/>
        <v>0</v>
      </c>
      <c r="W58" s="263"/>
      <c r="X58" s="551" t="s">
        <v>451</v>
      </c>
      <c r="Y58" s="265"/>
      <c r="Z58" s="266"/>
      <c r="AA58" s="264"/>
      <c r="AB58" s="264"/>
      <c r="AC58" s="263"/>
      <c r="AD58" s="264"/>
      <c r="AE58" s="265"/>
      <c r="AF58" s="263"/>
      <c r="AG58" s="264"/>
      <c r="AH58" s="265"/>
      <c r="AI58" s="263"/>
      <c r="AJ58" s="264"/>
      <c r="AK58" s="264"/>
      <c r="AL58" s="270"/>
      <c r="AM58" s="271"/>
      <c r="AN58" s="272"/>
      <c r="AO58" s="275" t="s">
        <v>215</v>
      </c>
      <c r="AP58" s="267"/>
      <c r="AQ58" s="268" t="s">
        <v>438</v>
      </c>
      <c r="AR58" s="473"/>
      <c r="AS58" s="473"/>
    </row>
    <row r="59" spans="1:45" s="234" customFormat="1" ht="270" x14ac:dyDescent="0.25">
      <c r="A59" s="352" t="s">
        <v>2</v>
      </c>
      <c r="B59" s="256" t="s">
        <v>116</v>
      </c>
      <c r="C59" s="256"/>
      <c r="D59" s="257" t="s">
        <v>666</v>
      </c>
      <c r="E59" s="257" t="s">
        <v>96</v>
      </c>
      <c r="F59" s="257" t="s">
        <v>118</v>
      </c>
      <c r="G59" s="258" t="s">
        <v>119</v>
      </c>
      <c r="H59" s="257"/>
      <c r="I59" s="257" t="s">
        <v>427</v>
      </c>
      <c r="J59" s="413" t="s">
        <v>658</v>
      </c>
      <c r="K59" s="257" t="s">
        <v>428</v>
      </c>
      <c r="L59" s="257">
        <v>1</v>
      </c>
      <c r="M59" s="257" t="s">
        <v>677</v>
      </c>
      <c r="N59" s="257" t="s">
        <v>682</v>
      </c>
      <c r="O59" s="257" t="s">
        <v>109</v>
      </c>
      <c r="P59" s="305">
        <f t="shared" si="1"/>
        <v>2941000</v>
      </c>
      <c r="Q59" s="306">
        <f t="shared" si="11"/>
        <v>0</v>
      </c>
      <c r="R59" s="316">
        <f t="shared" si="12"/>
        <v>73500</v>
      </c>
      <c r="S59" s="316">
        <f t="shared" si="13"/>
        <v>1294000</v>
      </c>
      <c r="T59" s="316">
        <f t="shared" si="14"/>
        <v>1573500</v>
      </c>
      <c r="U59" s="317">
        <f t="shared" si="15"/>
        <v>0</v>
      </c>
      <c r="V59" s="318">
        <f t="shared" si="10"/>
        <v>0</v>
      </c>
      <c r="W59" s="263"/>
      <c r="X59" s="264"/>
      <c r="Y59" s="265"/>
      <c r="Z59" s="266"/>
      <c r="AA59" s="264">
        <f>(5000+5000+5500+4000+5000)*3</f>
        <v>73500</v>
      </c>
      <c r="AB59" s="264"/>
      <c r="AC59" s="263">
        <v>1000000</v>
      </c>
      <c r="AD59" s="264">
        <f>(5000+5000+5500+4000+5000)*12</f>
        <v>294000</v>
      </c>
      <c r="AE59" s="265"/>
      <c r="AF59" s="263">
        <v>1500000</v>
      </c>
      <c r="AG59" s="264">
        <f>(5000+5000+5500+4000+5000)*3</f>
        <v>73500</v>
      </c>
      <c r="AH59" s="265"/>
      <c r="AI59" s="263"/>
      <c r="AJ59" s="264"/>
      <c r="AK59" s="264"/>
      <c r="AL59" s="270"/>
      <c r="AM59" s="271"/>
      <c r="AN59" s="272"/>
      <c r="AO59" s="275" t="s">
        <v>668</v>
      </c>
      <c r="AP59" s="267"/>
      <c r="AQ59" s="268"/>
      <c r="AR59" s="473"/>
      <c r="AS59" s="473"/>
    </row>
    <row r="60" spans="1:45" s="234" customFormat="1" ht="255" hidden="1" x14ac:dyDescent="0.25">
      <c r="A60" s="352" t="s">
        <v>2</v>
      </c>
      <c r="B60" s="256" t="s">
        <v>116</v>
      </c>
      <c r="C60" s="256"/>
      <c r="D60" s="257" t="s">
        <v>666</v>
      </c>
      <c r="E60" s="257" t="s">
        <v>96</v>
      </c>
      <c r="F60" s="257" t="s">
        <v>118</v>
      </c>
      <c r="G60" s="273" t="s">
        <v>119</v>
      </c>
      <c r="H60" s="257"/>
      <c r="I60" s="257" t="s">
        <v>410</v>
      </c>
      <c r="J60" s="256" t="s">
        <v>411</v>
      </c>
      <c r="K60" s="257" t="s">
        <v>412</v>
      </c>
      <c r="L60" s="257" t="s">
        <v>673</v>
      </c>
      <c r="M60" s="257"/>
      <c r="N60" s="257"/>
      <c r="O60" s="257" t="s">
        <v>185</v>
      </c>
      <c r="P60" s="305">
        <f t="shared" si="1"/>
        <v>800000</v>
      </c>
      <c r="Q60" s="306">
        <f t="shared" si="11"/>
        <v>0</v>
      </c>
      <c r="R60" s="316">
        <f t="shared" si="12"/>
        <v>0</v>
      </c>
      <c r="S60" s="316">
        <f t="shared" si="13"/>
        <v>800000</v>
      </c>
      <c r="T60" s="316">
        <f t="shared" si="14"/>
        <v>0</v>
      </c>
      <c r="U60" s="317">
        <f t="shared" si="15"/>
        <v>0</v>
      </c>
      <c r="V60" s="318">
        <f t="shared" si="10"/>
        <v>0</v>
      </c>
      <c r="W60" s="263"/>
      <c r="X60" s="264"/>
      <c r="Y60" s="265"/>
      <c r="Z60" s="266"/>
      <c r="AA60" s="264"/>
      <c r="AB60" s="264"/>
      <c r="AC60" s="263">
        <v>800000</v>
      </c>
      <c r="AD60" s="264"/>
      <c r="AE60" s="265"/>
      <c r="AF60" s="263"/>
      <c r="AG60" s="264"/>
      <c r="AH60" s="265"/>
      <c r="AI60" s="263"/>
      <c r="AJ60" s="264"/>
      <c r="AK60" s="264"/>
      <c r="AL60" s="270"/>
      <c r="AM60" s="271"/>
      <c r="AN60" s="272"/>
      <c r="AO60" s="275"/>
      <c r="AP60" s="267"/>
      <c r="AQ60" s="268"/>
      <c r="AR60" s="473"/>
      <c r="AS60" s="473"/>
    </row>
    <row r="61" spans="1:45" s="234" customFormat="1" ht="345" hidden="1" x14ac:dyDescent="0.25">
      <c r="A61" s="352" t="s">
        <v>2</v>
      </c>
      <c r="B61" s="256" t="s">
        <v>420</v>
      </c>
      <c r="C61" s="256"/>
      <c r="D61" s="257" t="s">
        <v>416</v>
      </c>
      <c r="E61" s="257" t="s">
        <v>96</v>
      </c>
      <c r="F61" s="257" t="s">
        <v>142</v>
      </c>
      <c r="G61" s="258" t="s">
        <v>119</v>
      </c>
      <c r="H61" s="257"/>
      <c r="I61" s="257" t="s">
        <v>417</v>
      </c>
      <c r="J61" s="413" t="s">
        <v>418</v>
      </c>
      <c r="K61" s="257" t="s">
        <v>419</v>
      </c>
      <c r="L61" s="257" t="s">
        <v>675</v>
      </c>
      <c r="M61" s="257"/>
      <c r="N61" s="257"/>
      <c r="O61" s="257" t="s">
        <v>185</v>
      </c>
      <c r="P61" s="305">
        <f t="shared" si="1"/>
        <v>400000</v>
      </c>
      <c r="Q61" s="306">
        <f t="shared" si="11"/>
        <v>0</v>
      </c>
      <c r="R61" s="316">
        <f t="shared" si="12"/>
        <v>0</v>
      </c>
      <c r="S61" s="316">
        <f t="shared" si="13"/>
        <v>400000</v>
      </c>
      <c r="T61" s="316">
        <f t="shared" si="14"/>
        <v>0</v>
      </c>
      <c r="U61" s="317">
        <f t="shared" si="15"/>
        <v>0</v>
      </c>
      <c r="V61" s="318">
        <f t="shared" si="10"/>
        <v>0</v>
      </c>
      <c r="W61" s="263"/>
      <c r="X61" s="264"/>
      <c r="Y61" s="265"/>
      <c r="Z61" s="266"/>
      <c r="AA61" s="264"/>
      <c r="AB61" s="264"/>
      <c r="AC61" s="263">
        <v>400000</v>
      </c>
      <c r="AD61" s="264"/>
      <c r="AE61" s="265"/>
      <c r="AF61" s="263"/>
      <c r="AG61" s="264"/>
      <c r="AH61" s="265"/>
      <c r="AI61" s="263"/>
      <c r="AJ61" s="264"/>
      <c r="AK61" s="264"/>
      <c r="AL61" s="270"/>
      <c r="AM61" s="271"/>
      <c r="AN61" s="272"/>
      <c r="AO61" s="275"/>
      <c r="AP61" s="267"/>
      <c r="AQ61" s="268"/>
      <c r="AR61" s="473"/>
      <c r="AS61" s="473"/>
    </row>
    <row r="62" spans="1:45" s="234" customFormat="1" ht="360" hidden="1" x14ac:dyDescent="0.25">
      <c r="A62" s="352" t="s">
        <v>2</v>
      </c>
      <c r="B62" s="256" t="s">
        <v>94</v>
      </c>
      <c r="C62" s="256"/>
      <c r="D62" s="257" t="s">
        <v>666</v>
      </c>
      <c r="E62" s="257" t="s">
        <v>96</v>
      </c>
      <c r="F62" s="257" t="s">
        <v>130</v>
      </c>
      <c r="G62" s="273" t="s">
        <v>119</v>
      </c>
      <c r="H62" s="257"/>
      <c r="I62" s="257" t="s">
        <v>413</v>
      </c>
      <c r="J62" s="256" t="s">
        <v>414</v>
      </c>
      <c r="K62" s="257" t="s">
        <v>415</v>
      </c>
      <c r="L62" s="257" t="s">
        <v>670</v>
      </c>
      <c r="M62" s="257"/>
      <c r="N62" s="257"/>
      <c r="O62" s="257" t="s">
        <v>185</v>
      </c>
      <c r="P62" s="305">
        <f t="shared" si="1"/>
        <v>1330000</v>
      </c>
      <c r="Q62" s="306">
        <f t="shared" si="11"/>
        <v>0</v>
      </c>
      <c r="R62" s="316">
        <f t="shared" si="12"/>
        <v>1330000</v>
      </c>
      <c r="S62" s="316">
        <f t="shared" si="13"/>
        <v>0</v>
      </c>
      <c r="T62" s="316">
        <f t="shared" si="14"/>
        <v>0</v>
      </c>
      <c r="U62" s="317">
        <f t="shared" si="15"/>
        <v>0</v>
      </c>
      <c r="V62" s="318">
        <f t="shared" si="10"/>
        <v>0</v>
      </c>
      <c r="W62" s="263"/>
      <c r="X62" s="264"/>
      <c r="Y62" s="265"/>
      <c r="Z62" s="266">
        <v>1330000</v>
      </c>
      <c r="AA62" s="264"/>
      <c r="AB62" s="264"/>
      <c r="AC62" s="263"/>
      <c r="AD62" s="264"/>
      <c r="AE62" s="265"/>
      <c r="AF62" s="263"/>
      <c r="AG62" s="264"/>
      <c r="AH62" s="265"/>
      <c r="AI62" s="263"/>
      <c r="AJ62" s="264"/>
      <c r="AK62" s="264"/>
      <c r="AL62" s="270"/>
      <c r="AM62" s="271"/>
      <c r="AN62" s="272"/>
      <c r="AO62" s="275"/>
      <c r="AP62" s="267"/>
      <c r="AQ62" s="268"/>
      <c r="AR62" s="473"/>
      <c r="AS62" s="473"/>
    </row>
    <row r="63" spans="1:45" s="234" customFormat="1" ht="270" x14ac:dyDescent="0.25">
      <c r="A63" s="352" t="s">
        <v>2</v>
      </c>
      <c r="B63" s="256" t="s">
        <v>128</v>
      </c>
      <c r="C63" s="256"/>
      <c r="D63" s="534" t="s">
        <v>459</v>
      </c>
      <c r="E63" s="257" t="s">
        <v>96</v>
      </c>
      <c r="F63" s="257" t="s">
        <v>219</v>
      </c>
      <c r="G63" s="273" t="s">
        <v>119</v>
      </c>
      <c r="H63" s="257" t="s">
        <v>460</v>
      </c>
      <c r="I63" s="535" t="s">
        <v>461</v>
      </c>
      <c r="J63" s="534" t="s">
        <v>462</v>
      </c>
      <c r="K63" s="535" t="s">
        <v>463</v>
      </c>
      <c r="L63" s="257">
        <v>4</v>
      </c>
      <c r="M63" s="257" t="s">
        <v>679</v>
      </c>
      <c r="N63" s="257"/>
      <c r="O63" s="257" t="s">
        <v>109</v>
      </c>
      <c r="P63" s="305">
        <f t="shared" si="1"/>
        <v>376188</v>
      </c>
      <c r="Q63" s="306">
        <f t="shared" si="11"/>
        <v>0</v>
      </c>
      <c r="R63" s="316">
        <f t="shared" si="12"/>
        <v>0</v>
      </c>
      <c r="S63" s="316">
        <f t="shared" si="13"/>
        <v>208184</v>
      </c>
      <c r="T63" s="316">
        <f t="shared" si="14"/>
        <v>168004</v>
      </c>
      <c r="U63" s="317">
        <f t="shared" si="15"/>
        <v>0</v>
      </c>
      <c r="V63" s="318">
        <f t="shared" si="10"/>
        <v>0</v>
      </c>
      <c r="W63" s="263"/>
      <c r="X63" s="264"/>
      <c r="Y63" s="265"/>
      <c r="Z63" s="266"/>
      <c r="AA63" s="264"/>
      <c r="AB63" s="264"/>
      <c r="AC63" s="263"/>
      <c r="AD63" s="264">
        <f>3000*1.338*12</f>
        <v>48168.000000000007</v>
      </c>
      <c r="AE63" s="265">
        <f>44180+3*6500+96336</f>
        <v>160016</v>
      </c>
      <c r="AF63" s="263"/>
      <c r="AG63" s="264">
        <f>3000*1.338*12</f>
        <v>48168.000000000007</v>
      </c>
      <c r="AH63" s="265">
        <f>119836</f>
        <v>119836</v>
      </c>
      <c r="AI63" s="263"/>
      <c r="AJ63" s="264"/>
      <c r="AK63" s="264"/>
      <c r="AL63" s="270"/>
      <c r="AM63" s="271"/>
      <c r="AN63" s="272"/>
      <c r="AO63" s="275" t="s">
        <v>560</v>
      </c>
      <c r="AP63" s="267" t="s">
        <v>226</v>
      </c>
      <c r="AQ63" s="268"/>
      <c r="AR63" s="473"/>
      <c r="AS63" s="473"/>
    </row>
    <row r="64" spans="1:45" s="188" customFormat="1" ht="105" hidden="1" x14ac:dyDescent="0.25">
      <c r="A64" s="352" t="s">
        <v>2</v>
      </c>
      <c r="B64" s="256" t="s">
        <v>128</v>
      </c>
      <c r="C64" s="256" t="s">
        <v>458</v>
      </c>
      <c r="D64" s="257" t="s">
        <v>464</v>
      </c>
      <c r="E64" s="257" t="s">
        <v>96</v>
      </c>
      <c r="F64" s="257" t="s">
        <v>219</v>
      </c>
      <c r="G64" s="273" t="s">
        <v>119</v>
      </c>
      <c r="H64" s="257" t="s">
        <v>465</v>
      </c>
      <c r="I64" s="257" t="s">
        <v>466</v>
      </c>
      <c r="J64" s="257" t="s">
        <v>467</v>
      </c>
      <c r="K64" s="257" t="s">
        <v>468</v>
      </c>
      <c r="L64" s="257" t="s">
        <v>670</v>
      </c>
      <c r="M64" s="257"/>
      <c r="N64" s="257"/>
      <c r="O64" s="257" t="s">
        <v>185</v>
      </c>
      <c r="P64" s="305">
        <f t="shared" si="1"/>
        <v>195883.2</v>
      </c>
      <c r="Q64" s="306">
        <f t="shared" si="11"/>
        <v>0</v>
      </c>
      <c r="R64" s="316">
        <f t="shared" si="12"/>
        <v>97941.6</v>
      </c>
      <c r="S64" s="316">
        <f t="shared" si="13"/>
        <v>97941.6</v>
      </c>
      <c r="T64" s="316">
        <f t="shared" si="14"/>
        <v>0</v>
      </c>
      <c r="U64" s="317">
        <f t="shared" si="15"/>
        <v>0</v>
      </c>
      <c r="V64" s="318">
        <f t="shared" si="10"/>
        <v>0</v>
      </c>
      <c r="W64" s="263"/>
      <c r="X64" s="264"/>
      <c r="Y64" s="265"/>
      <c r="Z64" s="266"/>
      <c r="AA64" s="264">
        <f>3200*1.338*12+2900*1.338*12</f>
        <v>97941.6</v>
      </c>
      <c r="AB64" s="264"/>
      <c r="AC64" s="263"/>
      <c r="AD64" s="264">
        <f>3200*1.338*12+2900*1.338*12</f>
        <v>97941.6</v>
      </c>
      <c r="AE64" s="265"/>
      <c r="AF64" s="263"/>
      <c r="AG64" s="264"/>
      <c r="AH64" s="265"/>
      <c r="AI64" s="263"/>
      <c r="AJ64" s="264"/>
      <c r="AK64" s="264"/>
      <c r="AL64" s="270"/>
      <c r="AM64" s="271"/>
      <c r="AN64" s="272"/>
      <c r="AO64" s="275" t="s">
        <v>561</v>
      </c>
      <c r="AP64" s="267" t="s">
        <v>221</v>
      </c>
      <c r="AQ64" s="268"/>
      <c r="AR64" s="473"/>
      <c r="AS64" s="473"/>
    </row>
    <row r="65" spans="1:45" s="188" customFormat="1" ht="360" x14ac:dyDescent="0.25">
      <c r="A65" s="352" t="s">
        <v>2</v>
      </c>
      <c r="B65" s="256" t="s">
        <v>128</v>
      </c>
      <c r="C65" s="256"/>
      <c r="D65" s="257" t="s">
        <v>168</v>
      </c>
      <c r="E65" s="257" t="s">
        <v>96</v>
      </c>
      <c r="F65" s="257" t="s">
        <v>118</v>
      </c>
      <c r="G65" s="273" t="s">
        <v>119</v>
      </c>
      <c r="H65" s="257"/>
      <c r="I65" s="257" t="s">
        <v>469</v>
      </c>
      <c r="J65" s="257" t="s">
        <v>601</v>
      </c>
      <c r="K65" s="257" t="s">
        <v>470</v>
      </c>
      <c r="L65" s="257">
        <v>8</v>
      </c>
      <c r="M65" s="257"/>
      <c r="N65" s="257"/>
      <c r="O65" s="257" t="s">
        <v>109</v>
      </c>
      <c r="P65" s="305">
        <f t="shared" si="1"/>
        <v>348000</v>
      </c>
      <c r="Q65" s="306">
        <f t="shared" si="11"/>
        <v>0</v>
      </c>
      <c r="R65" s="316">
        <f t="shared" si="12"/>
        <v>0</v>
      </c>
      <c r="S65" s="316">
        <f t="shared" si="13"/>
        <v>104400</v>
      </c>
      <c r="T65" s="316">
        <f t="shared" si="14"/>
        <v>243600</v>
      </c>
      <c r="U65" s="317">
        <f t="shared" si="15"/>
        <v>0</v>
      </c>
      <c r="V65" s="318">
        <f t="shared" si="10"/>
        <v>0</v>
      </c>
      <c r="W65" s="263"/>
      <c r="X65" s="264"/>
      <c r="Y65" s="265"/>
      <c r="Z65" s="266"/>
      <c r="AA65" s="264"/>
      <c r="AB65" s="264"/>
      <c r="AC65" s="263">
        <f>348000*0.3</f>
        <v>104400</v>
      </c>
      <c r="AD65" s="264"/>
      <c r="AE65" s="265"/>
      <c r="AF65" s="263">
        <f>348000-104400</f>
        <v>243600</v>
      </c>
      <c r="AG65" s="264"/>
      <c r="AH65" s="265"/>
      <c r="AI65" s="263"/>
      <c r="AJ65" s="264"/>
      <c r="AK65" s="264"/>
      <c r="AL65" s="270"/>
      <c r="AM65" s="271"/>
      <c r="AN65" s="272"/>
      <c r="AO65" s="275" t="s">
        <v>562</v>
      </c>
      <c r="AP65" s="267" t="s">
        <v>222</v>
      </c>
      <c r="AQ65" s="268" t="s">
        <v>602</v>
      </c>
      <c r="AR65" s="473" t="s">
        <v>563</v>
      </c>
      <c r="AS65" s="473"/>
    </row>
    <row r="66" spans="1:45" s="188" customFormat="1" ht="409.5" x14ac:dyDescent="0.25">
      <c r="A66" s="352" t="s">
        <v>2</v>
      </c>
      <c r="B66" s="256" t="s">
        <v>128</v>
      </c>
      <c r="C66" s="256"/>
      <c r="D66" s="257" t="s">
        <v>471</v>
      </c>
      <c r="E66" s="257" t="s">
        <v>96</v>
      </c>
      <c r="F66" s="257" t="s">
        <v>142</v>
      </c>
      <c r="G66" s="258" t="s">
        <v>119</v>
      </c>
      <c r="H66" s="257" t="s">
        <v>465</v>
      </c>
      <c r="I66" s="257" t="s">
        <v>472</v>
      </c>
      <c r="J66" s="256" t="s">
        <v>473</v>
      </c>
      <c r="K66" s="257" t="s">
        <v>474</v>
      </c>
      <c r="L66" s="257">
        <v>9</v>
      </c>
      <c r="M66" s="257"/>
      <c r="N66" s="257"/>
      <c r="O66" s="257" t="s">
        <v>109</v>
      </c>
      <c r="P66" s="305">
        <f t="shared" si="1"/>
        <v>300030</v>
      </c>
      <c r="Q66" s="306">
        <f t="shared" si="11"/>
        <v>0</v>
      </c>
      <c r="R66" s="316">
        <f t="shared" si="12"/>
        <v>0</v>
      </c>
      <c r="S66" s="316">
        <f t="shared" si="13"/>
        <v>140362</v>
      </c>
      <c r="T66" s="316">
        <f t="shared" si="14"/>
        <v>159668</v>
      </c>
      <c r="U66" s="317">
        <f t="shared" si="15"/>
        <v>0</v>
      </c>
      <c r="V66" s="318">
        <f t="shared" si="10"/>
        <v>0</v>
      </c>
      <c r="W66" s="263"/>
      <c r="X66" s="264"/>
      <c r="Y66" s="265"/>
      <c r="Z66" s="266"/>
      <c r="AA66" s="264"/>
      <c r="AB66" s="264"/>
      <c r="AC66" s="263">
        <v>105000</v>
      </c>
      <c r="AD66" s="264">
        <f>3000*1.338*8</f>
        <v>32112.000000000004</v>
      </c>
      <c r="AE66" s="265">
        <v>3250</v>
      </c>
      <c r="AF66" s="263">
        <v>105000</v>
      </c>
      <c r="AG66" s="264">
        <f>3000*1.338*12</f>
        <v>48168.000000000007</v>
      </c>
      <c r="AH66" s="265">
        <v>6500</v>
      </c>
      <c r="AI66" s="263"/>
      <c r="AJ66" s="264"/>
      <c r="AK66" s="264"/>
      <c r="AL66" s="270"/>
      <c r="AM66" s="271"/>
      <c r="AN66" s="272"/>
      <c r="AO66" s="275" t="s">
        <v>564</v>
      </c>
      <c r="AP66" s="267" t="s">
        <v>222</v>
      </c>
      <c r="AQ66" s="276" t="s">
        <v>603</v>
      </c>
      <c r="AR66" s="473"/>
      <c r="AS66" s="473"/>
    </row>
    <row r="67" spans="1:45" s="188" customFormat="1" ht="120" hidden="1" x14ac:dyDescent="0.25">
      <c r="A67" s="352" t="s">
        <v>2</v>
      </c>
      <c r="B67" s="256" t="s">
        <v>128</v>
      </c>
      <c r="C67" s="256" t="s">
        <v>458</v>
      </c>
      <c r="D67" s="257" t="s">
        <v>471</v>
      </c>
      <c r="E67" s="257" t="s">
        <v>96</v>
      </c>
      <c r="F67" s="257" t="s">
        <v>142</v>
      </c>
      <c r="G67" s="258" t="s">
        <v>119</v>
      </c>
      <c r="H67" s="257" t="s">
        <v>465</v>
      </c>
      <c r="I67" s="257" t="s">
        <v>475</v>
      </c>
      <c r="J67" s="256" t="s">
        <v>476</v>
      </c>
      <c r="K67" s="257" t="s">
        <v>477</v>
      </c>
      <c r="L67" s="257" t="s">
        <v>673</v>
      </c>
      <c r="M67" s="257"/>
      <c r="N67" s="257"/>
      <c r="O67" s="257" t="s">
        <v>214</v>
      </c>
      <c r="P67" s="305">
        <f t="shared" si="1"/>
        <v>80000</v>
      </c>
      <c r="Q67" s="306">
        <f t="shared" si="11"/>
        <v>0</v>
      </c>
      <c r="R67" s="316">
        <f t="shared" si="12"/>
        <v>0</v>
      </c>
      <c r="S67" s="316">
        <f t="shared" si="13"/>
        <v>0</v>
      </c>
      <c r="T67" s="316">
        <f t="shared" si="14"/>
        <v>0</v>
      </c>
      <c r="U67" s="317">
        <f t="shared" si="15"/>
        <v>70000</v>
      </c>
      <c r="V67" s="318">
        <f t="shared" si="10"/>
        <v>10000</v>
      </c>
      <c r="W67" s="263"/>
      <c r="X67" s="264"/>
      <c r="Y67" s="265"/>
      <c r="Z67" s="266"/>
      <c r="AA67" s="264"/>
      <c r="AB67" s="264"/>
      <c r="AC67" s="263"/>
      <c r="AD67" s="264"/>
      <c r="AE67" s="265"/>
      <c r="AF67" s="263"/>
      <c r="AG67" s="264"/>
      <c r="AH67" s="265"/>
      <c r="AI67" s="263">
        <v>50000</v>
      </c>
      <c r="AJ67" s="264"/>
      <c r="AK67" s="264">
        <v>20000</v>
      </c>
      <c r="AL67" s="270"/>
      <c r="AM67" s="271"/>
      <c r="AN67" s="272">
        <v>10000</v>
      </c>
      <c r="AO67" s="275" t="s">
        <v>565</v>
      </c>
      <c r="AP67" s="267" t="s">
        <v>221</v>
      </c>
      <c r="AQ67" s="276" t="s">
        <v>566</v>
      </c>
      <c r="AR67" s="473" t="s">
        <v>567</v>
      </c>
      <c r="AS67" s="473" t="s">
        <v>568</v>
      </c>
    </row>
    <row r="68" spans="1:45" s="188" customFormat="1" ht="409.5" x14ac:dyDescent="0.25">
      <c r="A68" s="352" t="s">
        <v>2</v>
      </c>
      <c r="B68" s="256" t="s">
        <v>128</v>
      </c>
      <c r="C68" s="256"/>
      <c r="D68" s="257" t="s">
        <v>478</v>
      </c>
      <c r="E68" s="257" t="s">
        <v>96</v>
      </c>
      <c r="F68" s="257" t="s">
        <v>142</v>
      </c>
      <c r="G68" s="258" t="s">
        <v>119</v>
      </c>
      <c r="H68" s="258" t="s">
        <v>465</v>
      </c>
      <c r="I68" s="258" t="s">
        <v>479</v>
      </c>
      <c r="J68" s="259" t="s">
        <v>480</v>
      </c>
      <c r="K68" s="258" t="s">
        <v>481</v>
      </c>
      <c r="L68" s="258">
        <v>7</v>
      </c>
      <c r="M68" s="258"/>
      <c r="N68" s="258"/>
      <c r="O68" s="258" t="s">
        <v>109</v>
      </c>
      <c r="P68" s="305">
        <f t="shared" si="1"/>
        <v>398000</v>
      </c>
      <c r="Q68" s="306">
        <f t="shared" si="11"/>
        <v>0</v>
      </c>
      <c r="R68" s="316">
        <f t="shared" si="12"/>
        <v>0</v>
      </c>
      <c r="S68" s="316">
        <f t="shared" si="13"/>
        <v>198000</v>
      </c>
      <c r="T68" s="316">
        <f t="shared" si="14"/>
        <v>200000</v>
      </c>
      <c r="U68" s="317">
        <f t="shared" si="15"/>
        <v>0</v>
      </c>
      <c r="V68" s="318">
        <f t="shared" si="10"/>
        <v>0</v>
      </c>
      <c r="W68" s="277"/>
      <c r="X68" s="278"/>
      <c r="Y68" s="272"/>
      <c r="Z68" s="279"/>
      <c r="AA68" s="278"/>
      <c r="AB68" s="278"/>
      <c r="AC68" s="277">
        <v>198000</v>
      </c>
      <c r="AD68" s="278"/>
      <c r="AE68" s="272"/>
      <c r="AF68" s="277">
        <v>200000</v>
      </c>
      <c r="AG68" s="278"/>
      <c r="AH68" s="272"/>
      <c r="AI68" s="277"/>
      <c r="AJ68" s="278"/>
      <c r="AK68" s="278"/>
      <c r="AL68" s="270"/>
      <c r="AM68" s="271"/>
      <c r="AN68" s="272"/>
      <c r="AO68" s="470" t="s">
        <v>569</v>
      </c>
      <c r="AP68" s="267" t="s">
        <v>222</v>
      </c>
      <c r="AQ68" s="276" t="s">
        <v>604</v>
      </c>
      <c r="AR68" s="473"/>
      <c r="AS68" s="473"/>
    </row>
    <row r="69" spans="1:45" s="188" customFormat="1" ht="409.5" hidden="1" x14ac:dyDescent="0.25">
      <c r="A69" s="352" t="s">
        <v>2</v>
      </c>
      <c r="B69" s="256" t="s">
        <v>128</v>
      </c>
      <c r="C69" s="256" t="s">
        <v>458</v>
      </c>
      <c r="D69" s="257" t="s">
        <v>478</v>
      </c>
      <c r="E69" s="257" t="s">
        <v>96</v>
      </c>
      <c r="F69" s="257" t="s">
        <v>142</v>
      </c>
      <c r="G69" s="258" t="s">
        <v>119</v>
      </c>
      <c r="H69" s="258" t="s">
        <v>465</v>
      </c>
      <c r="I69" s="258" t="s">
        <v>479</v>
      </c>
      <c r="J69" s="259" t="s">
        <v>482</v>
      </c>
      <c r="K69" s="258" t="s">
        <v>481</v>
      </c>
      <c r="L69" s="258" t="s">
        <v>670</v>
      </c>
      <c r="M69" s="258"/>
      <c r="N69" s="258"/>
      <c r="O69" s="258" t="s">
        <v>101</v>
      </c>
      <c r="P69" s="305">
        <f t="shared" si="1"/>
        <v>119400</v>
      </c>
      <c r="Q69" s="306">
        <f t="shared" si="11"/>
        <v>0</v>
      </c>
      <c r="R69" s="316">
        <f t="shared" si="12"/>
        <v>0</v>
      </c>
      <c r="S69" s="316">
        <f t="shared" si="13"/>
        <v>0</v>
      </c>
      <c r="T69" s="316">
        <f t="shared" si="14"/>
        <v>0</v>
      </c>
      <c r="U69" s="317">
        <f t="shared" si="15"/>
        <v>79600</v>
      </c>
      <c r="V69" s="318">
        <f t="shared" si="10"/>
        <v>39800</v>
      </c>
      <c r="W69" s="277"/>
      <c r="X69" s="278"/>
      <c r="Y69" s="272"/>
      <c r="Z69" s="279"/>
      <c r="AA69" s="278"/>
      <c r="AB69" s="278"/>
      <c r="AC69" s="277"/>
      <c r="AD69" s="278"/>
      <c r="AE69" s="272"/>
      <c r="AF69" s="277"/>
      <c r="AG69" s="278"/>
      <c r="AH69" s="272"/>
      <c r="AI69" s="277"/>
      <c r="AJ69" s="278"/>
      <c r="AK69" s="278">
        <f>+SUM(AC68:AF68)*0.2</f>
        <v>79600</v>
      </c>
      <c r="AL69" s="270"/>
      <c r="AM69" s="271"/>
      <c r="AN69" s="272">
        <f>+AK69/2</f>
        <v>39800</v>
      </c>
      <c r="AO69" s="470" t="s">
        <v>570</v>
      </c>
      <c r="AP69" s="267"/>
      <c r="AQ69" s="276" t="s">
        <v>571</v>
      </c>
      <c r="AR69" s="473" t="s">
        <v>567</v>
      </c>
      <c r="AS69" s="473" t="s">
        <v>568</v>
      </c>
    </row>
    <row r="70" spans="1:45" s="234" customFormat="1" ht="300" x14ac:dyDescent="0.25">
      <c r="A70" s="352" t="s">
        <v>2</v>
      </c>
      <c r="B70" s="256" t="s">
        <v>128</v>
      </c>
      <c r="C70" s="256"/>
      <c r="D70" s="257" t="s">
        <v>483</v>
      </c>
      <c r="E70" s="257" t="s">
        <v>96</v>
      </c>
      <c r="F70" s="257" t="s">
        <v>148</v>
      </c>
      <c r="G70" s="258" t="s">
        <v>119</v>
      </c>
      <c r="H70" s="257" t="s">
        <v>484</v>
      </c>
      <c r="I70" s="257" t="s">
        <v>485</v>
      </c>
      <c r="J70" s="413" t="s">
        <v>486</v>
      </c>
      <c r="K70" s="257" t="s">
        <v>487</v>
      </c>
      <c r="L70" s="257">
        <v>3</v>
      </c>
      <c r="M70" s="257" t="s">
        <v>678</v>
      </c>
      <c r="N70" s="257" t="s">
        <v>683</v>
      </c>
      <c r="O70" s="257" t="s">
        <v>109</v>
      </c>
      <c r="P70" s="305">
        <f t="shared" si="1"/>
        <v>400000</v>
      </c>
      <c r="Q70" s="306">
        <f t="shared" si="11"/>
        <v>0</v>
      </c>
      <c r="R70" s="316">
        <f t="shared" si="12"/>
        <v>0</v>
      </c>
      <c r="S70" s="316">
        <f t="shared" si="13"/>
        <v>300000</v>
      </c>
      <c r="T70" s="316">
        <f t="shared" si="14"/>
        <v>100000</v>
      </c>
      <c r="U70" s="317">
        <f t="shared" si="15"/>
        <v>0</v>
      </c>
      <c r="V70" s="318">
        <f t="shared" si="10"/>
        <v>0</v>
      </c>
      <c r="W70" s="263"/>
      <c r="X70" s="264"/>
      <c r="Y70" s="265"/>
      <c r="Z70" s="266"/>
      <c r="AA70" s="264"/>
      <c r="AB70" s="264"/>
      <c r="AC70" s="263">
        <v>300000</v>
      </c>
      <c r="AD70" s="264"/>
      <c r="AE70" s="265"/>
      <c r="AF70" s="263">
        <v>100000</v>
      </c>
      <c r="AG70" s="264"/>
      <c r="AH70" s="265"/>
      <c r="AI70" s="263"/>
      <c r="AJ70" s="264"/>
      <c r="AK70" s="264"/>
      <c r="AL70" s="270"/>
      <c r="AM70" s="271"/>
      <c r="AN70" s="272"/>
      <c r="AO70" s="275" t="s">
        <v>572</v>
      </c>
      <c r="AP70" s="267" t="s">
        <v>222</v>
      </c>
      <c r="AQ70" s="268" t="s">
        <v>573</v>
      </c>
      <c r="AR70" s="473"/>
      <c r="AS70" s="473"/>
    </row>
    <row r="71" spans="1:45" s="234" customFormat="1" ht="300" hidden="1" x14ac:dyDescent="0.25">
      <c r="A71" s="352" t="s">
        <v>2</v>
      </c>
      <c r="B71" s="256" t="s">
        <v>128</v>
      </c>
      <c r="C71" s="256" t="s">
        <v>458</v>
      </c>
      <c r="D71" s="257" t="s">
        <v>483</v>
      </c>
      <c r="E71" s="257" t="s">
        <v>96</v>
      </c>
      <c r="F71" s="257" t="s">
        <v>148</v>
      </c>
      <c r="G71" s="273" t="s">
        <v>119</v>
      </c>
      <c r="H71" s="257" t="s">
        <v>484</v>
      </c>
      <c r="I71" s="532" t="s">
        <v>485</v>
      </c>
      <c r="J71" s="533" t="s">
        <v>486</v>
      </c>
      <c r="K71" s="532" t="s">
        <v>488</v>
      </c>
      <c r="L71" s="257" t="s">
        <v>670</v>
      </c>
      <c r="M71" s="257"/>
      <c r="N71" s="257"/>
      <c r="O71" s="257" t="s">
        <v>185</v>
      </c>
      <c r="P71" s="305">
        <f t="shared" si="1"/>
        <v>200000</v>
      </c>
      <c r="Q71" s="306">
        <f t="shared" si="11"/>
        <v>100000</v>
      </c>
      <c r="R71" s="316">
        <f t="shared" si="12"/>
        <v>100000</v>
      </c>
      <c r="S71" s="316">
        <f t="shared" si="13"/>
        <v>0</v>
      </c>
      <c r="T71" s="316">
        <f t="shared" si="14"/>
        <v>0</v>
      </c>
      <c r="U71" s="317">
        <f t="shared" si="15"/>
        <v>0</v>
      </c>
      <c r="V71" s="318">
        <f t="shared" si="10"/>
        <v>0</v>
      </c>
      <c r="W71" s="263">
        <v>100000</v>
      </c>
      <c r="X71" s="264"/>
      <c r="Y71" s="265"/>
      <c r="Z71" s="266">
        <v>100000</v>
      </c>
      <c r="AA71" s="264"/>
      <c r="AB71" s="264"/>
      <c r="AC71" s="263"/>
      <c r="AD71" s="264"/>
      <c r="AE71" s="265"/>
      <c r="AF71" s="263"/>
      <c r="AG71" s="264"/>
      <c r="AH71" s="265"/>
      <c r="AI71" s="263"/>
      <c r="AJ71" s="264"/>
      <c r="AK71" s="264"/>
      <c r="AL71" s="270"/>
      <c r="AM71" s="271"/>
      <c r="AN71" s="272"/>
      <c r="AO71" s="275" t="s">
        <v>574</v>
      </c>
      <c r="AP71" s="267"/>
      <c r="AQ71" s="268"/>
      <c r="AR71" s="473"/>
      <c r="AS71" s="473"/>
    </row>
    <row r="72" spans="1:45" s="188" customFormat="1" ht="409.5" x14ac:dyDescent="0.25">
      <c r="A72" s="352" t="s">
        <v>2</v>
      </c>
      <c r="B72" s="256" t="s">
        <v>128</v>
      </c>
      <c r="C72" s="256"/>
      <c r="D72" s="257" t="s">
        <v>191</v>
      </c>
      <c r="E72" s="257" t="s">
        <v>96</v>
      </c>
      <c r="F72" s="258" t="s">
        <v>148</v>
      </c>
      <c r="G72" s="273" t="s">
        <v>119</v>
      </c>
      <c r="H72" s="258" t="s">
        <v>489</v>
      </c>
      <c r="I72" s="259" t="s">
        <v>490</v>
      </c>
      <c r="J72" s="259" t="s">
        <v>491</v>
      </c>
      <c r="K72" s="259" t="s">
        <v>492</v>
      </c>
      <c r="L72" s="258">
        <v>2</v>
      </c>
      <c r="M72" s="258"/>
      <c r="N72" s="258"/>
      <c r="O72" s="257" t="s">
        <v>109</v>
      </c>
      <c r="P72" s="305">
        <f t="shared" si="1"/>
        <v>100000</v>
      </c>
      <c r="Q72" s="306">
        <f t="shared" si="11"/>
        <v>0</v>
      </c>
      <c r="R72" s="316">
        <f t="shared" si="12"/>
        <v>100000</v>
      </c>
      <c r="S72" s="316">
        <f t="shared" si="13"/>
        <v>0</v>
      </c>
      <c r="T72" s="316">
        <f t="shared" si="14"/>
        <v>0</v>
      </c>
      <c r="U72" s="317">
        <f t="shared" si="15"/>
        <v>0</v>
      </c>
      <c r="V72" s="318">
        <f t="shared" si="10"/>
        <v>0</v>
      </c>
      <c r="W72" s="277"/>
      <c r="X72" s="278"/>
      <c r="Y72" s="272"/>
      <c r="Z72" s="279"/>
      <c r="AA72" s="278"/>
      <c r="AB72" s="278">
        <v>100000</v>
      </c>
      <c r="AC72" s="280"/>
      <c r="AD72" s="281"/>
      <c r="AE72" s="282"/>
      <c r="AF72" s="280"/>
      <c r="AG72" s="281"/>
      <c r="AH72" s="282"/>
      <c r="AI72" s="280"/>
      <c r="AJ72" s="281"/>
      <c r="AK72" s="283"/>
      <c r="AL72" s="280"/>
      <c r="AM72" s="281"/>
      <c r="AN72" s="282"/>
      <c r="AO72" s="470" t="s">
        <v>575</v>
      </c>
      <c r="AP72" s="267" t="s">
        <v>226</v>
      </c>
      <c r="AQ72" s="276"/>
      <c r="AR72" s="473"/>
      <c r="AS72" s="473"/>
    </row>
    <row r="73" spans="1:45" s="188" customFormat="1" ht="409.5" x14ac:dyDescent="0.25">
      <c r="A73" s="352" t="s">
        <v>2</v>
      </c>
      <c r="B73" s="256" t="s">
        <v>128</v>
      </c>
      <c r="C73" s="256"/>
      <c r="D73" s="257" t="s">
        <v>191</v>
      </c>
      <c r="E73" s="257" t="s">
        <v>96</v>
      </c>
      <c r="F73" s="258" t="s">
        <v>148</v>
      </c>
      <c r="G73" s="273" t="s">
        <v>119</v>
      </c>
      <c r="H73" s="258" t="s">
        <v>489</v>
      </c>
      <c r="I73" s="259" t="s">
        <v>493</v>
      </c>
      <c r="J73" s="259" t="s">
        <v>494</v>
      </c>
      <c r="K73" s="259" t="s">
        <v>495</v>
      </c>
      <c r="L73" s="258">
        <v>6</v>
      </c>
      <c r="M73" s="258"/>
      <c r="N73" s="563" t="s">
        <v>684</v>
      </c>
      <c r="O73" s="257" t="s">
        <v>109</v>
      </c>
      <c r="P73" s="305">
        <f t="shared" si="1"/>
        <v>11982000</v>
      </c>
      <c r="Q73" s="306">
        <f t="shared" si="11"/>
        <v>0</v>
      </c>
      <c r="R73" s="316">
        <f t="shared" si="12"/>
        <v>0</v>
      </c>
      <c r="S73" s="316">
        <f t="shared" si="13"/>
        <v>726000</v>
      </c>
      <c r="T73" s="316">
        <f t="shared" si="14"/>
        <v>3952000</v>
      </c>
      <c r="U73" s="317">
        <f t="shared" si="15"/>
        <v>3352000</v>
      </c>
      <c r="V73" s="318">
        <f t="shared" si="10"/>
        <v>3952000</v>
      </c>
      <c r="W73" s="277"/>
      <c r="X73" s="278"/>
      <c r="Y73" s="272"/>
      <c r="Z73" s="279"/>
      <c r="AA73" s="278"/>
      <c r="AB73" s="272"/>
      <c r="AC73" s="279">
        <v>500000</v>
      </c>
      <c r="AD73" s="278">
        <v>200000</v>
      </c>
      <c r="AE73" s="272">
        <v>26000</v>
      </c>
      <c r="AF73" s="279">
        <v>3500000</v>
      </c>
      <c r="AG73" s="278">
        <v>400000</v>
      </c>
      <c r="AH73" s="272">
        <v>52000</v>
      </c>
      <c r="AI73" s="279">
        <v>2900000</v>
      </c>
      <c r="AJ73" s="278">
        <v>400000</v>
      </c>
      <c r="AK73" s="278">
        <v>52000</v>
      </c>
      <c r="AL73" s="270">
        <v>3500000</v>
      </c>
      <c r="AM73" s="271">
        <v>400000</v>
      </c>
      <c r="AN73" s="272">
        <v>52000</v>
      </c>
      <c r="AO73" s="470" t="s">
        <v>576</v>
      </c>
      <c r="AP73" s="267" t="s">
        <v>222</v>
      </c>
      <c r="AQ73" s="276" t="s">
        <v>577</v>
      </c>
      <c r="AR73" s="473"/>
      <c r="AS73" s="473"/>
    </row>
    <row r="74" spans="1:45" s="188" customFormat="1" ht="409.5" x14ac:dyDescent="0.25">
      <c r="A74" s="352" t="s">
        <v>2</v>
      </c>
      <c r="B74" s="256" t="s">
        <v>128</v>
      </c>
      <c r="C74" s="256"/>
      <c r="D74" s="257" t="s">
        <v>496</v>
      </c>
      <c r="E74" s="257" t="s">
        <v>96</v>
      </c>
      <c r="F74" s="258" t="s">
        <v>142</v>
      </c>
      <c r="G74" s="273" t="s">
        <v>119</v>
      </c>
      <c r="H74" s="258" t="s">
        <v>497</v>
      </c>
      <c r="I74" s="259" t="s">
        <v>498</v>
      </c>
      <c r="J74" s="259" t="s">
        <v>499</v>
      </c>
      <c r="K74" s="259" t="s">
        <v>500</v>
      </c>
      <c r="L74" s="258">
        <v>10</v>
      </c>
      <c r="M74" s="258"/>
      <c r="N74" s="258" t="s">
        <v>685</v>
      </c>
      <c r="O74" s="257" t="s">
        <v>109</v>
      </c>
      <c r="P74" s="305">
        <f t="shared" si="1"/>
        <v>1500000</v>
      </c>
      <c r="Q74" s="306">
        <f t="shared" si="11"/>
        <v>0</v>
      </c>
      <c r="R74" s="316">
        <f t="shared" si="12"/>
        <v>0</v>
      </c>
      <c r="S74" s="316">
        <f t="shared" si="13"/>
        <v>0</v>
      </c>
      <c r="T74" s="316">
        <f t="shared" si="14"/>
        <v>500000</v>
      </c>
      <c r="U74" s="317">
        <f t="shared" si="15"/>
        <v>500000</v>
      </c>
      <c r="V74" s="318">
        <f t="shared" si="10"/>
        <v>500000</v>
      </c>
      <c r="W74" s="277"/>
      <c r="X74" s="278"/>
      <c r="Y74" s="272"/>
      <c r="Z74" s="279"/>
      <c r="AA74" s="278"/>
      <c r="AB74" s="272"/>
      <c r="AC74" s="279"/>
      <c r="AD74" s="278"/>
      <c r="AE74" s="272"/>
      <c r="AF74" s="279">
        <v>500000</v>
      </c>
      <c r="AG74" s="278"/>
      <c r="AH74" s="272"/>
      <c r="AI74" s="279">
        <v>500000</v>
      </c>
      <c r="AJ74" s="278"/>
      <c r="AK74" s="278"/>
      <c r="AL74" s="270">
        <v>500000</v>
      </c>
      <c r="AM74" s="271"/>
      <c r="AN74" s="272"/>
      <c r="AO74" s="470" t="s">
        <v>578</v>
      </c>
      <c r="AP74" s="267"/>
      <c r="AQ74" s="276"/>
      <c r="AR74" s="473"/>
      <c r="AS74" s="473"/>
    </row>
    <row r="75" spans="1:45" s="188" customFormat="1" ht="409.5" hidden="1" x14ac:dyDescent="0.25">
      <c r="A75" s="352" t="s">
        <v>2</v>
      </c>
      <c r="B75" s="256" t="s">
        <v>128</v>
      </c>
      <c r="C75" s="256" t="s">
        <v>458</v>
      </c>
      <c r="D75" s="257" t="s">
        <v>191</v>
      </c>
      <c r="E75" s="257" t="s">
        <v>96</v>
      </c>
      <c r="F75" s="258" t="s">
        <v>148</v>
      </c>
      <c r="G75" s="273" t="s">
        <v>119</v>
      </c>
      <c r="H75" s="258" t="s">
        <v>489</v>
      </c>
      <c r="I75" s="259" t="s">
        <v>493</v>
      </c>
      <c r="J75" s="259" t="s">
        <v>501</v>
      </c>
      <c r="K75" s="259" t="s">
        <v>502</v>
      </c>
      <c r="L75" s="258" t="s">
        <v>670</v>
      </c>
      <c r="M75" s="258"/>
      <c r="N75" s="258"/>
      <c r="O75" s="257" t="s">
        <v>214</v>
      </c>
      <c r="P75" s="305">
        <f t="shared" si="1"/>
        <v>278349.38783279993</v>
      </c>
      <c r="Q75" s="306">
        <f t="shared" si="11"/>
        <v>0</v>
      </c>
      <c r="R75" s="316">
        <f t="shared" si="12"/>
        <v>26531.200000000001</v>
      </c>
      <c r="S75" s="316">
        <f t="shared" si="13"/>
        <v>53062.400000000001</v>
      </c>
      <c r="T75" s="316">
        <f t="shared" si="14"/>
        <v>59115.511999999995</v>
      </c>
      <c r="U75" s="317">
        <f t="shared" si="15"/>
        <v>65955.528559999992</v>
      </c>
      <c r="V75" s="318">
        <f t="shared" si="10"/>
        <v>73684.747272799985</v>
      </c>
      <c r="W75" s="277"/>
      <c r="X75" s="278"/>
      <c r="Y75" s="272"/>
      <c r="Z75" s="279"/>
      <c r="AA75" s="278">
        <f>6*1.338*2900</f>
        <v>23281.200000000001</v>
      </c>
      <c r="AB75" s="272">
        <v>3250</v>
      </c>
      <c r="AC75" s="279"/>
      <c r="AD75" s="278">
        <f>2900*1.338*12</f>
        <v>46562.400000000001</v>
      </c>
      <c r="AE75" s="272">
        <v>6500</v>
      </c>
      <c r="AF75" s="279"/>
      <c r="AG75" s="278">
        <f>+AD75*1.13</f>
        <v>52615.511999999995</v>
      </c>
      <c r="AH75" s="272">
        <v>6500</v>
      </c>
      <c r="AI75" s="279"/>
      <c r="AJ75" s="278">
        <f>+AG75*1.13</f>
        <v>59455.528559999992</v>
      </c>
      <c r="AK75" s="278">
        <v>6500</v>
      </c>
      <c r="AL75" s="270"/>
      <c r="AM75" s="271">
        <f>+AJ75*1.13</f>
        <v>67184.747272799985</v>
      </c>
      <c r="AN75" s="272">
        <v>6500</v>
      </c>
      <c r="AO75" s="470" t="s">
        <v>579</v>
      </c>
      <c r="AP75" s="267" t="s">
        <v>221</v>
      </c>
      <c r="AQ75" s="276"/>
      <c r="AR75" s="473"/>
      <c r="AS75" s="473"/>
    </row>
    <row r="76" spans="1:45" s="188" customFormat="1" ht="409.5" x14ac:dyDescent="0.25">
      <c r="A76" s="352" t="s">
        <v>2</v>
      </c>
      <c r="B76" s="256" t="s">
        <v>128</v>
      </c>
      <c r="C76" s="256"/>
      <c r="D76" s="257" t="s">
        <v>503</v>
      </c>
      <c r="E76" s="257" t="s">
        <v>96</v>
      </c>
      <c r="F76" s="258" t="s">
        <v>148</v>
      </c>
      <c r="G76" s="273" t="s">
        <v>119</v>
      </c>
      <c r="H76" s="258" t="s">
        <v>465</v>
      </c>
      <c r="I76" s="259" t="s">
        <v>504</v>
      </c>
      <c r="J76" s="259" t="s">
        <v>505</v>
      </c>
      <c r="K76" s="259" t="s">
        <v>506</v>
      </c>
      <c r="L76" s="258">
        <v>11</v>
      </c>
      <c r="M76" s="258"/>
      <c r="N76" s="258" t="s">
        <v>686</v>
      </c>
      <c r="O76" s="257" t="s">
        <v>109</v>
      </c>
      <c r="P76" s="305">
        <f t="shared" si="1"/>
        <v>570696</v>
      </c>
      <c r="Q76" s="306">
        <f t="shared" si="11"/>
        <v>0</v>
      </c>
      <c r="R76" s="316">
        <f t="shared" si="12"/>
        <v>0</v>
      </c>
      <c r="S76" s="316">
        <f t="shared" si="13"/>
        <v>0</v>
      </c>
      <c r="T76" s="316">
        <f t="shared" si="14"/>
        <v>75584</v>
      </c>
      <c r="U76" s="317">
        <f t="shared" si="15"/>
        <v>495112</v>
      </c>
      <c r="V76" s="318">
        <f t="shared" si="10"/>
        <v>0</v>
      </c>
      <c r="W76" s="277"/>
      <c r="X76" s="278"/>
      <c r="Y76" s="272"/>
      <c r="Z76" s="279"/>
      <c r="AA76" s="278"/>
      <c r="AB76" s="272"/>
      <c r="AC76" s="279"/>
      <c r="AD76" s="278"/>
      <c r="AE76" s="272"/>
      <c r="AF76" s="279"/>
      <c r="AG76" s="278">
        <v>24084</v>
      </c>
      <c r="AH76" s="272">
        <v>51500</v>
      </c>
      <c r="AI76" s="279">
        <v>380000</v>
      </c>
      <c r="AJ76" s="278">
        <v>106612</v>
      </c>
      <c r="AK76" s="278">
        <v>8500</v>
      </c>
      <c r="AL76" s="270"/>
      <c r="AM76" s="271"/>
      <c r="AN76" s="272"/>
      <c r="AO76" s="470" t="s">
        <v>580</v>
      </c>
      <c r="AP76" s="267" t="s">
        <v>222</v>
      </c>
      <c r="AQ76" s="276" t="s">
        <v>581</v>
      </c>
      <c r="AR76" s="473"/>
      <c r="AS76" s="473"/>
    </row>
    <row r="77" spans="1:45" s="188" customFormat="1" ht="105" hidden="1" x14ac:dyDescent="0.25">
      <c r="A77" s="352" t="s">
        <v>2</v>
      </c>
      <c r="B77" s="256" t="s">
        <v>128</v>
      </c>
      <c r="C77" s="256" t="s">
        <v>458</v>
      </c>
      <c r="D77" s="257" t="s">
        <v>503</v>
      </c>
      <c r="E77" s="257" t="s">
        <v>96</v>
      </c>
      <c r="F77" s="258" t="s">
        <v>148</v>
      </c>
      <c r="G77" s="273" t="s">
        <v>119</v>
      </c>
      <c r="H77" s="258" t="s">
        <v>465</v>
      </c>
      <c r="I77" s="259" t="s">
        <v>507</v>
      </c>
      <c r="J77" s="259" t="s">
        <v>508</v>
      </c>
      <c r="K77" s="259" t="s">
        <v>477</v>
      </c>
      <c r="L77" s="258" t="s">
        <v>673</v>
      </c>
      <c r="M77" s="258"/>
      <c r="N77" s="258"/>
      <c r="O77" s="257" t="s">
        <v>214</v>
      </c>
      <c r="P77" s="305">
        <f t="shared" si="1"/>
        <v>32000</v>
      </c>
      <c r="Q77" s="306">
        <f t="shared" si="11"/>
        <v>0</v>
      </c>
      <c r="R77" s="316">
        <f t="shared" si="12"/>
        <v>0</v>
      </c>
      <c r="S77" s="316">
        <f t="shared" si="13"/>
        <v>0</v>
      </c>
      <c r="T77" s="316">
        <f t="shared" si="14"/>
        <v>0</v>
      </c>
      <c r="U77" s="317">
        <f t="shared" si="15"/>
        <v>16000</v>
      </c>
      <c r="V77" s="318">
        <f t="shared" si="10"/>
        <v>16000</v>
      </c>
      <c r="W77" s="277"/>
      <c r="X77" s="278"/>
      <c r="Y77" s="272"/>
      <c r="Z77" s="279"/>
      <c r="AA77" s="278"/>
      <c r="AB77" s="278"/>
      <c r="AC77" s="280"/>
      <c r="AD77" s="281"/>
      <c r="AE77" s="282"/>
      <c r="AF77" s="280"/>
      <c r="AG77" s="281"/>
      <c r="AH77" s="282"/>
      <c r="AI77" s="280"/>
      <c r="AJ77" s="281"/>
      <c r="AK77" s="283">
        <v>16000</v>
      </c>
      <c r="AL77" s="280"/>
      <c r="AM77" s="281"/>
      <c r="AN77" s="282">
        <v>16000</v>
      </c>
      <c r="AO77" s="470" t="s">
        <v>581</v>
      </c>
      <c r="AP77" s="267" t="s">
        <v>217</v>
      </c>
      <c r="AQ77" s="276" t="s">
        <v>582</v>
      </c>
      <c r="AR77" s="473" t="s">
        <v>567</v>
      </c>
      <c r="AS77" s="473" t="s">
        <v>568</v>
      </c>
    </row>
    <row r="78" spans="1:45" s="188" customFormat="1" ht="15.75" hidden="1" x14ac:dyDescent="0.25">
      <c r="A78" s="352"/>
      <c r="B78" s="256"/>
      <c r="C78" s="256"/>
      <c r="D78" s="257"/>
      <c r="E78" s="257"/>
      <c r="F78" s="258"/>
      <c r="G78" s="273"/>
      <c r="H78" s="258"/>
      <c r="I78" s="259"/>
      <c r="J78" s="259"/>
      <c r="K78" s="259"/>
      <c r="L78" s="258"/>
      <c r="M78" s="258"/>
      <c r="N78" s="258"/>
      <c r="O78" s="257"/>
      <c r="P78" s="305">
        <f t="shared" si="1"/>
        <v>0</v>
      </c>
      <c r="Q78" s="306">
        <f t="shared" si="11"/>
        <v>0</v>
      </c>
      <c r="R78" s="316">
        <f t="shared" si="12"/>
        <v>0</v>
      </c>
      <c r="S78" s="316">
        <f t="shared" si="13"/>
        <v>0</v>
      </c>
      <c r="T78" s="316">
        <f t="shared" si="14"/>
        <v>0</v>
      </c>
      <c r="U78" s="317">
        <f t="shared" si="15"/>
        <v>0</v>
      </c>
      <c r="V78" s="318">
        <f t="shared" si="10"/>
        <v>0</v>
      </c>
      <c r="W78" s="277"/>
      <c r="X78" s="278"/>
      <c r="Y78" s="272"/>
      <c r="Z78" s="279"/>
      <c r="AA78" s="278"/>
      <c r="AB78" s="278"/>
      <c r="AC78" s="280"/>
      <c r="AD78" s="281"/>
      <c r="AE78" s="282"/>
      <c r="AF78" s="280"/>
      <c r="AG78" s="281"/>
      <c r="AH78" s="282"/>
      <c r="AI78" s="280"/>
      <c r="AJ78" s="281"/>
      <c r="AK78" s="283"/>
      <c r="AL78" s="280"/>
      <c r="AM78" s="281"/>
      <c r="AN78" s="282"/>
      <c r="AO78" s="470"/>
      <c r="AP78" s="267"/>
      <c r="AQ78" s="276"/>
      <c r="AR78" s="473"/>
      <c r="AS78" s="473"/>
    </row>
    <row r="79" spans="1:45" s="188" customFormat="1" ht="165" hidden="1" x14ac:dyDescent="0.25">
      <c r="A79" s="352" t="s">
        <v>2</v>
      </c>
      <c r="B79" s="256" t="s">
        <v>128</v>
      </c>
      <c r="C79" s="256" t="s">
        <v>458</v>
      </c>
      <c r="D79" s="257" t="s">
        <v>510</v>
      </c>
      <c r="E79" s="257" t="s">
        <v>96</v>
      </c>
      <c r="F79" s="258" t="s">
        <v>148</v>
      </c>
      <c r="G79" s="273" t="s">
        <v>119</v>
      </c>
      <c r="H79" s="258" t="s">
        <v>509</v>
      </c>
      <c r="I79" s="259" t="s">
        <v>511</v>
      </c>
      <c r="J79" s="259" t="s">
        <v>512</v>
      </c>
      <c r="K79" s="259" t="s">
        <v>477</v>
      </c>
      <c r="L79" s="258" t="s">
        <v>673</v>
      </c>
      <c r="M79" s="258"/>
      <c r="N79" s="258"/>
      <c r="O79" s="257" t="s">
        <v>214</v>
      </c>
      <c r="P79" s="305">
        <f t="shared" si="1"/>
        <v>0</v>
      </c>
      <c r="Q79" s="306">
        <f t="shared" si="11"/>
        <v>0</v>
      </c>
      <c r="R79" s="316">
        <f t="shared" si="12"/>
        <v>0</v>
      </c>
      <c r="S79" s="316">
        <f t="shared" si="13"/>
        <v>0</v>
      </c>
      <c r="T79" s="316">
        <f t="shared" si="14"/>
        <v>0</v>
      </c>
      <c r="U79" s="317">
        <f t="shared" si="15"/>
        <v>0</v>
      </c>
      <c r="V79" s="318">
        <f t="shared" si="10"/>
        <v>0</v>
      </c>
      <c r="W79" s="277"/>
      <c r="X79" s="278"/>
      <c r="Y79" s="272"/>
      <c r="Z79" s="279"/>
      <c r="AA79" s="278"/>
      <c r="AB79" s="278"/>
      <c r="AC79" s="280"/>
      <c r="AD79" s="281"/>
      <c r="AE79" s="282"/>
      <c r="AF79" s="280"/>
      <c r="AG79" s="281"/>
      <c r="AH79" s="282"/>
      <c r="AI79" s="280"/>
      <c r="AJ79" s="281"/>
      <c r="AK79" s="283">
        <f>+SUM(AC78,AF78)*0.2</f>
        <v>0</v>
      </c>
      <c r="AL79" s="280"/>
      <c r="AM79" s="281"/>
      <c r="AN79" s="282">
        <f>+AK79/2</f>
        <v>0</v>
      </c>
      <c r="AO79" s="470" t="s">
        <v>583</v>
      </c>
      <c r="AP79" s="267" t="s">
        <v>221</v>
      </c>
      <c r="AQ79" s="276" t="s">
        <v>584</v>
      </c>
      <c r="AR79" s="473" t="s">
        <v>567</v>
      </c>
      <c r="AS79" s="473" t="s">
        <v>568</v>
      </c>
    </row>
    <row r="80" spans="1:45" s="188" customFormat="1" ht="375" x14ac:dyDescent="0.25">
      <c r="A80" s="352" t="s">
        <v>2</v>
      </c>
      <c r="B80" s="256" t="s">
        <v>128</v>
      </c>
      <c r="C80" s="256"/>
      <c r="D80" s="257" t="s">
        <v>513</v>
      </c>
      <c r="E80" s="257" t="s">
        <v>96</v>
      </c>
      <c r="F80" s="258" t="s">
        <v>142</v>
      </c>
      <c r="G80" s="273" t="s">
        <v>119</v>
      </c>
      <c r="H80" s="258" t="s">
        <v>514</v>
      </c>
      <c r="I80" s="259" t="s">
        <v>515</v>
      </c>
      <c r="J80" s="259" t="s">
        <v>516</v>
      </c>
      <c r="K80" s="259" t="s">
        <v>517</v>
      </c>
      <c r="L80" s="258">
        <v>12</v>
      </c>
      <c r="M80" s="258"/>
      <c r="N80" s="258"/>
      <c r="O80" s="257" t="s">
        <v>109</v>
      </c>
      <c r="P80" s="305">
        <f t="shared" si="1"/>
        <v>328624</v>
      </c>
      <c r="Q80" s="306">
        <f t="shared" si="11"/>
        <v>0</v>
      </c>
      <c r="R80" s="316">
        <f t="shared" si="12"/>
        <v>0</v>
      </c>
      <c r="S80" s="316">
        <f t="shared" si="13"/>
        <v>0</v>
      </c>
      <c r="T80" s="316">
        <f t="shared" si="14"/>
        <v>328624</v>
      </c>
      <c r="U80" s="317">
        <f t="shared" si="15"/>
        <v>0</v>
      </c>
      <c r="V80" s="318">
        <f t="shared" si="10"/>
        <v>0</v>
      </c>
      <c r="W80" s="277"/>
      <c r="X80" s="278"/>
      <c r="Y80" s="272"/>
      <c r="Z80" s="279"/>
      <c r="AA80" s="278"/>
      <c r="AB80" s="278"/>
      <c r="AC80" s="280"/>
      <c r="AD80" s="281"/>
      <c r="AE80" s="282"/>
      <c r="AF80" s="280">
        <v>328624</v>
      </c>
      <c r="AG80" s="281"/>
      <c r="AH80" s="282"/>
      <c r="AI80" s="280"/>
      <c r="AJ80" s="281"/>
      <c r="AK80" s="283"/>
      <c r="AL80" s="280"/>
      <c r="AM80" s="281"/>
      <c r="AN80" s="282"/>
      <c r="AO80" s="470" t="s">
        <v>585</v>
      </c>
      <c r="AP80" s="267" t="s">
        <v>222</v>
      </c>
      <c r="AQ80" s="276"/>
      <c r="AR80" s="473" t="s">
        <v>586</v>
      </c>
      <c r="AS80" s="473" t="s">
        <v>587</v>
      </c>
    </row>
    <row r="81" spans="1:45" s="188" customFormat="1" ht="375" hidden="1" x14ac:dyDescent="0.25">
      <c r="A81" s="352" t="s">
        <v>2</v>
      </c>
      <c r="B81" s="256" t="s">
        <v>128</v>
      </c>
      <c r="C81" s="256" t="s">
        <v>458</v>
      </c>
      <c r="D81" s="257" t="s">
        <v>513</v>
      </c>
      <c r="E81" s="257" t="s">
        <v>96</v>
      </c>
      <c r="F81" s="258" t="s">
        <v>142</v>
      </c>
      <c r="G81" s="273" t="s">
        <v>119</v>
      </c>
      <c r="H81" s="258" t="s">
        <v>514</v>
      </c>
      <c r="I81" s="259" t="s">
        <v>515</v>
      </c>
      <c r="J81" s="259" t="s">
        <v>514</v>
      </c>
      <c r="K81" s="259" t="s">
        <v>518</v>
      </c>
      <c r="L81" s="258" t="s">
        <v>672</v>
      </c>
      <c r="M81" s="258"/>
      <c r="N81" s="258"/>
      <c r="O81" s="257" t="s">
        <v>101</v>
      </c>
      <c r="P81" s="305">
        <f t="shared" si="1"/>
        <v>552154.4</v>
      </c>
      <c r="Q81" s="306">
        <f t="shared" si="11"/>
        <v>0</v>
      </c>
      <c r="R81" s="316">
        <f t="shared" si="12"/>
        <v>0</v>
      </c>
      <c r="S81" s="316">
        <f t="shared" si="13"/>
        <v>57879.199999999997</v>
      </c>
      <c r="T81" s="316">
        <f t="shared" si="14"/>
        <v>116758.40000000001</v>
      </c>
      <c r="U81" s="317">
        <f t="shared" si="15"/>
        <v>188758.40000000002</v>
      </c>
      <c r="V81" s="318">
        <f t="shared" si="10"/>
        <v>188758.40000000002</v>
      </c>
      <c r="W81" s="277"/>
      <c r="X81" s="278"/>
      <c r="Y81" s="272"/>
      <c r="Z81" s="279"/>
      <c r="AA81" s="278"/>
      <c r="AB81" s="278"/>
      <c r="AC81" s="280"/>
      <c r="AD81" s="281">
        <v>51379.199999999997</v>
      </c>
      <c r="AE81" s="282">
        <v>6500</v>
      </c>
      <c r="AF81" s="280"/>
      <c r="AG81" s="281">
        <v>102758.40000000001</v>
      </c>
      <c r="AH81" s="282">
        <v>14000</v>
      </c>
      <c r="AI81" s="280"/>
      <c r="AJ81" s="281">
        <v>102758.40000000001</v>
      </c>
      <c r="AK81" s="283">
        <v>86000</v>
      </c>
      <c r="AL81" s="280"/>
      <c r="AM81" s="281">
        <v>102758.40000000001</v>
      </c>
      <c r="AN81" s="282">
        <v>86000</v>
      </c>
      <c r="AO81" s="470" t="s">
        <v>588</v>
      </c>
      <c r="AP81" s="267" t="s">
        <v>221</v>
      </c>
      <c r="AQ81" s="276" t="s">
        <v>589</v>
      </c>
      <c r="AR81" s="473" t="s">
        <v>586</v>
      </c>
      <c r="AS81" s="473" t="s">
        <v>568</v>
      </c>
    </row>
    <row r="82" spans="1:45" s="188" customFormat="1" ht="409.5" x14ac:dyDescent="0.25">
      <c r="A82" s="352" t="s">
        <v>2</v>
      </c>
      <c r="B82" s="256" t="s">
        <v>128</v>
      </c>
      <c r="C82" s="256"/>
      <c r="D82" s="257" t="s">
        <v>141</v>
      </c>
      <c r="E82" s="257" t="s">
        <v>96</v>
      </c>
      <c r="F82" s="258" t="s">
        <v>142</v>
      </c>
      <c r="G82" s="273" t="s">
        <v>119</v>
      </c>
      <c r="H82" s="258" t="s">
        <v>519</v>
      </c>
      <c r="I82" s="259" t="s">
        <v>520</v>
      </c>
      <c r="J82" s="259" t="s">
        <v>521</v>
      </c>
      <c r="K82" s="259" t="s">
        <v>522</v>
      </c>
      <c r="L82" s="258">
        <v>5</v>
      </c>
      <c r="M82" s="258"/>
      <c r="N82" s="258"/>
      <c r="O82" s="257" t="s">
        <v>109</v>
      </c>
      <c r="P82" s="305">
        <f t="shared" si="1"/>
        <v>50000</v>
      </c>
      <c r="Q82" s="306">
        <f t="shared" si="11"/>
        <v>0</v>
      </c>
      <c r="R82" s="316">
        <f t="shared" si="12"/>
        <v>0</v>
      </c>
      <c r="S82" s="316">
        <f t="shared" si="13"/>
        <v>50000</v>
      </c>
      <c r="T82" s="316">
        <f t="shared" si="14"/>
        <v>0</v>
      </c>
      <c r="U82" s="317">
        <f t="shared" si="15"/>
        <v>0</v>
      </c>
      <c r="V82" s="318">
        <f t="shared" si="10"/>
        <v>0</v>
      </c>
      <c r="W82" s="277"/>
      <c r="X82" s="278"/>
      <c r="Y82" s="272"/>
      <c r="Z82" s="279"/>
      <c r="AA82" s="278"/>
      <c r="AB82" s="278"/>
      <c r="AC82" s="280"/>
      <c r="AD82" s="281"/>
      <c r="AE82" s="282">
        <v>50000</v>
      </c>
      <c r="AF82" s="280"/>
      <c r="AG82" s="281"/>
      <c r="AH82" s="282"/>
      <c r="AI82" s="280"/>
      <c r="AJ82" s="281"/>
      <c r="AK82" s="283"/>
      <c r="AL82" s="280"/>
      <c r="AM82" s="281"/>
      <c r="AN82" s="282"/>
      <c r="AO82" s="470" t="s">
        <v>590</v>
      </c>
      <c r="AP82" s="267" t="s">
        <v>226</v>
      </c>
      <c r="AQ82" s="276"/>
      <c r="AR82" s="473"/>
      <c r="AS82" s="473"/>
    </row>
    <row r="83" spans="1:45" s="188" customFormat="1" ht="409.5" x14ac:dyDescent="0.25">
      <c r="A83" s="352" t="s">
        <v>2</v>
      </c>
      <c r="B83" s="256" t="s">
        <v>128</v>
      </c>
      <c r="C83" s="256"/>
      <c r="D83" s="257" t="s">
        <v>141</v>
      </c>
      <c r="E83" s="257" t="s">
        <v>96</v>
      </c>
      <c r="F83" s="258" t="s">
        <v>142</v>
      </c>
      <c r="G83" s="273" t="s">
        <v>119</v>
      </c>
      <c r="H83" s="258" t="s">
        <v>519</v>
      </c>
      <c r="I83" s="259" t="s">
        <v>523</v>
      </c>
      <c r="J83" s="259" t="s">
        <v>524</v>
      </c>
      <c r="K83" s="259" t="s">
        <v>525</v>
      </c>
      <c r="L83" s="258">
        <v>13</v>
      </c>
      <c r="M83" s="258"/>
      <c r="N83" s="258" t="s">
        <v>686</v>
      </c>
      <c r="O83" s="257" t="s">
        <v>109</v>
      </c>
      <c r="P83" s="305">
        <f t="shared" si="1"/>
        <v>2800000</v>
      </c>
      <c r="Q83" s="306">
        <f t="shared" si="11"/>
        <v>0</v>
      </c>
      <c r="R83" s="316">
        <f t="shared" si="12"/>
        <v>0</v>
      </c>
      <c r="S83" s="316">
        <f t="shared" si="13"/>
        <v>0</v>
      </c>
      <c r="T83" s="316">
        <f t="shared" si="14"/>
        <v>300000</v>
      </c>
      <c r="U83" s="317">
        <f t="shared" si="15"/>
        <v>2200000</v>
      </c>
      <c r="V83" s="318">
        <f t="shared" si="10"/>
        <v>300000</v>
      </c>
      <c r="W83" s="277"/>
      <c r="X83" s="278"/>
      <c r="Y83" s="272"/>
      <c r="Z83" s="279"/>
      <c r="AA83" s="278"/>
      <c r="AB83" s="278"/>
      <c r="AC83" s="280"/>
      <c r="AD83" s="281"/>
      <c r="AE83" s="282"/>
      <c r="AF83" s="280"/>
      <c r="AG83" s="281">
        <v>100000</v>
      </c>
      <c r="AH83" s="282">
        <v>200000</v>
      </c>
      <c r="AI83" s="280">
        <v>2000000</v>
      </c>
      <c r="AJ83" s="281">
        <v>200000</v>
      </c>
      <c r="AK83" s="283"/>
      <c r="AL83" s="280">
        <v>200000</v>
      </c>
      <c r="AM83" s="281">
        <v>100000</v>
      </c>
      <c r="AN83" s="282"/>
      <c r="AO83" s="470" t="s">
        <v>591</v>
      </c>
      <c r="AP83" s="267" t="s">
        <v>222</v>
      </c>
      <c r="AQ83" s="276"/>
      <c r="AR83" s="473"/>
      <c r="AS83" s="473"/>
    </row>
    <row r="84" spans="1:45" s="188" customFormat="1" ht="120" hidden="1" x14ac:dyDescent="0.25">
      <c r="A84" s="352" t="s">
        <v>2</v>
      </c>
      <c r="B84" s="256" t="s">
        <v>128</v>
      </c>
      <c r="C84" s="256" t="s">
        <v>458</v>
      </c>
      <c r="D84" s="257" t="s">
        <v>141</v>
      </c>
      <c r="E84" s="257" t="s">
        <v>96</v>
      </c>
      <c r="F84" s="258" t="s">
        <v>142</v>
      </c>
      <c r="G84" s="273" t="s">
        <v>119</v>
      </c>
      <c r="H84" s="258" t="s">
        <v>519</v>
      </c>
      <c r="I84" s="259" t="s">
        <v>526</v>
      </c>
      <c r="J84" s="259" t="s">
        <v>527</v>
      </c>
      <c r="K84" s="259" t="s">
        <v>528</v>
      </c>
      <c r="L84" s="258" t="s">
        <v>670</v>
      </c>
      <c r="M84" s="258"/>
      <c r="N84" s="258"/>
      <c r="O84" s="257" t="s">
        <v>101</v>
      </c>
      <c r="P84" s="305">
        <f t="shared" si="1"/>
        <v>520000</v>
      </c>
      <c r="Q84" s="306">
        <f t="shared" si="11"/>
        <v>0</v>
      </c>
      <c r="R84" s="316">
        <f t="shared" si="12"/>
        <v>0</v>
      </c>
      <c r="S84" s="316">
        <f t="shared" si="13"/>
        <v>100000</v>
      </c>
      <c r="T84" s="316">
        <f t="shared" si="14"/>
        <v>100000</v>
      </c>
      <c r="U84" s="317">
        <f t="shared" si="15"/>
        <v>100000</v>
      </c>
      <c r="V84" s="318">
        <f t="shared" si="10"/>
        <v>220000</v>
      </c>
      <c r="W84" s="277"/>
      <c r="X84" s="278"/>
      <c r="Y84" s="272"/>
      <c r="Z84" s="279"/>
      <c r="AA84" s="278"/>
      <c r="AB84" s="278"/>
      <c r="AC84" s="280"/>
      <c r="AD84" s="281"/>
      <c r="AE84" s="282">
        <v>100000</v>
      </c>
      <c r="AF84" s="280"/>
      <c r="AG84" s="281"/>
      <c r="AH84" s="282">
        <v>100000</v>
      </c>
      <c r="AI84" s="280"/>
      <c r="AJ84" s="281"/>
      <c r="AK84" s="283">
        <v>100000</v>
      </c>
      <c r="AL84" s="280"/>
      <c r="AM84" s="281"/>
      <c r="AN84" s="282">
        <f>120000+100000</f>
        <v>220000</v>
      </c>
      <c r="AO84" s="470" t="s">
        <v>592</v>
      </c>
      <c r="AP84" s="267" t="s">
        <v>221</v>
      </c>
      <c r="AQ84" s="276" t="s">
        <v>593</v>
      </c>
      <c r="AR84" s="473" t="s">
        <v>567</v>
      </c>
      <c r="AS84" s="473" t="s">
        <v>568</v>
      </c>
    </row>
    <row r="85" spans="1:45" s="188" customFormat="1" ht="409.5" hidden="1" x14ac:dyDescent="0.25">
      <c r="A85" s="352" t="s">
        <v>2</v>
      </c>
      <c r="B85" s="256" t="s">
        <v>128</v>
      </c>
      <c r="C85" s="256" t="s">
        <v>458</v>
      </c>
      <c r="D85" s="257" t="s">
        <v>529</v>
      </c>
      <c r="E85" s="257" t="s">
        <v>96</v>
      </c>
      <c r="F85" s="258" t="s">
        <v>148</v>
      </c>
      <c r="G85" s="273" t="s">
        <v>161</v>
      </c>
      <c r="H85" s="258" t="s">
        <v>530</v>
      </c>
      <c r="I85" s="259" t="s">
        <v>531</v>
      </c>
      <c r="J85" s="259" t="s">
        <v>532</v>
      </c>
      <c r="K85" s="259" t="s">
        <v>533</v>
      </c>
      <c r="L85" s="258" t="s">
        <v>670</v>
      </c>
      <c r="M85" s="258"/>
      <c r="N85" s="258"/>
      <c r="O85" s="257" t="s">
        <v>101</v>
      </c>
      <c r="P85" s="305">
        <f t="shared" si="1"/>
        <v>4436732</v>
      </c>
      <c r="Q85" s="306">
        <f t="shared" si="11"/>
        <v>0</v>
      </c>
      <c r="R85" s="316">
        <f t="shared" si="12"/>
        <v>0</v>
      </c>
      <c r="S85" s="316">
        <f t="shared" si="13"/>
        <v>24000</v>
      </c>
      <c r="T85" s="316">
        <f t="shared" si="14"/>
        <v>124000</v>
      </c>
      <c r="U85" s="317">
        <f t="shared" si="15"/>
        <v>1473829</v>
      </c>
      <c r="V85" s="318">
        <f t="shared" si="10"/>
        <v>2814903</v>
      </c>
      <c r="W85" s="277"/>
      <c r="X85" s="278"/>
      <c r="Y85" s="272"/>
      <c r="Z85" s="279"/>
      <c r="AA85" s="278"/>
      <c r="AB85" s="278"/>
      <c r="AC85" s="280"/>
      <c r="AD85" s="281"/>
      <c r="AE85" s="282">
        <v>24000</v>
      </c>
      <c r="AF85" s="280"/>
      <c r="AG85" s="281"/>
      <c r="AH85" s="282">
        <f>24000+100000</f>
        <v>124000</v>
      </c>
      <c r="AI85" s="280">
        <v>273829</v>
      </c>
      <c r="AJ85" s="281"/>
      <c r="AK85" s="283">
        <v>1200000</v>
      </c>
      <c r="AL85" s="280">
        <v>314903</v>
      </c>
      <c r="AM85" s="281"/>
      <c r="AN85" s="282">
        <v>2500000</v>
      </c>
      <c r="AO85" s="470" t="s">
        <v>594</v>
      </c>
      <c r="AP85" s="267" t="s">
        <v>221</v>
      </c>
      <c r="AQ85" s="276"/>
      <c r="AR85" s="473" t="s">
        <v>456</v>
      </c>
      <c r="AS85" s="473" t="s">
        <v>595</v>
      </c>
    </row>
    <row r="86" spans="1:45" s="188" customFormat="1" ht="15.75" hidden="1" x14ac:dyDescent="0.25">
      <c r="A86" s="352"/>
      <c r="B86" s="256"/>
      <c r="C86" s="256"/>
      <c r="D86" s="257"/>
      <c r="E86" s="257"/>
      <c r="F86" s="258"/>
      <c r="G86" s="273"/>
      <c r="H86" s="258"/>
      <c r="I86" s="259"/>
      <c r="J86" s="259"/>
      <c r="K86" s="259"/>
      <c r="L86" s="258"/>
      <c r="M86" s="258"/>
      <c r="N86" s="258"/>
      <c r="O86" s="257"/>
      <c r="P86" s="305">
        <f t="shared" si="1"/>
        <v>0</v>
      </c>
      <c r="Q86" s="306">
        <f t="shared" si="11"/>
        <v>0</v>
      </c>
      <c r="R86" s="316">
        <f t="shared" si="12"/>
        <v>0</v>
      </c>
      <c r="S86" s="316">
        <f t="shared" si="13"/>
        <v>0</v>
      </c>
      <c r="T86" s="316">
        <f t="shared" si="14"/>
        <v>0</v>
      </c>
      <c r="U86" s="317">
        <f t="shared" si="15"/>
        <v>0</v>
      </c>
      <c r="V86" s="318">
        <f t="shared" si="10"/>
        <v>0</v>
      </c>
      <c r="W86" s="277"/>
      <c r="X86" s="278"/>
      <c r="Y86" s="272"/>
      <c r="Z86" s="279"/>
      <c r="AA86" s="278"/>
      <c r="AB86" s="278"/>
      <c r="AC86" s="280"/>
      <c r="AD86" s="281"/>
      <c r="AE86" s="282"/>
      <c r="AF86" s="280"/>
      <c r="AG86" s="281"/>
      <c r="AH86" s="282"/>
      <c r="AI86" s="280"/>
      <c r="AJ86" s="281"/>
      <c r="AK86" s="283"/>
      <c r="AL86" s="280"/>
      <c r="AM86" s="281"/>
      <c r="AN86" s="282"/>
      <c r="AO86" s="470"/>
      <c r="AP86" s="267"/>
      <c r="AQ86" s="276"/>
      <c r="AR86" s="473"/>
      <c r="AS86" s="473"/>
    </row>
    <row r="87" spans="1:45" s="188" customFormat="1" ht="409.5" hidden="1" x14ac:dyDescent="0.25">
      <c r="A87" s="352" t="s">
        <v>2</v>
      </c>
      <c r="B87" s="256" t="s">
        <v>128</v>
      </c>
      <c r="C87" s="256" t="s">
        <v>458</v>
      </c>
      <c r="D87" s="257" t="s">
        <v>141</v>
      </c>
      <c r="E87" s="257" t="s">
        <v>96</v>
      </c>
      <c r="F87" s="258" t="s">
        <v>142</v>
      </c>
      <c r="G87" s="273" t="s">
        <v>119</v>
      </c>
      <c r="H87" s="258" t="s">
        <v>519</v>
      </c>
      <c r="I87" s="259" t="s">
        <v>534</v>
      </c>
      <c r="J87" s="259" t="s">
        <v>535</v>
      </c>
      <c r="K87" s="259" t="s">
        <v>536</v>
      </c>
      <c r="L87" s="258" t="s">
        <v>670</v>
      </c>
      <c r="M87" s="258"/>
      <c r="N87" s="258"/>
      <c r="O87" s="257" t="s">
        <v>101</v>
      </c>
      <c r="P87" s="305">
        <f t="shared" si="1"/>
        <v>1342624.8321100001</v>
      </c>
      <c r="Q87" s="306">
        <f t="shared" si="11"/>
        <v>0</v>
      </c>
      <c r="R87" s="316">
        <f t="shared" si="12"/>
        <v>3389.9999999999995</v>
      </c>
      <c r="S87" s="316">
        <f t="shared" si="13"/>
        <v>209046</v>
      </c>
      <c r="T87" s="316">
        <f t="shared" si="14"/>
        <v>418811.9</v>
      </c>
      <c r="U87" s="317">
        <f t="shared" si="15"/>
        <v>343046.44699999999</v>
      </c>
      <c r="V87" s="318">
        <f t="shared" si="10"/>
        <v>368330.48510999995</v>
      </c>
      <c r="W87" s="277"/>
      <c r="X87" s="278"/>
      <c r="Y87" s="272"/>
      <c r="Z87" s="279"/>
      <c r="AA87" s="278"/>
      <c r="AB87" s="278">
        <f>+AG87/3.75/1.338/12</f>
        <v>3389.9999999999995</v>
      </c>
      <c r="AC87" s="280"/>
      <c r="AD87" s="281">
        <f>3.25*3000*12*1.338</f>
        <v>156546</v>
      </c>
      <c r="AE87" s="282">
        <v>52500</v>
      </c>
      <c r="AF87" s="280">
        <v>150000</v>
      </c>
      <c r="AG87" s="281">
        <f>3.75*3000*12*1.338*1.13</f>
        <v>204111.9</v>
      </c>
      <c r="AH87" s="282">
        <v>64700</v>
      </c>
      <c r="AI87" s="280">
        <v>0</v>
      </c>
      <c r="AJ87" s="281">
        <f>+AG87*1.13</f>
        <v>230646.44699999999</v>
      </c>
      <c r="AK87" s="283">
        <v>112400</v>
      </c>
      <c r="AL87" s="280">
        <v>0</v>
      </c>
      <c r="AM87" s="281">
        <f>+AJ87*1.13</f>
        <v>260630.48510999995</v>
      </c>
      <c r="AN87" s="282">
        <v>107700</v>
      </c>
      <c r="AO87" s="470" t="s">
        <v>596</v>
      </c>
      <c r="AP87" s="267" t="s">
        <v>221</v>
      </c>
      <c r="AQ87" s="276" t="s">
        <v>597</v>
      </c>
      <c r="AR87" s="473" t="s">
        <v>567</v>
      </c>
      <c r="AS87" s="473" t="s">
        <v>568</v>
      </c>
    </row>
    <row r="88" spans="1:45" s="188" customFormat="1" ht="240" hidden="1" x14ac:dyDescent="0.25">
      <c r="A88" s="352" t="s">
        <v>2</v>
      </c>
      <c r="B88" s="256" t="s">
        <v>128</v>
      </c>
      <c r="C88" s="256" t="s">
        <v>458</v>
      </c>
      <c r="D88" s="257" t="s">
        <v>537</v>
      </c>
      <c r="E88" s="257" t="s">
        <v>96</v>
      </c>
      <c r="F88" s="258" t="s">
        <v>142</v>
      </c>
      <c r="G88" s="273" t="s">
        <v>119</v>
      </c>
      <c r="H88" s="258" t="s">
        <v>465</v>
      </c>
      <c r="I88" s="259" t="s">
        <v>538</v>
      </c>
      <c r="J88" s="259" t="s">
        <v>539</v>
      </c>
      <c r="K88" s="259" t="s">
        <v>540</v>
      </c>
      <c r="L88" s="258" t="s">
        <v>669</v>
      </c>
      <c r="M88" s="258"/>
      <c r="N88" s="258"/>
      <c r="O88" s="257" t="s">
        <v>101</v>
      </c>
      <c r="P88" s="305">
        <f t="shared" si="1"/>
        <v>221094.39167999997</v>
      </c>
      <c r="Q88" s="306">
        <f t="shared" si="11"/>
        <v>0</v>
      </c>
      <c r="R88" s="316">
        <f t="shared" si="12"/>
        <v>0</v>
      </c>
      <c r="S88" s="316">
        <f t="shared" si="13"/>
        <v>0</v>
      </c>
      <c r="T88" s="316">
        <f t="shared" si="14"/>
        <v>70987.199999999997</v>
      </c>
      <c r="U88" s="317">
        <f t="shared" si="15"/>
        <v>73585.535999999993</v>
      </c>
      <c r="V88" s="318">
        <f t="shared" si="10"/>
        <v>76521.655679999996</v>
      </c>
      <c r="W88" s="277"/>
      <c r="X88" s="278"/>
      <c r="Y88" s="272"/>
      <c r="Z88" s="279"/>
      <c r="AA88" s="278"/>
      <c r="AB88" s="278"/>
      <c r="AC88" s="280"/>
      <c r="AD88" s="281"/>
      <c r="AE88" s="282"/>
      <c r="AF88" s="280"/>
      <c r="AG88" s="281">
        <f>3000*0.2*12*1.388*2</f>
        <v>19987.199999999997</v>
      </c>
      <c r="AH88" s="282">
        <v>51000</v>
      </c>
      <c r="AI88" s="280"/>
      <c r="AJ88" s="281">
        <f>3000*0.2*12*1.388*2*1.13</f>
        <v>22585.535999999993</v>
      </c>
      <c r="AK88" s="283">
        <v>51000</v>
      </c>
      <c r="AL88" s="280"/>
      <c r="AM88" s="281">
        <f>+AJ88*1.13</f>
        <v>25521.655679999989</v>
      </c>
      <c r="AN88" s="282">
        <v>51000</v>
      </c>
      <c r="AO88" s="470" t="s">
        <v>598</v>
      </c>
      <c r="AP88" s="267" t="s">
        <v>221</v>
      </c>
      <c r="AQ88" s="276" t="s">
        <v>599</v>
      </c>
      <c r="AR88" s="473" t="s">
        <v>567</v>
      </c>
      <c r="AS88" s="473" t="s">
        <v>568</v>
      </c>
    </row>
    <row r="89" spans="1:45" s="188" customFormat="1" ht="330" hidden="1" x14ac:dyDescent="0.25">
      <c r="A89" s="352" t="s">
        <v>2</v>
      </c>
      <c r="B89" s="256" t="s">
        <v>128</v>
      </c>
      <c r="C89" s="256" t="s">
        <v>458</v>
      </c>
      <c r="D89" s="257" t="s">
        <v>541</v>
      </c>
      <c r="E89" s="257" t="s">
        <v>96</v>
      </c>
      <c r="F89" s="258" t="s">
        <v>177</v>
      </c>
      <c r="G89" s="273" t="s">
        <v>119</v>
      </c>
      <c r="H89" s="258"/>
      <c r="I89" s="259" t="s">
        <v>542</v>
      </c>
      <c r="J89" s="259" t="s">
        <v>543</v>
      </c>
      <c r="K89" s="259" t="s">
        <v>544</v>
      </c>
      <c r="L89" s="258" t="s">
        <v>673</v>
      </c>
      <c r="M89" s="258"/>
      <c r="N89" s="258"/>
      <c r="O89" s="257" t="s">
        <v>185</v>
      </c>
      <c r="P89" s="305">
        <f t="shared" si="1"/>
        <v>2782997.94</v>
      </c>
      <c r="Q89" s="306">
        <f t="shared" si="11"/>
        <v>222623.08000000002</v>
      </c>
      <c r="R89" s="316">
        <f t="shared" si="12"/>
        <v>1905550.86</v>
      </c>
      <c r="S89" s="316">
        <f t="shared" si="13"/>
        <v>654824</v>
      </c>
      <c r="T89" s="316">
        <f t="shared" si="14"/>
        <v>0</v>
      </c>
      <c r="U89" s="317">
        <f t="shared" si="15"/>
        <v>0</v>
      </c>
      <c r="V89" s="318">
        <f t="shared" si="10"/>
        <v>0</v>
      </c>
      <c r="W89" s="277">
        <v>50171.64</v>
      </c>
      <c r="X89" s="278">
        <v>168525.82</v>
      </c>
      <c r="Y89" s="272">
        <v>3925.62</v>
      </c>
      <c r="Z89" s="279">
        <v>1032764.6</v>
      </c>
      <c r="AA89" s="278">
        <v>392324.18</v>
      </c>
      <c r="AB89" s="278">
        <v>480462.08000000002</v>
      </c>
      <c r="AC89" s="280">
        <f>131500+131000</f>
        <v>262500</v>
      </c>
      <c r="AD89" s="281">
        <v>392324</v>
      </c>
      <c r="AE89" s="282"/>
      <c r="AF89" s="280"/>
      <c r="AG89" s="281"/>
      <c r="AH89" s="282"/>
      <c r="AI89" s="280"/>
      <c r="AJ89" s="281"/>
      <c r="AK89" s="283"/>
      <c r="AL89" s="280"/>
      <c r="AM89" s="281"/>
      <c r="AN89" s="282"/>
      <c r="AO89" s="470" t="s">
        <v>600</v>
      </c>
      <c r="AP89" s="267"/>
      <c r="AQ89" s="276"/>
      <c r="AR89" s="473"/>
      <c r="AS89" s="473"/>
    </row>
    <row r="90" spans="1:45" s="235" customFormat="1" ht="105" hidden="1" x14ac:dyDescent="0.25">
      <c r="A90" s="352" t="s">
        <v>2</v>
      </c>
      <c r="B90" s="256" t="s">
        <v>128</v>
      </c>
      <c r="C90" s="256" t="s">
        <v>458</v>
      </c>
      <c r="D90" s="257" t="s">
        <v>545</v>
      </c>
      <c r="E90" s="257" t="s">
        <v>96</v>
      </c>
      <c r="F90" s="257" t="s">
        <v>142</v>
      </c>
      <c r="G90" s="273" t="s">
        <v>119</v>
      </c>
      <c r="H90" s="257" t="s">
        <v>497</v>
      </c>
      <c r="I90" s="257" t="s">
        <v>546</v>
      </c>
      <c r="J90" s="413" t="s">
        <v>547</v>
      </c>
      <c r="K90" s="257" t="s">
        <v>548</v>
      </c>
      <c r="L90" s="257" t="s">
        <v>670</v>
      </c>
      <c r="M90" s="257"/>
      <c r="N90" s="257"/>
      <c r="O90" s="257" t="s">
        <v>185</v>
      </c>
      <c r="P90" s="305">
        <f t="shared" si="1"/>
        <v>756411.98</v>
      </c>
      <c r="Q90" s="306">
        <f t="shared" si="11"/>
        <v>316159.32999999996</v>
      </c>
      <c r="R90" s="316">
        <f t="shared" si="12"/>
        <v>440252.65</v>
      </c>
      <c r="S90" s="316">
        <f t="shared" si="13"/>
        <v>0</v>
      </c>
      <c r="T90" s="316">
        <f t="shared" si="14"/>
        <v>0</v>
      </c>
      <c r="U90" s="317">
        <f t="shared" si="15"/>
        <v>0</v>
      </c>
      <c r="V90" s="318">
        <f t="shared" si="10"/>
        <v>0</v>
      </c>
      <c r="W90" s="284">
        <v>221898.77</v>
      </c>
      <c r="X90" s="285">
        <v>93120.56</v>
      </c>
      <c r="Y90" s="286">
        <v>1140</v>
      </c>
      <c r="Z90" s="287">
        <v>223841.39</v>
      </c>
      <c r="AA90" s="285">
        <v>175549.26</v>
      </c>
      <c r="AB90" s="285">
        <v>40862</v>
      </c>
      <c r="AC90" s="288"/>
      <c r="AD90" s="289"/>
      <c r="AE90" s="290"/>
      <c r="AF90" s="288"/>
      <c r="AG90" s="289"/>
      <c r="AH90" s="290"/>
      <c r="AI90" s="288"/>
      <c r="AJ90" s="289"/>
      <c r="AK90" s="291"/>
      <c r="AL90" s="288"/>
      <c r="AM90" s="289"/>
      <c r="AN90" s="290"/>
      <c r="AO90" s="275"/>
      <c r="AP90" s="267"/>
      <c r="AQ90" s="268"/>
      <c r="AR90" s="473"/>
      <c r="AS90" s="473"/>
    </row>
    <row r="91" spans="1:45" s="188" customFormat="1" ht="105" hidden="1" x14ac:dyDescent="0.25">
      <c r="A91" s="352" t="s">
        <v>2</v>
      </c>
      <c r="B91" s="256" t="s">
        <v>128</v>
      </c>
      <c r="C91" s="256" t="s">
        <v>458</v>
      </c>
      <c r="D91" s="257" t="s">
        <v>537</v>
      </c>
      <c r="E91" s="257" t="s">
        <v>96</v>
      </c>
      <c r="F91" s="258" t="s">
        <v>142</v>
      </c>
      <c r="G91" s="258" t="s">
        <v>119</v>
      </c>
      <c r="H91" s="258" t="s">
        <v>465</v>
      </c>
      <c r="I91" s="259" t="s">
        <v>549</v>
      </c>
      <c r="J91" s="468" t="s">
        <v>550</v>
      </c>
      <c r="K91" s="259" t="s">
        <v>551</v>
      </c>
      <c r="L91" s="258" t="s">
        <v>669</v>
      </c>
      <c r="M91" s="258"/>
      <c r="N91" s="258"/>
      <c r="O91" s="257" t="s">
        <v>185</v>
      </c>
      <c r="P91" s="305">
        <f t="shared" si="1"/>
        <v>1632830.67</v>
      </c>
      <c r="Q91" s="306">
        <f t="shared" si="11"/>
        <v>208108.11</v>
      </c>
      <c r="R91" s="316">
        <f t="shared" si="12"/>
        <v>712361.28</v>
      </c>
      <c r="S91" s="316">
        <f t="shared" si="13"/>
        <v>712361.28</v>
      </c>
      <c r="T91" s="316">
        <f t="shared" si="14"/>
        <v>0</v>
      </c>
      <c r="U91" s="317">
        <f t="shared" si="15"/>
        <v>0</v>
      </c>
      <c r="V91" s="318">
        <f t="shared" si="10"/>
        <v>0</v>
      </c>
      <c r="W91" s="277">
        <v>157463.67999999999</v>
      </c>
      <c r="X91" s="278">
        <v>47921.8</v>
      </c>
      <c r="Y91" s="272">
        <v>2722.63</v>
      </c>
      <c r="Z91" s="279">
        <f>15128+409876.08</f>
        <v>425004.08</v>
      </c>
      <c r="AA91" s="278">
        <v>272107.2</v>
      </c>
      <c r="AB91" s="278">
        <v>15250</v>
      </c>
      <c r="AC91" s="280">
        <f>15128+409876.08</f>
        <v>425004.08</v>
      </c>
      <c r="AD91" s="281">
        <v>272107.2</v>
      </c>
      <c r="AE91" s="282">
        <v>15250</v>
      </c>
      <c r="AF91" s="280"/>
      <c r="AG91" s="281"/>
      <c r="AH91" s="282"/>
      <c r="AI91" s="280"/>
      <c r="AJ91" s="281"/>
      <c r="AK91" s="283"/>
      <c r="AL91" s="280"/>
      <c r="AM91" s="281"/>
      <c r="AN91" s="282"/>
      <c r="AO91" s="470"/>
      <c r="AP91" s="267"/>
      <c r="AQ91" s="276"/>
      <c r="AR91" s="473"/>
      <c r="AS91" s="473"/>
    </row>
    <row r="92" spans="1:45" s="188" customFormat="1" ht="330" hidden="1" x14ac:dyDescent="0.25">
      <c r="A92" s="352" t="s">
        <v>2</v>
      </c>
      <c r="B92" s="256" t="s">
        <v>128</v>
      </c>
      <c r="C92" s="256" t="s">
        <v>458</v>
      </c>
      <c r="D92" s="257" t="s">
        <v>552</v>
      </c>
      <c r="E92" s="257" t="s">
        <v>96</v>
      </c>
      <c r="F92" s="258" t="s">
        <v>142</v>
      </c>
      <c r="G92" s="258" t="s">
        <v>119</v>
      </c>
      <c r="H92" s="258"/>
      <c r="I92" s="259" t="s">
        <v>553</v>
      </c>
      <c r="J92" s="468" t="s">
        <v>554</v>
      </c>
      <c r="K92" s="259" t="s">
        <v>555</v>
      </c>
      <c r="L92" s="258" t="s">
        <v>673</v>
      </c>
      <c r="M92" s="258"/>
      <c r="N92" s="258"/>
      <c r="O92" s="257" t="s">
        <v>185</v>
      </c>
      <c r="P92" s="305">
        <f t="shared" si="1"/>
        <v>1500000.1099999999</v>
      </c>
      <c r="Q92" s="306">
        <f t="shared" si="11"/>
        <v>41530.11</v>
      </c>
      <c r="R92" s="316">
        <f t="shared" si="12"/>
        <v>574000</v>
      </c>
      <c r="S92" s="316">
        <f t="shared" si="13"/>
        <v>320000</v>
      </c>
      <c r="T92" s="316">
        <f t="shared" si="14"/>
        <v>309000</v>
      </c>
      <c r="U92" s="317">
        <f t="shared" si="15"/>
        <v>255470</v>
      </c>
      <c r="V92" s="318">
        <f t="shared" si="10"/>
        <v>0</v>
      </c>
      <c r="W92" s="277">
        <v>6068.4</v>
      </c>
      <c r="X92" s="278">
        <v>35461.71</v>
      </c>
      <c r="Y92" s="272">
        <v>0</v>
      </c>
      <c r="Z92" s="279">
        <v>460000</v>
      </c>
      <c r="AA92" s="278">
        <v>114000</v>
      </c>
      <c r="AB92" s="278">
        <v>0</v>
      </c>
      <c r="AC92" s="280">
        <v>195000</v>
      </c>
      <c r="AD92" s="281">
        <v>125000</v>
      </c>
      <c r="AE92" s="282">
        <v>0</v>
      </c>
      <c r="AF92" s="280">
        <v>195000</v>
      </c>
      <c r="AG92" s="281">
        <v>114000</v>
      </c>
      <c r="AH92" s="282">
        <v>0</v>
      </c>
      <c r="AI92" s="280">
        <v>141470</v>
      </c>
      <c r="AJ92" s="281">
        <v>114000</v>
      </c>
      <c r="AK92" s="283">
        <v>0</v>
      </c>
      <c r="AL92" s="280">
        <v>0</v>
      </c>
      <c r="AM92" s="281">
        <v>0</v>
      </c>
      <c r="AN92" s="282">
        <v>0</v>
      </c>
      <c r="AO92" s="470"/>
      <c r="AP92" s="267"/>
      <c r="AQ92" s="276"/>
      <c r="AR92" s="473"/>
      <c r="AS92" s="473"/>
    </row>
    <row r="93" spans="1:45" s="188" customFormat="1" ht="409.5" hidden="1" x14ac:dyDescent="0.25">
      <c r="A93" s="258" t="s">
        <v>2</v>
      </c>
      <c r="B93" s="260" t="s">
        <v>128</v>
      </c>
      <c r="C93" s="260" t="s">
        <v>458</v>
      </c>
      <c r="D93" s="261" t="s">
        <v>556</v>
      </c>
      <c r="E93" s="261" t="s">
        <v>96</v>
      </c>
      <c r="F93" s="258" t="s">
        <v>142</v>
      </c>
      <c r="G93" s="273" t="s">
        <v>119</v>
      </c>
      <c r="H93" s="467"/>
      <c r="I93" s="262" t="s">
        <v>557</v>
      </c>
      <c r="J93" s="469" t="s">
        <v>558</v>
      </c>
      <c r="K93" s="262" t="s">
        <v>559</v>
      </c>
      <c r="L93" s="467" t="s">
        <v>670</v>
      </c>
      <c r="M93" s="467"/>
      <c r="N93" s="467"/>
      <c r="O93" s="261" t="s">
        <v>185</v>
      </c>
      <c r="P93" s="305">
        <f t="shared" si="1"/>
        <v>833000</v>
      </c>
      <c r="Q93" s="306">
        <f t="shared" si="11"/>
        <v>0</v>
      </c>
      <c r="R93" s="316">
        <f t="shared" si="12"/>
        <v>320000</v>
      </c>
      <c r="S93" s="316">
        <f t="shared" si="13"/>
        <v>513000</v>
      </c>
      <c r="T93" s="316">
        <f t="shared" si="14"/>
        <v>0</v>
      </c>
      <c r="U93" s="317">
        <f t="shared" si="15"/>
        <v>0</v>
      </c>
      <c r="V93" s="318">
        <f t="shared" si="10"/>
        <v>0</v>
      </c>
      <c r="W93" s="293"/>
      <c r="X93" s="294"/>
      <c r="Y93" s="295"/>
      <c r="Z93" s="296">
        <v>320000</v>
      </c>
      <c r="AA93" s="294"/>
      <c r="AB93" s="294"/>
      <c r="AC93" s="297">
        <v>513000</v>
      </c>
      <c r="AD93" s="298"/>
      <c r="AE93" s="299"/>
      <c r="AF93" s="297"/>
      <c r="AG93" s="298"/>
      <c r="AH93" s="299"/>
      <c r="AI93" s="297"/>
      <c r="AJ93" s="298"/>
      <c r="AK93" s="298"/>
      <c r="AL93" s="280"/>
      <c r="AM93" s="281"/>
      <c r="AN93" s="282"/>
      <c r="AO93" s="471"/>
      <c r="AP93" s="300"/>
      <c r="AQ93" s="301"/>
      <c r="AR93" s="473"/>
      <c r="AS93" s="473"/>
    </row>
    <row r="94" spans="1:45" s="188" customFormat="1" ht="15.6" hidden="1" customHeight="1" thickBot="1" x14ac:dyDescent="0.3">
      <c r="A94" s="37"/>
      <c r="B94" s="29"/>
      <c r="C94" s="38"/>
      <c r="D94" s="38"/>
      <c r="E94" s="38"/>
      <c r="F94" s="38"/>
      <c r="G94" s="38"/>
      <c r="H94" s="38"/>
      <c r="I94" s="38"/>
      <c r="J94" s="29"/>
      <c r="K94" s="38"/>
      <c r="L94" s="38"/>
      <c r="M94" s="38"/>
      <c r="N94" s="38"/>
      <c r="O94" s="38"/>
      <c r="P94" s="253">
        <f t="shared" si="1"/>
        <v>25897046.880000003</v>
      </c>
      <c r="Q94" s="236">
        <f t="shared" si="11"/>
        <v>1884860.6300000004</v>
      </c>
      <c r="R94" s="237">
        <f t="shared" si="12"/>
        <v>9983641.5899999999</v>
      </c>
      <c r="S94" s="237">
        <f t="shared" si="13"/>
        <v>14028544.66</v>
      </c>
      <c r="T94" s="237">
        <f t="shared" si="14"/>
        <v>0</v>
      </c>
      <c r="U94" s="238">
        <f t="shared" si="15"/>
        <v>0</v>
      </c>
      <c r="V94" s="238">
        <f t="shared" si="10"/>
        <v>0</v>
      </c>
      <c r="W94" s="346">
        <f>SUM(W35:W93)</f>
        <v>770602.49000000011</v>
      </c>
      <c r="X94" s="347">
        <f t="shared" ref="X94:AE94" si="16">SUM(X35:X93)</f>
        <v>749469.89000000013</v>
      </c>
      <c r="Y94" s="348">
        <f t="shared" si="16"/>
        <v>364788.25</v>
      </c>
      <c r="Z94" s="346">
        <f t="shared" si="16"/>
        <v>7013231.0699999994</v>
      </c>
      <c r="AA94" s="347">
        <f t="shared" si="16"/>
        <v>1755696.44</v>
      </c>
      <c r="AB94" s="348">
        <f t="shared" si="16"/>
        <v>1214714.08</v>
      </c>
      <c r="AC94" s="346">
        <f t="shared" si="16"/>
        <v>9712845.0800000001</v>
      </c>
      <c r="AD94" s="347">
        <f t="shared" si="16"/>
        <v>2626183.58</v>
      </c>
      <c r="AE94" s="348">
        <f t="shared" si="16"/>
        <v>1689516</v>
      </c>
      <c r="AF94" s="239"/>
      <c r="AG94" s="31"/>
      <c r="AH94" s="32"/>
      <c r="AI94" s="33"/>
      <c r="AJ94" s="31"/>
      <c r="AK94" s="31"/>
      <c r="AL94" s="368"/>
      <c r="AM94" s="369"/>
      <c r="AN94" s="32"/>
      <c r="AO94" s="240"/>
      <c r="AP94" s="241"/>
      <c r="AQ94" s="242"/>
      <c r="AR94" s="241"/>
      <c r="AS94" s="241"/>
    </row>
    <row r="95" spans="1:45" ht="15.75" hidden="1" thickBot="1" x14ac:dyDescent="0.3">
      <c r="J95" s="1"/>
      <c r="W95" s="349">
        <f t="shared" ref="W95:AE95" si="17">SUM(W97+W100+W103+W106+W112+W115+W118+W121+W127+W130+W133+W136)</f>
        <v>770602.49000000011</v>
      </c>
      <c r="X95" s="350">
        <f t="shared" si="17"/>
        <v>749469.89</v>
      </c>
      <c r="Y95" s="351">
        <f t="shared" si="17"/>
        <v>364788.25</v>
      </c>
      <c r="Z95" s="349">
        <f t="shared" si="17"/>
        <v>7013231.0700000003</v>
      </c>
      <c r="AA95" s="350">
        <f t="shared" si="17"/>
        <v>1755696.44</v>
      </c>
      <c r="AB95" s="351">
        <f t="shared" si="17"/>
        <v>1214714.08</v>
      </c>
      <c r="AC95" s="349">
        <f t="shared" si="17"/>
        <v>9712845.0800000001</v>
      </c>
      <c r="AD95" s="350">
        <f t="shared" si="17"/>
        <v>2626183.5799999996</v>
      </c>
      <c r="AE95" s="351">
        <f t="shared" si="17"/>
        <v>1689516</v>
      </c>
    </row>
    <row r="96" spans="1:45" ht="15.75" thickBot="1" x14ac:dyDescent="0.3">
      <c r="F96" s="244"/>
      <c r="J96" s="1"/>
      <c r="T96" s="244" t="s">
        <v>109</v>
      </c>
    </row>
    <row r="97" spans="5:42" x14ac:dyDescent="0.25">
      <c r="E97" s="1" t="s">
        <v>96</v>
      </c>
      <c r="F97" s="233" t="s">
        <v>216</v>
      </c>
      <c r="G97" s="1" t="s">
        <v>119</v>
      </c>
      <c r="J97" s="1"/>
      <c r="O97" s="233" t="s">
        <v>214</v>
      </c>
      <c r="P97" s="233"/>
      <c r="T97" s="1" t="s">
        <v>7</v>
      </c>
      <c r="W97" s="245">
        <f>SUMIFS($W$35:$W$93,$G$35:$G$93,$G$97,$O$35:$O$93,"SF 21-27 (taotletav raha)")</f>
        <v>0</v>
      </c>
      <c r="X97" s="246">
        <f>SUMIFS($X$35:$X$93,$G$35:$G$93,$G$97,$O$35:$O$93,"SF 21-27 (taotletav raha)")</f>
        <v>0</v>
      </c>
      <c r="Y97" s="247">
        <f>SUMIFS($Y$35:$Y$93,$G$35:$G$93,$G$97,$O$35:$O$93,"SF 21-27 (taotletav raha)")</f>
        <v>0</v>
      </c>
      <c r="Z97" s="245">
        <f>SUMIFS($Z$35:$Z$93,$G$35:$G$93,$G$97,$O$35:$O$93,"SF 21-27 (taotletav raha)")</f>
        <v>434320</v>
      </c>
      <c r="AA97" s="248">
        <f>SUMIFS($AA$35:$AA$93,$G$35:$G$93,$G$97,$O$35:$O$93,"SF 21-27 (taotletav raha)")</f>
        <v>91563</v>
      </c>
      <c r="AB97" s="249">
        <f>SUMIFS($AB$35:$AB$93,$G$35:$G$93,$G$97,$O$35:$O$93,"SF 21-27 (taotletav raha)")</f>
        <v>114500</v>
      </c>
      <c r="AC97" s="250">
        <f>SUMIFS($AC$35:$AC$93,$G$35:$G$93,$G$97,$O$35:$O$93,"SF 21-27 (taotletav raha)")</f>
        <v>2509040</v>
      </c>
      <c r="AD97" s="248">
        <f>SUMIFS($AD$35:$AD$93,$G$35:$G$93,$G$97,$O$35:$O$93,"SF 21-27 (taotletav raha)")</f>
        <v>644725.69999999995</v>
      </c>
      <c r="AE97" s="249">
        <f>SUMIFS($AE$35:$AE$93,$G$35:$G$93,$G$97,$O$35:$O$93,"SF 21-27 (taotletav raha)")</f>
        <v>239266</v>
      </c>
      <c r="AP97" s="1" t="s">
        <v>217</v>
      </c>
    </row>
    <row r="98" spans="5:42" ht="15.75" thickBot="1" x14ac:dyDescent="0.3">
      <c r="E98" s="1" t="s">
        <v>218</v>
      </c>
      <c r="F98" s="233" t="s">
        <v>219</v>
      </c>
      <c r="G98" s="1" t="s">
        <v>161</v>
      </c>
      <c r="J98" s="1"/>
      <c r="O98" s="233" t="s">
        <v>185</v>
      </c>
      <c r="P98" s="233"/>
      <c r="T98" s="251" t="s">
        <v>220</v>
      </c>
      <c r="U98" s="251"/>
      <c r="V98" s="251"/>
      <c r="W98" s="243">
        <f>W97*1.2</f>
        <v>0</v>
      </c>
      <c r="X98" s="123">
        <f>X97</f>
        <v>0</v>
      </c>
      <c r="Y98" s="124">
        <f>Y97*1.2</f>
        <v>0</v>
      </c>
      <c r="Z98" s="243">
        <f>Z97*1.22</f>
        <v>529870.4</v>
      </c>
      <c r="AA98" s="123">
        <f t="shared" ref="AA98" si="18">AA97</f>
        <v>91563</v>
      </c>
      <c r="AB98" s="124">
        <f t="shared" ref="AB98" si="19">AB97*1.22</f>
        <v>139690</v>
      </c>
      <c r="AC98" s="243">
        <f>AC97*1.22</f>
        <v>3061028.8</v>
      </c>
      <c r="AD98" s="123">
        <f t="shared" ref="AD98" si="20">AD97</f>
        <v>644725.69999999995</v>
      </c>
      <c r="AE98" s="124">
        <f t="shared" ref="AE98" si="21">AE97*1.22</f>
        <v>291904.52</v>
      </c>
      <c r="AP98" s="1" t="s">
        <v>221</v>
      </c>
    </row>
    <row r="99" spans="5:42" ht="15.75" thickBot="1" x14ac:dyDescent="0.3">
      <c r="E99" s="1" t="s">
        <v>159</v>
      </c>
      <c r="F99" s="233" t="s">
        <v>130</v>
      </c>
      <c r="G99" s="1" t="s">
        <v>105</v>
      </c>
      <c r="J99" s="1"/>
      <c r="O99" s="233" t="s">
        <v>101</v>
      </c>
      <c r="P99" s="233"/>
      <c r="W99" s="252"/>
      <c r="X99" s="252"/>
      <c r="Y99" s="252"/>
      <c r="AP99" s="1" t="s">
        <v>222</v>
      </c>
    </row>
    <row r="100" spans="5:42" x14ac:dyDescent="0.25">
      <c r="F100" s="233" t="s">
        <v>223</v>
      </c>
      <c r="G100" s="1" t="s">
        <v>97</v>
      </c>
      <c r="J100" s="1"/>
      <c r="O100" s="233" t="s">
        <v>224</v>
      </c>
      <c r="P100" s="233"/>
      <c r="T100" s="1" t="s">
        <v>8</v>
      </c>
      <c r="W100" s="245">
        <f>SUMIFS(W35:W93,G35:G93,$G$98,O35:O93,"SF 21-27 (taotletav raha)")</f>
        <v>0</v>
      </c>
      <c r="X100" s="246">
        <f>SUMIFS(X35:X93,G35:G93,$G$98,O35:O93,"SF 21-27 (taotletav raha)")</f>
        <v>0</v>
      </c>
      <c r="Y100" s="247">
        <f>SUMIFS(Y35:Y93,G35:G93,$G$98,O35:O93,"SF 21-27 (taotletav raha)")</f>
        <v>0</v>
      </c>
      <c r="Z100" s="250">
        <f>SUMIFS(Z35:Z93,G35:G93,$G$98,O35:O93,"SF 21-27 (taotletav raha)")</f>
        <v>0</v>
      </c>
      <c r="AA100" s="248">
        <f>SUMIFS(AA35:AA93,G35:G93,$G$98,O35:O93,"SF 21-27 (taotletav raha)")</f>
        <v>0</v>
      </c>
      <c r="AB100" s="249">
        <f>SUMIFS(AB35:AB93,G35:G93,$G$98,O35:O93,"SF 21-27 (taotletav raha)")</f>
        <v>0</v>
      </c>
      <c r="AC100" s="250">
        <f>SUMIFS(AC35:AC93,G35:G93,$G$98,O35:O93,"SF 21-27 (taotletav raha)")</f>
        <v>0</v>
      </c>
      <c r="AD100" s="248">
        <f>SUMIFS(AD35:AD93,G35:G93,$G$98,O35:O93,"SF 21-27 (taotletav raha)")</f>
        <v>0</v>
      </c>
      <c r="AE100" s="249">
        <f>SUMIFS(AE35:AE93,G35:G93,$G$98,O35:O93,"SF 21-27 (taotletav raha)")</f>
        <v>0</v>
      </c>
      <c r="AP100" s="1" t="s">
        <v>225</v>
      </c>
    </row>
    <row r="101" spans="5:42" ht="15.75" thickBot="1" x14ac:dyDescent="0.3">
      <c r="F101" s="233" t="s">
        <v>118</v>
      </c>
      <c r="J101" s="1"/>
      <c r="O101" s="233" t="s">
        <v>18</v>
      </c>
      <c r="P101" s="233"/>
      <c r="T101" s="251" t="s">
        <v>220</v>
      </c>
      <c r="W101" s="243">
        <f>W100*1.2</f>
        <v>0</v>
      </c>
      <c r="X101" s="123">
        <f>X100</f>
        <v>0</v>
      </c>
      <c r="Y101" s="124">
        <f>Y100*1.2</f>
        <v>0</v>
      </c>
      <c r="Z101" s="243">
        <f>Z100*1.22</f>
        <v>0</v>
      </c>
      <c r="AA101" s="123">
        <f t="shared" ref="AA101" si="22">AA100</f>
        <v>0</v>
      </c>
      <c r="AB101" s="124">
        <f t="shared" ref="AB101" si="23">AB100*1.22</f>
        <v>0</v>
      </c>
      <c r="AC101" s="243">
        <f>AC100*1.22</f>
        <v>0</v>
      </c>
      <c r="AD101" s="123">
        <f t="shared" ref="AD101" si="24">AD100</f>
        <v>0</v>
      </c>
      <c r="AE101" s="124">
        <f t="shared" ref="AE101" si="25">AE100*1.22</f>
        <v>0</v>
      </c>
      <c r="AP101" s="1" t="s">
        <v>226</v>
      </c>
    </row>
    <row r="102" spans="5:42" ht="15.75" thickBot="1" x14ac:dyDescent="0.3">
      <c r="F102" s="233" t="s">
        <v>142</v>
      </c>
      <c r="J102" s="1"/>
      <c r="O102" s="233" t="s">
        <v>227</v>
      </c>
      <c r="P102" s="233"/>
      <c r="W102" s="252"/>
      <c r="X102" s="252"/>
      <c r="Y102" s="252"/>
    </row>
    <row r="103" spans="5:42" x14ac:dyDescent="0.25">
      <c r="F103" s="233" t="s">
        <v>148</v>
      </c>
      <c r="J103" s="1"/>
      <c r="K103" s="252"/>
      <c r="L103" s="252"/>
      <c r="O103" s="233" t="s">
        <v>109</v>
      </c>
      <c r="T103" s="1" t="s">
        <v>228</v>
      </c>
      <c r="W103" s="245">
        <f>SUMIFS(W35:W93,G35:G93,$G$99,O35:O93,"SF 21-27 (taotletav raha)")</f>
        <v>0</v>
      </c>
      <c r="X103" s="246">
        <f>SUMIFS(X35:X93,G35:G93,$G$99,O35:O93,"SF 21-27 (taotletav raha)")</f>
        <v>0</v>
      </c>
      <c r="Y103" s="247">
        <f>SUMIFS(Y35:Y93,G35:G93,$G$99,O35:O93,"SF 21-27 (taotletav raha)")</f>
        <v>0</v>
      </c>
      <c r="Z103" s="250">
        <f>SUMIFS(Z35:Z93,G35:G93,$G$99,O35:O93,"SF 21-27 (taotletav raha)")</f>
        <v>0</v>
      </c>
      <c r="AA103" s="248">
        <f>SUMIFS(AA35:AA93,G35:G93,$G$99,O35:O93,"SF 21-27 (taotletav raha)")</f>
        <v>213294</v>
      </c>
      <c r="AB103" s="249">
        <f>SUMIFS(AB35:AB93,G35:G93,$G$99,O35:O93,"SF 21-27 (taotletav raha)")</f>
        <v>75000</v>
      </c>
      <c r="AC103" s="250">
        <f>SUMIFS(AC35:AC93,G35:G93,$G$99,O35:O93,"SF 21-27 (taotletav raha)")</f>
        <v>0</v>
      </c>
      <c r="AD103" s="248">
        <f>SUMIFS(AD35:AD93,G35:G93,$G$99,O35:O93,"SF 21-27 (taotletav raha)")</f>
        <v>213294</v>
      </c>
      <c r="AE103" s="249">
        <f>SUMIFS(AE35:AE93,G35:G93,$G$99,O35:O93,"SF 21-27 (taotletav raha)")</f>
        <v>75000</v>
      </c>
    </row>
    <row r="104" spans="5:42" ht="15.75" thickBot="1" x14ac:dyDescent="0.3">
      <c r="F104" s="233" t="s">
        <v>229</v>
      </c>
      <c r="J104" s="1"/>
      <c r="K104" s="252"/>
      <c r="T104" s="251" t="s">
        <v>220</v>
      </c>
      <c r="W104" s="243">
        <f>W103*1.2</f>
        <v>0</v>
      </c>
      <c r="X104" s="123">
        <f>X103</f>
        <v>0</v>
      </c>
      <c r="Y104" s="124">
        <f>Y103*1.2</f>
        <v>0</v>
      </c>
      <c r="Z104" s="243">
        <f>Z103*1.22</f>
        <v>0</v>
      </c>
      <c r="AA104" s="123">
        <f t="shared" ref="AA104" si="26">AA103</f>
        <v>213294</v>
      </c>
      <c r="AB104" s="124">
        <f t="shared" ref="AB104" si="27">AB103*1.22</f>
        <v>91500</v>
      </c>
      <c r="AC104" s="243">
        <f>AC103*1.22</f>
        <v>0</v>
      </c>
      <c r="AD104" s="123">
        <f t="shared" ref="AD104" si="28">AD103</f>
        <v>213294</v>
      </c>
      <c r="AE104" s="124">
        <f t="shared" ref="AE104" si="29">AE103*1.22</f>
        <v>91500</v>
      </c>
    </row>
    <row r="105" spans="5:42" ht="15.75" thickBot="1" x14ac:dyDescent="0.3">
      <c r="F105" s="233" t="s">
        <v>177</v>
      </c>
      <c r="J105" s="1"/>
      <c r="K105" s="252"/>
      <c r="W105" s="252"/>
      <c r="X105" s="252"/>
      <c r="Y105" s="252"/>
    </row>
    <row r="106" spans="5:42" x14ac:dyDescent="0.25">
      <c r="F106" s="233" t="s">
        <v>187</v>
      </c>
      <c r="J106" s="1"/>
      <c r="K106" s="252"/>
      <c r="T106" s="1" t="s">
        <v>10</v>
      </c>
      <c r="W106" s="245">
        <f>SUMIFS(W35:W93,G35:G93,$G$100,O35:O93,"SF 21-27 (taotletav raha)")</f>
        <v>0</v>
      </c>
      <c r="X106" s="246">
        <f>SUMIFS(X35:X93,G35:G93,$G$100,O35:O93,"SF 21-27 (taotletav raha)")</f>
        <v>0</v>
      </c>
      <c r="Y106" s="247">
        <f>SUMIFS(Y35:Y93,G35:G93,$G$100,O35:O93,"SF 21-27 (taotletav raha)")</f>
        <v>0</v>
      </c>
      <c r="Z106" s="250">
        <f>SUMIFS(Z35:Z93,G35:G93,$G$100,O35:O93,"SF 21-27 (taotletav raha)")</f>
        <v>0</v>
      </c>
      <c r="AA106" s="248">
        <f>SUMIFS(AA35:AA93,G35:G93,$G$100,O35:O93,"SF 21-27 (taotletav raha)")</f>
        <v>0</v>
      </c>
      <c r="AB106" s="249">
        <f>SUMIFS(AB35:AB93,G35:G93,$G$100,O35:O93,"SF 21-27 (taotletav raha)")</f>
        <v>0</v>
      </c>
      <c r="AC106" s="250">
        <f>SUMIFS(AC35:AC93,G35:G93,$G$100,O35:O93,"SF 21-27 (taotletav raha)")</f>
        <v>0</v>
      </c>
      <c r="AD106" s="248">
        <f>SUMIFS(AD35:AD93,G35:G93,$G$100,O35:O93,"SF 21-27 (taotletav raha)")</f>
        <v>0</v>
      </c>
      <c r="AE106" s="249">
        <f>SUMIFS(AE35:AE93,G35:G93,$G$100,O35:O93,"SF 21-27 (taotletav raha)")</f>
        <v>0</v>
      </c>
    </row>
    <row r="107" spans="5:42" ht="15.75" thickBot="1" x14ac:dyDescent="0.3">
      <c r="F107" s="233" t="s">
        <v>104</v>
      </c>
      <c r="J107" s="1"/>
      <c r="T107" s="251" t="s">
        <v>220</v>
      </c>
      <c r="W107" s="243">
        <f>W106*1.2</f>
        <v>0</v>
      </c>
      <c r="X107" s="123">
        <f>X106</f>
        <v>0</v>
      </c>
      <c r="Y107" s="124">
        <f>Y106*1.2</f>
        <v>0</v>
      </c>
      <c r="Z107" s="243">
        <f>Z106*1.22</f>
        <v>0</v>
      </c>
      <c r="AA107" s="123">
        <f t="shared" ref="AA107" si="30">AA106</f>
        <v>0</v>
      </c>
      <c r="AB107" s="124">
        <f t="shared" ref="AB107" si="31">AB106*1.22</f>
        <v>0</v>
      </c>
      <c r="AC107" s="243">
        <f>AC106*1.22</f>
        <v>0</v>
      </c>
      <c r="AD107" s="123">
        <f t="shared" ref="AD107" si="32">AD106</f>
        <v>0</v>
      </c>
      <c r="AE107" s="124">
        <f t="shared" ref="AE107" si="33">AE106*1.22</f>
        <v>0</v>
      </c>
    </row>
    <row r="108" spans="5:42" x14ac:dyDescent="0.25">
      <c r="F108" s="233" t="s">
        <v>230</v>
      </c>
      <c r="J108" s="1"/>
      <c r="K108" s="252"/>
    </row>
    <row r="109" spans="5:42" x14ac:dyDescent="0.25">
      <c r="F109" s="233" t="s">
        <v>231</v>
      </c>
      <c r="J109" s="1"/>
      <c r="K109" s="252"/>
    </row>
    <row r="110" spans="5:42" x14ac:dyDescent="0.25">
      <c r="F110" s="233" t="s">
        <v>232</v>
      </c>
      <c r="J110" s="1"/>
      <c r="K110" s="252"/>
    </row>
    <row r="111" spans="5:42" ht="15.75" thickBot="1" x14ac:dyDescent="0.3">
      <c r="F111" s="233" t="s">
        <v>233</v>
      </c>
      <c r="J111" s="1"/>
      <c r="K111" s="252"/>
      <c r="T111" s="244" t="s">
        <v>234</v>
      </c>
    </row>
    <row r="112" spans="5:42" x14ac:dyDescent="0.25">
      <c r="F112" s="233" t="s">
        <v>235</v>
      </c>
      <c r="J112" s="1"/>
      <c r="K112" s="252"/>
      <c r="T112" s="1" t="s">
        <v>7</v>
      </c>
      <c r="W112" s="245">
        <f t="shared" ref="W112:AE112" si="34">SUMIFS(W$35:W$93, $G$35:$G$93, $G$97, $O$35:$O$93, "Baaseelarve")+SUMIFS(W$35:W$93, $G$35:$G$93, $G$97, $O$35:$O$93, "Muu rahastus")+SUMIFS(W$35:W$93, $G$35:$G$93, $G$97, $O$35:$O$93, "Reserv (SR)")+SUMIFS(W$35:W$93, $G$35:$G$93, $G$97, $O$35:$O$93, "RRF")+SUMIFS(W$35:W$93, $G$35:$G$93, $G$97, $O$35:$O$93, "SF 14-20 (töös olev projekt)")</f>
        <v>535602.49000000011</v>
      </c>
      <c r="X112" s="246">
        <f t="shared" si="34"/>
        <v>680719.89</v>
      </c>
      <c r="Y112" s="522">
        <f t="shared" si="34"/>
        <v>7788.25</v>
      </c>
      <c r="Z112" s="245">
        <f t="shared" si="34"/>
        <v>3891610.0700000003</v>
      </c>
      <c r="AA112" s="246">
        <f t="shared" si="34"/>
        <v>1325893.44</v>
      </c>
      <c r="AB112" s="247">
        <f t="shared" si="34"/>
        <v>539824.08000000007</v>
      </c>
      <c r="AC112" s="524">
        <f t="shared" si="34"/>
        <v>2595504.08</v>
      </c>
      <c r="AD112" s="246">
        <f t="shared" si="34"/>
        <v>933935.20000000007</v>
      </c>
      <c r="AE112" s="247">
        <f t="shared" si="34"/>
        <v>21750</v>
      </c>
    </row>
    <row r="113" spans="6:31" ht="15.75" thickBot="1" x14ac:dyDescent="0.3">
      <c r="F113" s="233" t="s">
        <v>236</v>
      </c>
      <c r="J113" s="1"/>
      <c r="K113" s="252"/>
      <c r="T113" s="251" t="s">
        <v>220</v>
      </c>
      <c r="W113" s="243">
        <f>W112*1.2</f>
        <v>642722.98800000013</v>
      </c>
      <c r="X113" s="123">
        <f>X112</f>
        <v>680719.89</v>
      </c>
      <c r="Y113" s="523">
        <f>Y112*1.2</f>
        <v>9345.9</v>
      </c>
      <c r="Z113" s="243">
        <f>Z112*1.22</f>
        <v>4747764.2854000004</v>
      </c>
      <c r="AA113" s="123">
        <f t="shared" ref="AA113" si="35">AA112</f>
        <v>1325893.44</v>
      </c>
      <c r="AB113" s="124">
        <f t="shared" ref="AB113" si="36">AB112*1.22</f>
        <v>658585.37760000012</v>
      </c>
      <c r="AC113" s="525">
        <f>AC112*1.22</f>
        <v>3166514.9775999999</v>
      </c>
      <c r="AD113" s="123">
        <f t="shared" ref="AD113" si="37">AD112</f>
        <v>933935.20000000007</v>
      </c>
      <c r="AE113" s="124">
        <f t="shared" ref="AE113" si="38">AE112*1.22</f>
        <v>26535</v>
      </c>
    </row>
    <row r="114" spans="6:31" ht="15.75" thickBot="1" x14ac:dyDescent="0.3">
      <c r="F114" s="233" t="s">
        <v>237</v>
      </c>
      <c r="J114" s="1"/>
      <c r="K114" s="252"/>
      <c r="W114" s="252"/>
      <c r="X114" s="252"/>
      <c r="Y114" s="252"/>
      <c r="Z114" s="252"/>
      <c r="AA114" s="252"/>
      <c r="AB114" s="252"/>
      <c r="AC114" s="252"/>
      <c r="AD114" s="252"/>
      <c r="AE114" s="252"/>
    </row>
    <row r="115" spans="6:31" x14ac:dyDescent="0.25">
      <c r="F115" s="233" t="s">
        <v>160</v>
      </c>
      <c r="J115" s="1"/>
      <c r="T115" s="1" t="s">
        <v>8</v>
      </c>
      <c r="W115" s="245">
        <f t="shared" ref="W115:AE115" si="39">SUMIFS(W$35:W$93, $G$35:$G$93, $G$98, $O$35:$O$93, "Baaseelarve")+SUMIFS(W$35:W$93, $G$35:$G$93, $G$98, $O$35:$O$93, "Muu rahastus")+SUMIFS(W$35:W$93, $G$35:$G$93, $G$98, $O$35:$O$93, "Reserv (SR)")+SUMIFS(W$35:W$93, $G$35:$G$93, $G$98, $O$35:$O$93, "RRF")+SUMIFS(W$35:W$93, $G$35:$G$93, $G$98, $O$35:$O$93, "SF 14-20 (töös olev projekt)")</f>
        <v>0</v>
      </c>
      <c r="X115" s="246">
        <f t="shared" si="39"/>
        <v>0</v>
      </c>
      <c r="Y115" s="522">
        <f t="shared" si="39"/>
        <v>0</v>
      </c>
      <c r="Z115" s="245">
        <f t="shared" si="39"/>
        <v>0</v>
      </c>
      <c r="AA115" s="246">
        <f t="shared" si="39"/>
        <v>0</v>
      </c>
      <c r="AB115" s="247">
        <f t="shared" si="39"/>
        <v>0</v>
      </c>
      <c r="AC115" s="524">
        <f t="shared" si="39"/>
        <v>0</v>
      </c>
      <c r="AD115" s="246">
        <f t="shared" si="39"/>
        <v>0</v>
      </c>
      <c r="AE115" s="247">
        <f t="shared" si="39"/>
        <v>0</v>
      </c>
    </row>
    <row r="116" spans="6:31" ht="15.75" thickBot="1" x14ac:dyDescent="0.3">
      <c r="I116" s="3"/>
      <c r="J116" s="1"/>
      <c r="T116" s="251" t="s">
        <v>220</v>
      </c>
      <c r="W116" s="243">
        <f>W115*1.2</f>
        <v>0</v>
      </c>
      <c r="X116" s="123">
        <f>X115</f>
        <v>0</v>
      </c>
      <c r="Y116" s="523">
        <f>Y115*1.2</f>
        <v>0</v>
      </c>
      <c r="Z116" s="243">
        <f>Z115*1.22</f>
        <v>0</v>
      </c>
      <c r="AA116" s="123">
        <f t="shared" ref="AA116" si="40">AA115</f>
        <v>0</v>
      </c>
      <c r="AB116" s="124">
        <f t="shared" ref="AB116" si="41">AB115*1.22</f>
        <v>0</v>
      </c>
      <c r="AC116" s="525">
        <f>AC115*1.22</f>
        <v>0</v>
      </c>
      <c r="AD116" s="123">
        <f t="shared" ref="AD116" si="42">AD115</f>
        <v>0</v>
      </c>
      <c r="AE116" s="124">
        <f t="shared" ref="AE116" si="43">AE115*1.22</f>
        <v>0</v>
      </c>
    </row>
    <row r="117" spans="6:31" ht="15.75" thickBot="1" x14ac:dyDescent="0.3">
      <c r="H117" s="3"/>
      <c r="J117" s="1"/>
      <c r="W117" s="252"/>
      <c r="X117" s="252"/>
      <c r="Y117" s="252"/>
      <c r="Z117" s="252"/>
      <c r="AA117" s="252"/>
      <c r="AB117" s="252"/>
      <c r="AC117" s="252"/>
      <c r="AD117" s="252"/>
      <c r="AE117" s="252"/>
    </row>
    <row r="118" spans="6:31" x14ac:dyDescent="0.25">
      <c r="T118" s="1" t="s">
        <v>228</v>
      </c>
      <c r="W118" s="245">
        <f t="shared" ref="W118:AE118" si="44">SUMIFS(W$35:W$93, $G$35:$G$93, $G$99, $O$35:$O$93, "Baaseelarve")+SUMIFS(W$35:W$93, $G$35:$G$93, $G$99, $O$35:$O$93, "Muu rahastus")+SUMIFS(W$35:W$93, $G$35:$G$93, $G$99, $O$35:$O$93, "Reserv (SR)")+SUMIFS(W$35:W$93, $G$35:$G$93, $G$99, $O$35:$O$93, "RRF")+SUMIFS(W$35:W$93, $G$35:$G$93, $G$99, $O$35:$O$93, "SF 14-20 (töös olev projekt)")</f>
        <v>0</v>
      </c>
      <c r="X118" s="246">
        <f t="shared" si="44"/>
        <v>0</v>
      </c>
      <c r="Y118" s="522">
        <f t="shared" si="44"/>
        <v>0</v>
      </c>
      <c r="Z118" s="245">
        <f t="shared" si="44"/>
        <v>0</v>
      </c>
      <c r="AA118" s="246">
        <f t="shared" si="44"/>
        <v>0</v>
      </c>
      <c r="AB118" s="247">
        <f t="shared" si="44"/>
        <v>0</v>
      </c>
      <c r="AC118" s="524">
        <f t="shared" si="44"/>
        <v>0</v>
      </c>
      <c r="AD118" s="246">
        <f t="shared" si="44"/>
        <v>0</v>
      </c>
      <c r="AE118" s="247">
        <f t="shared" si="44"/>
        <v>0</v>
      </c>
    </row>
    <row r="119" spans="6:31" ht="15.75" thickBot="1" x14ac:dyDescent="0.3">
      <c r="T119" s="251" t="s">
        <v>220</v>
      </c>
      <c r="W119" s="243">
        <f>W118*1.2</f>
        <v>0</v>
      </c>
      <c r="X119" s="123">
        <f>X118</f>
        <v>0</v>
      </c>
      <c r="Y119" s="523">
        <f>Y118*1.2</f>
        <v>0</v>
      </c>
      <c r="Z119" s="243">
        <f>Z118*1.22</f>
        <v>0</v>
      </c>
      <c r="AA119" s="123">
        <f t="shared" ref="AA119" si="45">AA118</f>
        <v>0</v>
      </c>
      <c r="AB119" s="124">
        <f t="shared" ref="AB119" si="46">AB118*1.22</f>
        <v>0</v>
      </c>
      <c r="AC119" s="525">
        <f>AC118*1.22</f>
        <v>0</v>
      </c>
      <c r="AD119" s="123">
        <f t="shared" ref="AD119" si="47">AD118</f>
        <v>0</v>
      </c>
      <c r="AE119" s="124">
        <f t="shared" ref="AE119" si="48">AE118*1.22</f>
        <v>0</v>
      </c>
    </row>
    <row r="120" spans="6:31" ht="15.75" thickBot="1" x14ac:dyDescent="0.3">
      <c r="W120" s="252"/>
      <c r="X120" s="252"/>
      <c r="Y120" s="252"/>
      <c r="Z120" s="252"/>
      <c r="AA120" s="252"/>
      <c r="AB120" s="252"/>
      <c r="AC120" s="252"/>
      <c r="AD120" s="252"/>
      <c r="AE120" s="252"/>
    </row>
    <row r="121" spans="6:31" x14ac:dyDescent="0.25">
      <c r="T121" s="1" t="s">
        <v>10</v>
      </c>
      <c r="W121" s="245">
        <f t="shared" ref="W121:AE121" si="49">SUMIFS(W$35:W$93, $G$35:$G$93, $G$100, $O$35:$O$93, "Baaseelarve")+SUMIFS(W$35:W$93, $G$35:$G$93, $G$100, $O$35:$O$93, "Muu rahastus")+SUMIFS(W$35:W$93, $G$35:$G$93, $G$100, $O$35:$O$93, "Reserv (SR)")+SUMIFS(W$35:W$93, $G$35:$G$93, $G$100, $O$35:$O$93, "RRF")+SUMIFS(W$35:W$93, $G$35:$G$93, $G$100, $O$35:$O$93, "SF 14-20 (töös olev projekt)")</f>
        <v>0</v>
      </c>
      <c r="X121" s="246">
        <f t="shared" si="49"/>
        <v>0</v>
      </c>
      <c r="Y121" s="522">
        <f t="shared" si="49"/>
        <v>0</v>
      </c>
      <c r="Z121" s="245">
        <f t="shared" si="49"/>
        <v>0</v>
      </c>
      <c r="AA121" s="246">
        <f t="shared" si="49"/>
        <v>0</v>
      </c>
      <c r="AB121" s="247">
        <f t="shared" si="49"/>
        <v>0</v>
      </c>
      <c r="AC121" s="524">
        <f t="shared" si="49"/>
        <v>0</v>
      </c>
      <c r="AD121" s="246">
        <f t="shared" si="49"/>
        <v>0</v>
      </c>
      <c r="AE121" s="247">
        <f t="shared" si="49"/>
        <v>0</v>
      </c>
    </row>
    <row r="122" spans="6:31" ht="15.75" thickBot="1" x14ac:dyDescent="0.3">
      <c r="T122" s="251" t="s">
        <v>220</v>
      </c>
      <c r="W122" s="243">
        <f>W121*1.2</f>
        <v>0</v>
      </c>
      <c r="X122" s="123">
        <f>X121</f>
        <v>0</v>
      </c>
      <c r="Y122" s="523">
        <f>Y121*1.2</f>
        <v>0</v>
      </c>
      <c r="Z122" s="243">
        <f>Z121*1.22</f>
        <v>0</v>
      </c>
      <c r="AA122" s="123">
        <f t="shared" ref="AA122" si="50">AA121</f>
        <v>0</v>
      </c>
      <c r="AB122" s="124">
        <f t="shared" ref="AB122" si="51">AB121*1.22</f>
        <v>0</v>
      </c>
      <c r="AC122" s="525">
        <f>AC121*1.22</f>
        <v>0</v>
      </c>
      <c r="AD122" s="123">
        <f t="shared" ref="AD122" si="52">AD121</f>
        <v>0</v>
      </c>
      <c r="AE122" s="124">
        <f t="shared" ref="AE122" si="53">AE121*1.22</f>
        <v>0</v>
      </c>
    </row>
    <row r="123" spans="6:31" x14ac:dyDescent="0.25">
      <c r="W123" s="252"/>
      <c r="X123" s="252"/>
      <c r="Y123" s="252"/>
      <c r="Z123" s="252"/>
      <c r="AA123" s="252"/>
      <c r="AB123" s="252"/>
      <c r="AC123" s="252"/>
      <c r="AD123" s="252"/>
      <c r="AE123" s="252"/>
    </row>
    <row r="124" spans="6:31" x14ac:dyDescent="0.25">
      <c r="W124" s="252"/>
      <c r="X124" s="252"/>
      <c r="Y124" s="252"/>
      <c r="Z124" s="252"/>
      <c r="AA124" s="252"/>
      <c r="AB124" s="252"/>
      <c r="AC124" s="252"/>
      <c r="AD124" s="252"/>
      <c r="AE124" s="252"/>
    </row>
    <row r="125" spans="6:31" x14ac:dyDescent="0.25">
      <c r="W125" s="252"/>
      <c r="X125" s="252"/>
      <c r="Y125" s="252"/>
      <c r="Z125" s="252"/>
      <c r="AA125" s="252"/>
      <c r="AB125" s="252"/>
      <c r="AC125" s="252"/>
      <c r="AD125" s="252"/>
      <c r="AE125" s="252"/>
    </row>
    <row r="126" spans="6:31" ht="15.75" thickBot="1" x14ac:dyDescent="0.3">
      <c r="T126" s="244" t="s">
        <v>101</v>
      </c>
    </row>
    <row r="127" spans="6:31" x14ac:dyDescent="0.25">
      <c r="T127" s="1" t="s">
        <v>7</v>
      </c>
      <c r="W127" s="245">
        <f t="shared" ref="W127:AE127" si="54">SUMIFS(W$35:W$93,$G$35:$G$93,$G$97,$O$35:$O$93,$O$99)</f>
        <v>0</v>
      </c>
      <c r="X127" s="246">
        <f t="shared" si="54"/>
        <v>0</v>
      </c>
      <c r="Y127" s="522">
        <f t="shared" si="54"/>
        <v>0</v>
      </c>
      <c r="Z127" s="245">
        <f t="shared" si="54"/>
        <v>0</v>
      </c>
      <c r="AA127" s="246">
        <f t="shared" si="54"/>
        <v>0</v>
      </c>
      <c r="AB127" s="247">
        <f t="shared" si="54"/>
        <v>3389.9999999999995</v>
      </c>
      <c r="AC127" s="524">
        <f t="shared" si="54"/>
        <v>960000</v>
      </c>
      <c r="AD127" s="246">
        <f t="shared" si="54"/>
        <v>701977.2</v>
      </c>
      <c r="AE127" s="247">
        <f t="shared" si="54"/>
        <v>761500</v>
      </c>
    </row>
    <row r="128" spans="6:31" ht="15.75" thickBot="1" x14ac:dyDescent="0.3">
      <c r="T128" s="251" t="s">
        <v>220</v>
      </c>
      <c r="W128" s="243">
        <f>W127*1.2</f>
        <v>0</v>
      </c>
      <c r="X128" s="123">
        <f>X127</f>
        <v>0</v>
      </c>
      <c r="Y128" s="523">
        <f>Y127*1.2</f>
        <v>0</v>
      </c>
      <c r="Z128" s="243">
        <f>Z127*1.22</f>
        <v>0</v>
      </c>
      <c r="AA128" s="123">
        <f t="shared" ref="AA128" si="55">AA127</f>
        <v>0</v>
      </c>
      <c r="AB128" s="124">
        <f t="shared" ref="AB128" si="56">AB127*1.22</f>
        <v>4135.7999999999993</v>
      </c>
      <c r="AC128" s="525">
        <f>AC127*1.22</f>
        <v>1171200</v>
      </c>
      <c r="AD128" s="123">
        <f t="shared" ref="AD128" si="57">AD127</f>
        <v>701977.2</v>
      </c>
      <c r="AE128" s="124">
        <f t="shared" ref="AE128" si="58">AE127*1.22</f>
        <v>929030</v>
      </c>
    </row>
    <row r="129" spans="20:31" ht="15.75" thickBot="1" x14ac:dyDescent="0.3">
      <c r="W129" s="252"/>
      <c r="X129" s="252"/>
      <c r="Y129" s="252"/>
      <c r="Z129" s="252"/>
      <c r="AA129" s="252"/>
      <c r="AB129" s="252"/>
      <c r="AC129" s="252"/>
      <c r="AD129" s="252"/>
      <c r="AE129" s="252"/>
    </row>
    <row r="130" spans="20:31" x14ac:dyDescent="0.25">
      <c r="T130" s="1" t="s">
        <v>8</v>
      </c>
      <c r="W130" s="245">
        <f t="shared" ref="W130:AE130" si="59">SUMIFS(W$35:W$93,$G$35:$G$93,$G$98,$O$35:$O$93,$O$99)</f>
        <v>235000</v>
      </c>
      <c r="X130" s="246">
        <f t="shared" si="59"/>
        <v>68750</v>
      </c>
      <c r="Y130" s="522">
        <f t="shared" si="59"/>
        <v>357000</v>
      </c>
      <c r="Z130" s="245">
        <f t="shared" si="59"/>
        <v>200000</v>
      </c>
      <c r="AA130" s="246">
        <f t="shared" si="59"/>
        <v>124946</v>
      </c>
      <c r="AB130" s="247">
        <f t="shared" si="59"/>
        <v>482000</v>
      </c>
      <c r="AC130" s="524">
        <f t="shared" si="59"/>
        <v>250000</v>
      </c>
      <c r="AD130" s="246">
        <f t="shared" si="59"/>
        <v>132251.47999999998</v>
      </c>
      <c r="AE130" s="247">
        <f t="shared" si="59"/>
        <v>592000</v>
      </c>
    </row>
    <row r="131" spans="20:31" ht="15.75" thickBot="1" x14ac:dyDescent="0.3">
      <c r="T131" s="251" t="s">
        <v>220</v>
      </c>
      <c r="W131" s="243">
        <f>W130*1.2</f>
        <v>282000</v>
      </c>
      <c r="X131" s="123">
        <f>X130</f>
        <v>68750</v>
      </c>
      <c r="Y131" s="523">
        <f>Y130*1.2</f>
        <v>428400</v>
      </c>
      <c r="Z131" s="243">
        <f>Z130*1.22</f>
        <v>244000</v>
      </c>
      <c r="AA131" s="123">
        <f t="shared" ref="AA131" si="60">AA130</f>
        <v>124946</v>
      </c>
      <c r="AB131" s="124">
        <f t="shared" ref="AB131" si="61">AB130*1.22</f>
        <v>588040</v>
      </c>
      <c r="AC131" s="525">
        <f>AC130*1.22</f>
        <v>305000</v>
      </c>
      <c r="AD131" s="123">
        <f t="shared" ref="AD131" si="62">AD130</f>
        <v>132251.47999999998</v>
      </c>
      <c r="AE131" s="124">
        <f t="shared" ref="AE131" si="63">AE130*1.22</f>
        <v>722240</v>
      </c>
    </row>
    <row r="132" spans="20:31" ht="15.75" thickBot="1" x14ac:dyDescent="0.3">
      <c r="W132" s="252"/>
      <c r="X132" s="252"/>
      <c r="Y132" s="252"/>
      <c r="Z132" s="252"/>
      <c r="AA132" s="252"/>
      <c r="AB132" s="252"/>
      <c r="AC132" s="252"/>
      <c r="AD132" s="252"/>
      <c r="AE132" s="252"/>
    </row>
    <row r="133" spans="20:31" x14ac:dyDescent="0.25">
      <c r="T133" s="1" t="s">
        <v>228</v>
      </c>
      <c r="W133" s="245">
        <f t="shared" ref="W133:AE133" si="64">SUMIFS(W$35:W$93,$G$35:$G$93,$G$99,$O$35:$O$93,$O$99)</f>
        <v>0</v>
      </c>
      <c r="X133" s="246">
        <f t="shared" si="64"/>
        <v>0</v>
      </c>
      <c r="Y133" s="522">
        <f t="shared" si="64"/>
        <v>0</v>
      </c>
      <c r="Z133" s="245">
        <f t="shared" si="64"/>
        <v>0</v>
      </c>
      <c r="AA133" s="246">
        <f t="shared" si="64"/>
        <v>0</v>
      </c>
      <c r="AB133" s="247">
        <f t="shared" si="64"/>
        <v>0</v>
      </c>
      <c r="AC133" s="524">
        <f t="shared" si="64"/>
        <v>0</v>
      </c>
      <c r="AD133" s="246">
        <f t="shared" si="64"/>
        <v>0</v>
      </c>
      <c r="AE133" s="247">
        <f t="shared" si="64"/>
        <v>0</v>
      </c>
    </row>
    <row r="134" spans="20:31" ht="15.75" thickBot="1" x14ac:dyDescent="0.3">
      <c r="T134" s="251" t="s">
        <v>220</v>
      </c>
      <c r="W134" s="243">
        <f>W133*1.2</f>
        <v>0</v>
      </c>
      <c r="X134" s="123">
        <f>X133</f>
        <v>0</v>
      </c>
      <c r="Y134" s="523">
        <f>Y133*1.2</f>
        <v>0</v>
      </c>
      <c r="Z134" s="243">
        <f>Z133*1.22</f>
        <v>0</v>
      </c>
      <c r="AA134" s="123">
        <f t="shared" ref="AA134" si="65">AA133</f>
        <v>0</v>
      </c>
      <c r="AB134" s="124">
        <f t="shared" ref="AB134" si="66">AB133*1.22</f>
        <v>0</v>
      </c>
      <c r="AC134" s="525">
        <f>AC133*1.22</f>
        <v>0</v>
      </c>
      <c r="AD134" s="123">
        <f t="shared" ref="AD134" si="67">AD133</f>
        <v>0</v>
      </c>
      <c r="AE134" s="124">
        <f t="shared" ref="AE134" si="68">AE133*1.22</f>
        <v>0</v>
      </c>
    </row>
    <row r="135" spans="20:31" ht="15.75" thickBot="1" x14ac:dyDescent="0.3">
      <c r="W135" s="252"/>
      <c r="X135" s="252"/>
      <c r="Y135" s="252"/>
      <c r="Z135" s="252"/>
      <c r="AA135" s="252"/>
      <c r="AB135" s="252"/>
      <c r="AC135" s="252"/>
      <c r="AD135" s="252"/>
      <c r="AE135" s="252"/>
    </row>
    <row r="136" spans="20:31" x14ac:dyDescent="0.25">
      <c r="T136" s="1" t="s">
        <v>10</v>
      </c>
      <c r="W136" s="245">
        <f t="shared" ref="W136:AE136" si="69">SUMIFS(W$35:W$93,$G$35:$G$93,$G$100,$O$35:$O$93,$O$99)</f>
        <v>0</v>
      </c>
      <c r="X136" s="246">
        <f t="shared" si="69"/>
        <v>0</v>
      </c>
      <c r="Y136" s="522">
        <f t="shared" si="69"/>
        <v>0</v>
      </c>
      <c r="Z136" s="245">
        <f t="shared" si="69"/>
        <v>2487301</v>
      </c>
      <c r="AA136" s="246">
        <f t="shared" si="69"/>
        <v>0</v>
      </c>
      <c r="AB136" s="247">
        <f t="shared" si="69"/>
        <v>0</v>
      </c>
      <c r="AC136" s="524">
        <f t="shared" si="69"/>
        <v>3398301</v>
      </c>
      <c r="AD136" s="246">
        <f t="shared" si="69"/>
        <v>0</v>
      </c>
      <c r="AE136" s="247">
        <f t="shared" si="69"/>
        <v>0</v>
      </c>
    </row>
    <row r="137" spans="20:31" ht="15.75" thickBot="1" x14ac:dyDescent="0.3">
      <c r="T137" s="251" t="s">
        <v>220</v>
      </c>
      <c r="W137" s="243">
        <f>W136*1.2</f>
        <v>0</v>
      </c>
      <c r="X137" s="123">
        <f>X136</f>
        <v>0</v>
      </c>
      <c r="Y137" s="523">
        <f>Y136*1.2</f>
        <v>0</v>
      </c>
      <c r="Z137" s="243">
        <f>Z136*1.22</f>
        <v>3034507.2199999997</v>
      </c>
      <c r="AA137" s="123">
        <f t="shared" ref="AA137" si="70">AA136</f>
        <v>0</v>
      </c>
      <c r="AB137" s="124">
        <f t="shared" ref="AB137" si="71">AB136*1.22</f>
        <v>0</v>
      </c>
      <c r="AC137" s="525">
        <f>AC136*1.22</f>
        <v>4145927.2199999997</v>
      </c>
      <c r="AD137" s="123">
        <f t="shared" ref="AD137" si="72">AD136</f>
        <v>0</v>
      </c>
      <c r="AE137" s="124">
        <f t="shared" ref="AE137" si="73">AE136*1.22</f>
        <v>0</v>
      </c>
    </row>
  </sheetData>
  <sheetProtection algorithmName="SHA-512" hashValue="erV7CbcFjSWBG8xvdoHisGDCL0gk9ysLPyn4JU08JouRpkAWV9YkalzSvckG52/0Oz6sMtErUvi35yM6EIbRag==" saltValue="KoP7lSKcXg8uzJkUtuY8Tw==" spinCount="100000" sheet="1" sort="0" autoFilter="0"/>
  <autoFilter ref="A33:AQ95" xr:uid="{26F4B7B0-4764-496D-9313-E7C884B0D6FB}">
    <filterColumn colId="14">
      <filters>
        <filter val="SF 21-27 (taotletav raha)"/>
      </filters>
    </filterColumn>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autoFilter>
  <mergeCells count="22">
    <mergeCell ref="W32:AN32"/>
    <mergeCell ref="B17:I17"/>
    <mergeCell ref="B20:I20"/>
    <mergeCell ref="B26:I26"/>
    <mergeCell ref="B23:I23"/>
    <mergeCell ref="K20:Q20"/>
    <mergeCell ref="K23:Q23"/>
    <mergeCell ref="K17:Q17"/>
    <mergeCell ref="AL33:AN33"/>
    <mergeCell ref="W33:Y33"/>
    <mergeCell ref="Z33:AB33"/>
    <mergeCell ref="AC33:AE33"/>
    <mergeCell ref="AF33:AH33"/>
    <mergeCell ref="AI33:AK33"/>
    <mergeCell ref="B2:E2"/>
    <mergeCell ref="G2:K2"/>
    <mergeCell ref="Q34:V34"/>
    <mergeCell ref="K26:Q26"/>
    <mergeCell ref="K19:Q19"/>
    <mergeCell ref="K22:Q22"/>
    <mergeCell ref="K25:Q25"/>
    <mergeCell ref="K28:Q28"/>
  </mergeCells>
  <phoneticPr fontId="7" type="noConversion"/>
  <dataValidations disablePrompts="1" count="9">
    <dataValidation type="list" allowBlank="1" showInputMessage="1" showErrorMessage="1" sqref="O118:O150 O31:O32 N116 M117" xr:uid="{258C40CF-7ED3-46AD-9DBE-9E35B6A83AF2}">
      <formula1>$Q$19:$Q$22</formula1>
    </dataValidation>
    <dataValidation type="list" allowBlank="1" showInputMessage="1" showErrorMessage="1" sqref="F117:F151 F31:F32" xr:uid="{6788E54C-2BD5-4096-85C2-888BADA7E1F2}">
      <formula1>$H$3:$K$3</formula1>
    </dataValidation>
    <dataValidation type="list" allowBlank="1" showInputMessage="1" showErrorMessage="1" sqref="O35:O94" xr:uid="{D3E718C6-7AB1-4871-9C15-0A5014791696}">
      <formula1>$O$97:$O$103</formula1>
    </dataValidation>
    <dataValidation type="list" allowBlank="1" showInputMessage="1" showErrorMessage="1" sqref="E35:E94" xr:uid="{4537B685-D58B-48A6-A09A-6E7B0652C7B9}">
      <formula1>$E$97:$E$99</formula1>
    </dataValidation>
    <dataValidation type="list" allowBlank="1" showInputMessage="1" showErrorMessage="1" sqref="F35:F94" xr:uid="{EA197172-5E41-4726-AB9F-2F1BADFCFFAC}">
      <formula1>$F$97:$F$115</formula1>
    </dataValidation>
    <dataValidation type="list" allowBlank="1" showInputMessage="1" showErrorMessage="1" sqref="G35:G94" xr:uid="{58A20634-86BF-47AA-9970-DA930862660F}">
      <formula1>$G$97:$G$100</formula1>
    </dataValidation>
    <dataValidation type="list" allowBlank="1" showInputMessage="1" showErrorMessage="1" sqref="AP35:AP94" xr:uid="{63C0EE7F-3A35-4E09-8468-E4CA0CE5603D}">
      <formula1>$AP$97:$AP$101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K35" zoomScale="70" zoomScaleNormal="70" workbookViewId="0">
      <selection activeCell="N35" sqref="N35"/>
    </sheetView>
  </sheetViews>
  <sheetFormatPr defaultRowHeight="15" customHeight="1" x14ac:dyDescent="0.25"/>
  <cols>
    <col min="1" max="1" width="21.28515625" customWidth="1"/>
    <col min="2" max="2" width="15" customWidth="1"/>
    <col min="3" max="3" width="13.7109375" customWidth="1"/>
    <col min="4" max="4" width="14.140625" customWidth="1"/>
    <col min="5" max="5" width="16.7109375" customWidth="1"/>
    <col min="6" max="6" width="18.5703125" customWidth="1"/>
    <col min="7" max="7" width="14.140625" customWidth="1"/>
    <col min="8" max="8" width="11.7109375" customWidth="1"/>
    <col min="9" max="9" width="20.28515625" customWidth="1"/>
    <col min="10" max="10" width="25.28515625" style="3" customWidth="1"/>
    <col min="11" max="11" width="42" customWidth="1"/>
    <col min="12" max="12" width="12" hidden="1" customWidth="1"/>
    <col min="13" max="13" width="14.28515625" hidden="1" customWidth="1"/>
    <col min="14" max="14" width="12.28515625" customWidth="1"/>
    <col min="16" max="16" width="14.85546875" bestFit="1" customWidth="1"/>
    <col min="17" max="17" width="9.140625" customWidth="1"/>
    <col min="18" max="21" width="13.140625" customWidth="1"/>
    <col min="22" max="24" width="9.140625" customWidth="1"/>
    <col min="25" max="25" width="11" bestFit="1" customWidth="1"/>
    <col min="26" max="27" width="10.140625" customWidth="1"/>
    <col min="28" max="28" width="11" bestFit="1" customWidth="1"/>
    <col min="29" max="30" width="10.140625" customWidth="1"/>
    <col min="31" max="31" width="11" bestFit="1" customWidth="1"/>
    <col min="32" max="33" width="10.140625" customWidth="1"/>
    <col min="34" max="34" width="11" bestFit="1" customWidth="1"/>
    <col min="35" max="36" width="10.140625" customWidth="1"/>
    <col min="37" max="37" width="40.28515625" customWidth="1"/>
    <col min="38" max="38" width="37" customWidth="1"/>
    <col min="39" max="39" width="60.7109375" customWidth="1"/>
    <col min="40" max="40" width="9.140625" customWidth="1"/>
    <col min="41" max="42" width="10.140625" bestFit="1" customWidth="1"/>
    <col min="43" max="43" width="10.7109375" customWidth="1"/>
    <col min="44" max="44" width="73.5703125" customWidth="1"/>
  </cols>
  <sheetData>
    <row r="1" spans="1:11" x14ac:dyDescent="0.25">
      <c r="A1" s="5" t="s">
        <v>238</v>
      </c>
      <c r="B1" s="197"/>
      <c r="C1" s="198"/>
      <c r="D1" s="198"/>
      <c r="E1" s="8"/>
      <c r="F1" s="393"/>
      <c r="G1" s="393"/>
      <c r="H1" s="393"/>
      <c r="I1" s="8"/>
    </row>
    <row r="2" spans="1:11" ht="30.75" customHeight="1" x14ac:dyDescent="0.25">
      <c r="A2" s="7" t="s">
        <v>1</v>
      </c>
      <c r="B2" s="590" t="s">
        <v>2</v>
      </c>
      <c r="C2" s="590"/>
      <c r="D2" s="590"/>
      <c r="E2" s="8"/>
      <c r="F2" s="8"/>
      <c r="G2" s="8"/>
      <c r="H2" s="8"/>
      <c r="I2" s="8"/>
      <c r="J2" s="4"/>
    </row>
    <row r="3" spans="1:11" x14ac:dyDescent="0.25">
      <c r="A3" s="11" t="s">
        <v>4</v>
      </c>
      <c r="B3" s="12" t="s">
        <v>239</v>
      </c>
      <c r="C3" s="13">
        <v>2023</v>
      </c>
      <c r="D3" s="13">
        <v>2024</v>
      </c>
      <c r="E3" s="8"/>
      <c r="F3" s="8"/>
      <c r="G3" s="8"/>
      <c r="H3" s="8"/>
      <c r="I3" s="8"/>
      <c r="J3" s="4"/>
      <c r="K3" s="3"/>
    </row>
    <row r="4" spans="1:11" x14ac:dyDescent="0.25">
      <c r="A4" s="5" t="s">
        <v>11</v>
      </c>
      <c r="B4" s="9">
        <f>SUM(C4:D4)</f>
        <v>8636053</v>
      </c>
      <c r="C4" s="9">
        <f>SUM(C5+C12)</f>
        <v>1246690</v>
      </c>
      <c r="D4" s="9">
        <f>SUM(D5+D12)</f>
        <v>7389363</v>
      </c>
      <c r="E4" s="8"/>
      <c r="F4" s="8"/>
      <c r="G4" s="8"/>
      <c r="H4" s="8"/>
      <c r="I4" s="8"/>
      <c r="J4" s="4"/>
      <c r="K4" s="4"/>
    </row>
    <row r="5" spans="1:11" ht="15.75" x14ac:dyDescent="0.25">
      <c r="A5" s="5" t="s">
        <v>12</v>
      </c>
      <c r="B5" s="9">
        <f>SUM(C5:D5)</f>
        <v>1049380</v>
      </c>
      <c r="C5" s="9">
        <f>SUM(C6:C11)</f>
        <v>589690</v>
      </c>
      <c r="D5" s="9">
        <f>SUM(D6:D11)</f>
        <v>459690</v>
      </c>
      <c r="E5" s="16"/>
      <c r="F5" s="8"/>
      <c r="G5" s="8"/>
      <c r="H5" s="8"/>
      <c r="I5" s="8"/>
      <c r="J5" s="4"/>
    </row>
    <row r="6" spans="1:11" x14ac:dyDescent="0.25">
      <c r="A6" s="30" t="s">
        <v>13</v>
      </c>
      <c r="B6" s="17">
        <f t="shared" ref="B6:B14" si="0">SUM(C6:D6)</f>
        <v>45000</v>
      </c>
      <c r="C6" s="18">
        <f>SUMIFS(Q35:Q94,O35:O94,"Baaseelarve")</f>
        <v>45000</v>
      </c>
      <c r="D6" s="18">
        <f>SUMIFS(R35:R94,O35:O94,"Baaseelarve")</f>
        <v>0</v>
      </c>
      <c r="E6" s="10"/>
      <c r="F6" s="8"/>
      <c r="G6" s="8"/>
      <c r="H6" s="8"/>
      <c r="I6" s="8"/>
      <c r="J6" s="4"/>
    </row>
    <row r="7" spans="1:11" x14ac:dyDescent="0.25">
      <c r="A7" s="30" t="s">
        <v>14</v>
      </c>
      <c r="B7" s="17">
        <f t="shared" si="0"/>
        <v>1004380</v>
      </c>
      <c r="C7" s="18">
        <f>SUMIFS(Q35:Q94,O35:O94,"Muu rahastus")</f>
        <v>544690</v>
      </c>
      <c r="D7" s="18">
        <f>SUMIFS(R35:R94,O35:O94,"Muu rahastus")</f>
        <v>459690</v>
      </c>
      <c r="E7" s="10"/>
      <c r="F7" s="8"/>
      <c r="G7" s="8"/>
      <c r="H7" s="8"/>
      <c r="I7" s="8"/>
      <c r="J7" s="4"/>
    </row>
    <row r="8" spans="1:11" x14ac:dyDescent="0.25">
      <c r="A8" s="30" t="s">
        <v>15</v>
      </c>
      <c r="B8" s="17">
        <f t="shared" si="0"/>
        <v>0</v>
      </c>
      <c r="C8" s="18">
        <f>SUMIFS(Q35:Q94,O35:O94,"Reserv (SR)")</f>
        <v>0</v>
      </c>
      <c r="D8" s="18">
        <f>SUMIFS(R35:R94,O35:O94,"Reserv (SR)")</f>
        <v>0</v>
      </c>
      <c r="E8" s="10"/>
      <c r="F8" s="8"/>
      <c r="G8" s="8"/>
      <c r="H8" s="8"/>
      <c r="I8" s="8"/>
      <c r="J8" s="4"/>
    </row>
    <row r="9" spans="1:11" hidden="1" x14ac:dyDescent="0.25">
      <c r="A9" s="30" t="s">
        <v>16</v>
      </c>
      <c r="B9" s="17">
        <f t="shared" si="0"/>
        <v>0</v>
      </c>
      <c r="C9" s="18">
        <f>SUMIFS(Q35:Q94,O35:O94,"RRF")</f>
        <v>0</v>
      </c>
      <c r="D9" s="18">
        <f>SUMIFS(R35:R94,O35:O94,"RRF")</f>
        <v>0</v>
      </c>
      <c r="E9" s="10"/>
      <c r="F9" s="8"/>
      <c r="G9" s="8"/>
      <c r="H9" s="8"/>
      <c r="I9" s="8"/>
      <c r="J9" s="4"/>
    </row>
    <row r="10" spans="1:11" x14ac:dyDescent="0.25">
      <c r="A10" s="30" t="s">
        <v>17</v>
      </c>
      <c r="B10" s="17">
        <f t="shared" si="0"/>
        <v>0</v>
      </c>
      <c r="C10" s="18">
        <f>SUMIFS(Q35:Q94,O35:O94,"SF 14-20 (töös olev projekt)")</f>
        <v>0</v>
      </c>
      <c r="D10" s="18">
        <f>SUMIFS(R35:R94,O35:O94,"SF 14-20 (töös olev projekt)")</f>
        <v>0</v>
      </c>
      <c r="E10" s="10"/>
      <c r="F10" s="8"/>
      <c r="G10" s="8"/>
      <c r="H10" s="8"/>
      <c r="I10" s="8"/>
      <c r="J10" s="4"/>
    </row>
    <row r="11" spans="1:11" x14ac:dyDescent="0.25">
      <c r="A11" s="30" t="s">
        <v>18</v>
      </c>
      <c r="B11" s="17">
        <f>SUM(C11:D11)</f>
        <v>0</v>
      </c>
      <c r="C11" s="18"/>
      <c r="D11" s="18"/>
      <c r="E11" s="10"/>
      <c r="F11" s="8"/>
      <c r="G11" s="8"/>
      <c r="H11" s="8"/>
      <c r="I11" s="8"/>
      <c r="J11" s="4"/>
    </row>
    <row r="12" spans="1:11" x14ac:dyDescent="0.25">
      <c r="A12" s="5" t="s">
        <v>19</v>
      </c>
      <c r="B12" s="9">
        <f t="shared" si="0"/>
        <v>7586673</v>
      </c>
      <c r="C12" s="9">
        <f>SUM(C13:C14)</f>
        <v>657000</v>
      </c>
      <c r="D12" s="9">
        <f>SUM(D13:D14)</f>
        <v>6929673</v>
      </c>
      <c r="E12" s="10"/>
      <c r="F12" s="8"/>
      <c r="G12" s="8"/>
      <c r="H12" s="8"/>
      <c r="I12" s="8"/>
      <c r="J12" s="4"/>
    </row>
    <row r="13" spans="1:11" x14ac:dyDescent="0.25">
      <c r="A13" s="30" t="s">
        <v>20</v>
      </c>
      <c r="B13" s="17">
        <f t="shared" si="0"/>
        <v>5600901</v>
      </c>
      <c r="C13" s="18">
        <f>SUMIFS(Q35:Q95,O35:O95,"RES IKT (vaja juurde taotleda)")</f>
        <v>657000</v>
      </c>
      <c r="D13" s="18">
        <f>SUMIFS(R35:R95,O35:O95,"RES IKT (vaja juurde taotleda)")</f>
        <v>4943901</v>
      </c>
      <c r="E13" s="10" t="s">
        <v>240</v>
      </c>
      <c r="F13" s="8"/>
      <c r="G13" s="8"/>
      <c r="H13" s="8"/>
      <c r="I13" s="8"/>
      <c r="J13" s="4"/>
    </row>
    <row r="14" spans="1:11" x14ac:dyDescent="0.25">
      <c r="A14" s="30" t="s">
        <v>22</v>
      </c>
      <c r="B14" s="17">
        <f t="shared" si="0"/>
        <v>1985772</v>
      </c>
      <c r="C14" s="18">
        <f>SUMIFS(Q35:Q94,O35:O94,"SF 21-27 (taotletav raha)")</f>
        <v>0</v>
      </c>
      <c r="D14" s="18">
        <f>SUMIFS(R35:R94,O35:O94,"SF 21-27 (taotletav raha)")</f>
        <v>1985772</v>
      </c>
      <c r="E14" s="10"/>
      <c r="F14" s="8"/>
      <c r="G14" s="8"/>
      <c r="H14" s="8"/>
      <c r="I14" s="8"/>
      <c r="J14" s="4"/>
    </row>
    <row r="15" spans="1:11" x14ac:dyDescent="0.25">
      <c r="A15" s="6"/>
      <c r="B15" s="6"/>
      <c r="C15" s="6"/>
      <c r="D15" s="6"/>
      <c r="E15" s="6"/>
      <c r="F15" s="6"/>
      <c r="G15" s="6"/>
      <c r="H15" s="6"/>
      <c r="I15" s="6"/>
    </row>
    <row r="16" spans="1:11" x14ac:dyDescent="0.25">
      <c r="A16" s="10" t="s">
        <v>24</v>
      </c>
      <c r="B16" s="6"/>
      <c r="C16" s="6"/>
      <c r="D16" s="6"/>
      <c r="E16" s="6"/>
      <c r="F16" s="6"/>
      <c r="G16" s="6"/>
      <c r="H16" s="6"/>
      <c r="I16" s="6"/>
    </row>
    <row r="17" spans="1:44" ht="29.1" customHeight="1" x14ac:dyDescent="0.25">
      <c r="A17" s="52" t="s">
        <v>25</v>
      </c>
      <c r="B17" s="585" t="s">
        <v>26</v>
      </c>
      <c r="C17" s="585"/>
      <c r="D17" s="585"/>
      <c r="E17" s="585"/>
      <c r="F17" s="585"/>
      <c r="G17" s="585"/>
      <c r="H17" s="585"/>
      <c r="I17" s="585"/>
      <c r="J17" s="394" t="s">
        <v>27</v>
      </c>
      <c r="K17" s="601" t="s">
        <v>28</v>
      </c>
      <c r="L17" s="570"/>
      <c r="M17" s="570"/>
      <c r="N17" s="570"/>
      <c r="O17" s="570"/>
      <c r="P17" s="570"/>
      <c r="Q17" s="602"/>
    </row>
    <row r="18" spans="1:44" ht="30" x14ac:dyDescent="0.25">
      <c r="A18" s="53" t="s">
        <v>241</v>
      </c>
      <c r="B18" s="115" t="s">
        <v>30</v>
      </c>
      <c r="C18" s="116" t="s">
        <v>31</v>
      </c>
      <c r="D18" s="116" t="s">
        <v>32</v>
      </c>
      <c r="E18" s="116" t="s">
        <v>33</v>
      </c>
      <c r="F18" s="116" t="s">
        <v>34</v>
      </c>
      <c r="G18" s="116" t="s">
        <v>35</v>
      </c>
      <c r="H18" s="116" t="s">
        <v>36</v>
      </c>
      <c r="I18" s="231" t="s">
        <v>37</v>
      </c>
      <c r="J18" s="395"/>
      <c r="K18" s="398"/>
      <c r="Q18" s="74"/>
    </row>
    <row r="19" spans="1:44" x14ac:dyDescent="0.25">
      <c r="A19" s="54" t="s">
        <v>242</v>
      </c>
      <c r="B19" s="319">
        <v>0</v>
      </c>
      <c r="C19" s="490"/>
      <c r="D19" s="490"/>
      <c r="E19" s="490"/>
      <c r="F19" s="490"/>
      <c r="G19" s="490"/>
      <c r="H19" s="490"/>
      <c r="I19" s="491">
        <v>700000</v>
      </c>
      <c r="J19" s="396"/>
      <c r="K19" s="597" t="s">
        <v>39</v>
      </c>
      <c r="L19" s="573"/>
      <c r="M19" s="573"/>
      <c r="N19" s="573"/>
      <c r="O19" s="573"/>
      <c r="P19" s="573"/>
      <c r="Q19" s="598"/>
    </row>
    <row r="20" spans="1:44" ht="29.1" customHeight="1" x14ac:dyDescent="0.25">
      <c r="A20" s="504" t="s">
        <v>40</v>
      </c>
      <c r="B20" s="599" t="s">
        <v>41</v>
      </c>
      <c r="C20" s="599"/>
      <c r="D20" s="599"/>
      <c r="E20" s="599"/>
      <c r="F20" s="599"/>
      <c r="G20" s="599"/>
      <c r="H20" s="599"/>
      <c r="I20" s="600"/>
      <c r="J20" s="397"/>
      <c r="K20" s="601" t="s">
        <v>42</v>
      </c>
      <c r="L20" s="570"/>
      <c r="M20" s="570"/>
      <c r="N20" s="570"/>
      <c r="O20" s="570"/>
      <c r="P20" s="570"/>
      <c r="Q20" s="602"/>
    </row>
    <row r="21" spans="1:44" ht="30" x14ac:dyDescent="0.25">
      <c r="A21" s="505" t="s">
        <v>241</v>
      </c>
      <c r="B21" s="115" t="s">
        <v>30</v>
      </c>
      <c r="C21" s="116" t="s">
        <v>31</v>
      </c>
      <c r="D21" s="116" t="s">
        <v>32</v>
      </c>
      <c r="E21" s="116" t="s">
        <v>33</v>
      </c>
      <c r="F21" s="116" t="s">
        <v>34</v>
      </c>
      <c r="G21" s="116" t="s">
        <v>35</v>
      </c>
      <c r="H21" s="116" t="s">
        <v>36</v>
      </c>
      <c r="I21" s="231" t="s">
        <v>37</v>
      </c>
      <c r="J21" s="395"/>
      <c r="K21" s="398"/>
      <c r="Q21" s="74"/>
    </row>
    <row r="22" spans="1:44" ht="15.75" thickBot="1" x14ac:dyDescent="0.3">
      <c r="A22" s="517" t="s">
        <v>242</v>
      </c>
      <c r="B22" s="518">
        <v>0</v>
      </c>
      <c r="C22" s="519"/>
      <c r="D22" s="519"/>
      <c r="E22" s="519"/>
      <c r="F22" s="519"/>
      <c r="G22" s="519"/>
      <c r="H22" s="519"/>
      <c r="I22" s="520">
        <v>10</v>
      </c>
      <c r="J22" s="396"/>
      <c r="K22" s="597" t="s">
        <v>43</v>
      </c>
      <c r="L22" s="573"/>
      <c r="M22" s="573"/>
      <c r="N22" s="573"/>
      <c r="O22" s="573"/>
      <c r="P22" s="573"/>
      <c r="Q22" s="598"/>
    </row>
    <row r="23" spans="1:44" ht="29.1" customHeight="1" x14ac:dyDescent="0.25">
      <c r="A23" s="504" t="s">
        <v>40</v>
      </c>
      <c r="B23" s="599" t="s">
        <v>44</v>
      </c>
      <c r="C23" s="599"/>
      <c r="D23" s="599"/>
      <c r="E23" s="599"/>
      <c r="F23" s="599"/>
      <c r="G23" s="599"/>
      <c r="H23" s="599"/>
      <c r="I23" s="600"/>
      <c r="J23" s="514"/>
      <c r="K23" s="601" t="s">
        <v>45</v>
      </c>
      <c r="L23" s="570"/>
      <c r="M23" s="570"/>
      <c r="N23" s="570"/>
      <c r="O23" s="570"/>
      <c r="P23" s="570"/>
      <c r="Q23" s="602"/>
    </row>
    <row r="24" spans="1:44" ht="30" x14ac:dyDescent="0.25">
      <c r="A24" s="505" t="s">
        <v>241</v>
      </c>
      <c r="B24" s="115" t="s">
        <v>30</v>
      </c>
      <c r="C24" s="116" t="s">
        <v>31</v>
      </c>
      <c r="D24" s="116" t="s">
        <v>32</v>
      </c>
      <c r="E24" s="116" t="s">
        <v>33</v>
      </c>
      <c r="F24" s="116" t="s">
        <v>34</v>
      </c>
      <c r="G24" s="116" t="s">
        <v>35</v>
      </c>
      <c r="H24" s="116" t="s">
        <v>36</v>
      </c>
      <c r="I24" s="231" t="s">
        <v>37</v>
      </c>
      <c r="J24" s="515"/>
      <c r="K24" s="398"/>
      <c r="Q24" s="74"/>
    </row>
    <row r="25" spans="1:44" ht="15.75" thickBot="1" x14ac:dyDescent="0.3">
      <c r="A25" s="507" t="s">
        <v>242</v>
      </c>
      <c r="B25" s="511">
        <v>0</v>
      </c>
      <c r="C25" s="512"/>
      <c r="D25" s="512"/>
      <c r="E25" s="512"/>
      <c r="F25" s="512"/>
      <c r="G25" s="512"/>
      <c r="H25" s="512"/>
      <c r="I25" s="513">
        <v>7</v>
      </c>
      <c r="J25" s="516"/>
      <c r="K25" s="597" t="s">
        <v>46</v>
      </c>
      <c r="L25" s="573"/>
      <c r="M25" s="573"/>
      <c r="N25" s="573"/>
      <c r="O25" s="573"/>
      <c r="P25" s="573"/>
      <c r="Q25" s="598"/>
    </row>
    <row r="26" spans="1:44" ht="75" x14ac:dyDescent="0.25">
      <c r="A26" s="521" t="s">
        <v>47</v>
      </c>
      <c r="B26" s="608" t="s">
        <v>48</v>
      </c>
      <c r="C26" s="608"/>
      <c r="D26" s="608"/>
      <c r="E26" s="608"/>
      <c r="F26" s="608"/>
      <c r="G26" s="608"/>
      <c r="H26" s="608"/>
      <c r="I26" s="608"/>
      <c r="J26" s="397"/>
      <c r="K26" s="601" t="s">
        <v>49</v>
      </c>
      <c r="L26" s="570"/>
      <c r="M26" s="570"/>
      <c r="N26" s="570"/>
      <c r="O26" s="570"/>
      <c r="P26" s="570"/>
      <c r="Q26" s="602"/>
    </row>
    <row r="27" spans="1:44" ht="28.5" customHeight="1" x14ac:dyDescent="0.25">
      <c r="A27" s="53" t="s">
        <v>241</v>
      </c>
      <c r="B27" s="115" t="s">
        <v>30</v>
      </c>
      <c r="C27" s="116" t="s">
        <v>31</v>
      </c>
      <c r="D27" s="116" t="s">
        <v>32</v>
      </c>
      <c r="E27" s="116" t="s">
        <v>33</v>
      </c>
      <c r="F27" s="116" t="s">
        <v>34</v>
      </c>
      <c r="G27" s="116" t="s">
        <v>35</v>
      </c>
      <c r="H27" s="116" t="s">
        <v>36</v>
      </c>
      <c r="I27" s="231" t="s">
        <v>37</v>
      </c>
      <c r="J27" s="395"/>
      <c r="K27" s="398"/>
      <c r="Q27" s="74"/>
    </row>
    <row r="28" spans="1:44" x14ac:dyDescent="0.25">
      <c r="A28" s="54" t="s">
        <v>243</v>
      </c>
      <c r="B28" s="319">
        <v>47</v>
      </c>
      <c r="C28" s="490"/>
      <c r="D28" s="490"/>
      <c r="E28" s="490"/>
      <c r="F28" s="490"/>
      <c r="G28" s="490"/>
      <c r="H28" s="490"/>
      <c r="I28" s="491">
        <v>90</v>
      </c>
      <c r="J28" s="396"/>
      <c r="K28" s="597" t="s">
        <v>50</v>
      </c>
      <c r="L28" s="573"/>
      <c r="M28" s="573"/>
      <c r="N28" s="573"/>
      <c r="O28" s="573"/>
      <c r="P28" s="573"/>
      <c r="Q28" s="598"/>
    </row>
    <row r="29" spans="1:44" x14ac:dyDescent="0.25">
      <c r="A29" s="3"/>
      <c r="B29" s="3"/>
      <c r="C29" s="1"/>
      <c r="D29" s="1"/>
      <c r="E29" s="1"/>
      <c r="F29" s="1"/>
      <c r="G29" s="1"/>
      <c r="H29" s="1"/>
      <c r="I29" s="1"/>
    </row>
    <row r="31" spans="1:44" x14ac:dyDescent="0.25">
      <c r="C31" s="2"/>
      <c r="D31" s="2"/>
    </row>
    <row r="32" spans="1:44" ht="15.75" thickBot="1" x14ac:dyDescent="0.3">
      <c r="A32" s="1"/>
      <c r="B32" s="1"/>
      <c r="C32" s="80"/>
      <c r="D32" s="80"/>
      <c r="E32" s="1"/>
      <c r="F32" s="1"/>
      <c r="G32" s="1"/>
      <c r="H32" s="1"/>
      <c r="I32" s="1"/>
      <c r="K32" s="1"/>
      <c r="L32" s="1"/>
      <c r="M32" s="1"/>
      <c r="N32" s="1"/>
      <c r="O32" s="1"/>
      <c r="P32" s="1"/>
      <c r="Q32" s="1"/>
      <c r="R32" s="1"/>
      <c r="S32" s="1"/>
      <c r="T32" s="1"/>
      <c r="U32" s="1"/>
      <c r="V32" s="591" t="s">
        <v>51</v>
      </c>
      <c r="W32" s="591"/>
      <c r="X32" s="591"/>
      <c r="Y32" s="592"/>
      <c r="Z32" s="592"/>
      <c r="AA32" s="592"/>
      <c r="AB32" s="592"/>
      <c r="AC32" s="592"/>
      <c r="AD32" s="592"/>
      <c r="AE32" s="592"/>
      <c r="AF32" s="592"/>
      <c r="AG32" s="592"/>
      <c r="AH32" s="592"/>
      <c r="AI32" s="592"/>
      <c r="AJ32" s="593"/>
      <c r="AK32" s="1"/>
      <c r="AL32" s="1"/>
      <c r="AM32" s="1"/>
      <c r="AN32" s="1"/>
      <c r="AO32" s="603" t="s">
        <v>51</v>
      </c>
      <c r="AP32" s="604"/>
      <c r="AQ32" s="605"/>
      <c r="AR32" s="1"/>
    </row>
    <row r="33" spans="1:48" ht="45.75" thickBot="1" x14ac:dyDescent="0.3">
      <c r="A33" s="23" t="s">
        <v>52</v>
      </c>
      <c r="B33" s="356" t="s">
        <v>53</v>
      </c>
      <c r="C33" s="356" t="s">
        <v>54</v>
      </c>
      <c r="D33" s="356" t="s">
        <v>55</v>
      </c>
      <c r="E33" s="356" t="s">
        <v>56</v>
      </c>
      <c r="F33" s="356" t="s">
        <v>244</v>
      </c>
      <c r="G33" s="356" t="s">
        <v>245</v>
      </c>
      <c r="H33" s="356" t="s">
        <v>59</v>
      </c>
      <c r="I33" s="356" t="s">
        <v>60</v>
      </c>
      <c r="J33" s="356" t="s">
        <v>246</v>
      </c>
      <c r="K33" s="357" t="s">
        <v>62</v>
      </c>
      <c r="L33" s="358" t="s">
        <v>63</v>
      </c>
      <c r="M33" s="356" t="s">
        <v>64</v>
      </c>
      <c r="N33" s="356" t="s">
        <v>65</v>
      </c>
      <c r="O33" s="356" t="s">
        <v>66</v>
      </c>
      <c r="P33" s="370" t="s">
        <v>67</v>
      </c>
      <c r="Q33" s="23">
        <v>2023</v>
      </c>
      <c r="R33" s="255">
        <v>2024</v>
      </c>
      <c r="S33" s="255">
        <v>2025</v>
      </c>
      <c r="T33" s="255">
        <v>2026</v>
      </c>
      <c r="U33" s="254">
        <v>2027</v>
      </c>
      <c r="V33" s="582" t="s">
        <v>247</v>
      </c>
      <c r="W33" s="582"/>
      <c r="X33" s="582"/>
      <c r="Y33" s="582">
        <v>2024</v>
      </c>
      <c r="Z33" s="580"/>
      <c r="AA33" s="581"/>
      <c r="AB33" s="582">
        <v>2025</v>
      </c>
      <c r="AC33" s="580"/>
      <c r="AD33" s="581"/>
      <c r="AE33" s="582">
        <v>2026</v>
      </c>
      <c r="AF33" s="580"/>
      <c r="AG33" s="581"/>
      <c r="AH33" s="582">
        <v>2027</v>
      </c>
      <c r="AI33" s="580"/>
      <c r="AJ33" s="580"/>
      <c r="AK33" s="21" t="s">
        <v>248</v>
      </c>
      <c r="AL33" s="22" t="s">
        <v>249</v>
      </c>
      <c r="AM33" s="22" t="s">
        <v>71</v>
      </c>
      <c r="AN33" s="21"/>
      <c r="AO33" s="582" t="s">
        <v>250</v>
      </c>
      <c r="AP33" s="606"/>
      <c r="AQ33" s="607"/>
      <c r="AR33" s="77" t="s">
        <v>251</v>
      </c>
    </row>
    <row r="34" spans="1:48" s="14" customFormat="1" ht="152.25" customHeight="1" thickBot="1" x14ac:dyDescent="0.3">
      <c r="A34" s="371" t="s">
        <v>74</v>
      </c>
      <c r="B34" s="415" t="s">
        <v>75</v>
      </c>
      <c r="C34" s="360" t="s">
        <v>76</v>
      </c>
      <c r="D34" s="360" t="s">
        <v>77</v>
      </c>
      <c r="E34" s="361" t="s">
        <v>78</v>
      </c>
      <c r="F34" s="361" t="s">
        <v>78</v>
      </c>
      <c r="G34" s="361" t="s">
        <v>79</v>
      </c>
      <c r="H34" s="360" t="s">
        <v>80</v>
      </c>
      <c r="I34" s="360" t="s">
        <v>81</v>
      </c>
      <c r="J34" s="360" t="s">
        <v>82</v>
      </c>
      <c r="K34" s="360" t="s">
        <v>252</v>
      </c>
      <c r="L34" s="362" t="s">
        <v>84</v>
      </c>
      <c r="M34" s="362" t="s">
        <v>85</v>
      </c>
      <c r="N34" s="363" t="s">
        <v>253</v>
      </c>
      <c r="O34" s="361" t="s">
        <v>78</v>
      </c>
      <c r="P34" s="364"/>
      <c r="Q34" s="594"/>
      <c r="R34" s="595"/>
      <c r="S34" s="595"/>
      <c r="T34" s="595"/>
      <c r="U34" s="596"/>
      <c r="V34" s="401" t="s">
        <v>87</v>
      </c>
      <c r="W34" s="402" t="s">
        <v>88</v>
      </c>
      <c r="X34" s="403" t="s">
        <v>89</v>
      </c>
      <c r="Y34" s="409" t="s">
        <v>87</v>
      </c>
      <c r="Z34" s="402" t="s">
        <v>88</v>
      </c>
      <c r="AA34" s="410" t="s">
        <v>89</v>
      </c>
      <c r="AB34" s="28" t="s">
        <v>87</v>
      </c>
      <c r="AC34" s="25" t="s">
        <v>88</v>
      </c>
      <c r="AD34" s="26" t="s">
        <v>89</v>
      </c>
      <c r="AE34" s="28" t="s">
        <v>87</v>
      </c>
      <c r="AF34" s="25" t="s">
        <v>88</v>
      </c>
      <c r="AG34" s="26" t="s">
        <v>89</v>
      </c>
      <c r="AH34" s="28" t="s">
        <v>87</v>
      </c>
      <c r="AI34" s="25" t="s">
        <v>88</v>
      </c>
      <c r="AJ34" s="27" t="s">
        <v>89</v>
      </c>
      <c r="AK34" s="372" t="s">
        <v>90</v>
      </c>
      <c r="AL34" s="373" t="s">
        <v>78</v>
      </c>
      <c r="AM34" s="385"/>
      <c r="AN34" s="375"/>
      <c r="AO34" s="28" t="s">
        <v>87</v>
      </c>
      <c r="AP34" s="25" t="s">
        <v>88</v>
      </c>
      <c r="AQ34" s="26" t="s">
        <v>89</v>
      </c>
      <c r="AR34" s="374" t="s">
        <v>254</v>
      </c>
      <c r="AV34" s="76"/>
    </row>
    <row r="35" spans="1:48" s="19" customFormat="1" ht="375" x14ac:dyDescent="0.25">
      <c r="A35" s="320" t="s">
        <v>2</v>
      </c>
      <c r="B35" s="320" t="s">
        <v>94</v>
      </c>
      <c r="C35" s="320"/>
      <c r="D35" s="321" t="s">
        <v>95</v>
      </c>
      <c r="E35" s="321" t="s">
        <v>96</v>
      </c>
      <c r="F35" s="321"/>
      <c r="G35" s="321" t="s">
        <v>97</v>
      </c>
      <c r="H35" s="321"/>
      <c r="I35" s="321" t="s">
        <v>98</v>
      </c>
      <c r="J35" s="321" t="s">
        <v>99</v>
      </c>
      <c r="K35" s="321" t="s">
        <v>100</v>
      </c>
      <c r="L35" s="321"/>
      <c r="M35" s="321"/>
      <c r="N35" s="321"/>
      <c r="O35" s="321" t="s">
        <v>101</v>
      </c>
      <c r="P35" s="462">
        <f t="shared" ref="P35:P66" si="1">SUM(Q35:U35)</f>
        <v>12582204</v>
      </c>
      <c r="Q35" s="314">
        <f t="shared" ref="Q35:Q94" si="2">SUM(V35:X35)</f>
        <v>0</v>
      </c>
      <c r="R35" s="376">
        <f t="shared" ref="R35:R66" si="3">SUM(Y35:AA35)</f>
        <v>2987301</v>
      </c>
      <c r="S35" s="376">
        <f t="shared" ref="S35:S66" si="4">SUM(AB35:AD35)</f>
        <v>3198301</v>
      </c>
      <c r="T35" s="376">
        <f t="shared" ref="T35:T66" si="5">SUM(AE35:AG35)</f>
        <v>3198301</v>
      </c>
      <c r="U35" s="399">
        <f t="shared" ref="U35:U66" si="6">SUM(AH35:AJ35)</f>
        <v>3198301</v>
      </c>
      <c r="V35" s="314"/>
      <c r="W35" s="313"/>
      <c r="X35" s="406"/>
      <c r="Y35" s="314">
        <f>1488301+1499000</f>
        <v>2987301</v>
      </c>
      <c r="Z35" s="313"/>
      <c r="AA35" s="404"/>
      <c r="AB35" s="308">
        <f>1488301+1710000</f>
        <v>3198301</v>
      </c>
      <c r="AC35" s="309"/>
      <c r="AD35" s="311"/>
      <c r="AE35" s="310">
        <f>1488301+1710000</f>
        <v>3198301</v>
      </c>
      <c r="AF35" s="309"/>
      <c r="AG35" s="311"/>
      <c r="AH35" s="310">
        <f>1488301+1710000</f>
        <v>3198301</v>
      </c>
      <c r="AI35" s="309"/>
      <c r="AJ35" s="309"/>
      <c r="AK35" s="322" t="s">
        <v>102</v>
      </c>
      <c r="AL35" s="312" t="s">
        <v>103</v>
      </c>
      <c r="AM35" s="322"/>
      <c r="AN35" s="388"/>
      <c r="AO35" s="379">
        <v>2273274</v>
      </c>
      <c r="AP35" s="269">
        <v>888503</v>
      </c>
      <c r="AQ35" s="380">
        <v>1088071</v>
      </c>
      <c r="AR35" s="292" t="s">
        <v>408</v>
      </c>
    </row>
    <row r="36" spans="1:48" s="35" customFormat="1" ht="180" x14ac:dyDescent="0.25">
      <c r="A36" s="320" t="s">
        <v>2</v>
      </c>
      <c r="B36" s="320" t="s">
        <v>94</v>
      </c>
      <c r="C36" s="320"/>
      <c r="D36" s="321" t="s">
        <v>95</v>
      </c>
      <c r="E36" s="321" t="s">
        <v>96</v>
      </c>
      <c r="F36" s="321" t="s">
        <v>104</v>
      </c>
      <c r="G36" s="321" t="s">
        <v>105</v>
      </c>
      <c r="H36" s="321"/>
      <c r="I36" s="321" t="s">
        <v>106</v>
      </c>
      <c r="J36" s="321" t="s">
        <v>107</v>
      </c>
      <c r="K36" s="321" t="s">
        <v>108</v>
      </c>
      <c r="L36" s="321"/>
      <c r="M36" s="321"/>
      <c r="N36" s="321"/>
      <c r="O36" s="321" t="s">
        <v>109</v>
      </c>
      <c r="P36" s="462">
        <f t="shared" si="1"/>
        <v>150000</v>
      </c>
      <c r="Q36" s="306">
        <f t="shared" si="2"/>
        <v>0</v>
      </c>
      <c r="R36" s="307">
        <f t="shared" si="3"/>
        <v>150000</v>
      </c>
      <c r="S36" s="307">
        <f t="shared" si="4"/>
        <v>0</v>
      </c>
      <c r="T36" s="307">
        <f t="shared" si="5"/>
        <v>0</v>
      </c>
      <c r="U36" s="308">
        <f t="shared" si="6"/>
        <v>0</v>
      </c>
      <c r="V36" s="405"/>
      <c r="W36" s="317"/>
      <c r="X36" s="325"/>
      <c r="Y36" s="405"/>
      <c r="Z36" s="317"/>
      <c r="AA36" s="326">
        <v>150000</v>
      </c>
      <c r="AB36" s="308"/>
      <c r="AC36" s="309"/>
      <c r="AD36" s="311"/>
      <c r="AE36" s="310"/>
      <c r="AF36" s="309"/>
      <c r="AG36" s="311"/>
      <c r="AH36" s="310"/>
      <c r="AI36" s="309"/>
      <c r="AJ36" s="309"/>
      <c r="AK36" s="322" t="s">
        <v>110</v>
      </c>
      <c r="AL36" s="312" t="s">
        <v>111</v>
      </c>
      <c r="AM36" s="322"/>
      <c r="AN36" s="388"/>
      <c r="AO36" s="379">
        <v>0</v>
      </c>
      <c r="AP36" s="269">
        <v>0</v>
      </c>
      <c r="AQ36" s="380">
        <v>0</v>
      </c>
      <c r="AR36" s="465" t="s">
        <v>405</v>
      </c>
    </row>
    <row r="37" spans="1:48" s="35" customFormat="1" ht="135" x14ac:dyDescent="0.25">
      <c r="A37" s="320" t="s">
        <v>2</v>
      </c>
      <c r="B37" s="320" t="s">
        <v>94</v>
      </c>
      <c r="C37" s="320"/>
      <c r="D37" s="321" t="s">
        <v>95</v>
      </c>
      <c r="E37" s="321" t="s">
        <v>96</v>
      </c>
      <c r="F37" s="321" t="s">
        <v>104</v>
      </c>
      <c r="G37" s="321" t="s">
        <v>105</v>
      </c>
      <c r="H37" s="321"/>
      <c r="I37" s="321" t="s">
        <v>112</v>
      </c>
      <c r="J37" s="321" t="s">
        <v>113</v>
      </c>
      <c r="K37" s="321" t="s">
        <v>114</v>
      </c>
      <c r="L37" s="321"/>
      <c r="M37" s="321"/>
      <c r="N37" s="321"/>
      <c r="O37" s="321" t="s">
        <v>109</v>
      </c>
      <c r="P37" s="462">
        <f t="shared" si="1"/>
        <v>172790</v>
      </c>
      <c r="Q37" s="306">
        <f t="shared" si="2"/>
        <v>0</v>
      </c>
      <c r="R37" s="307">
        <f t="shared" si="3"/>
        <v>172790</v>
      </c>
      <c r="S37" s="307">
        <f t="shared" si="4"/>
        <v>0</v>
      </c>
      <c r="T37" s="307">
        <f t="shared" si="5"/>
        <v>0</v>
      </c>
      <c r="U37" s="308">
        <f t="shared" si="6"/>
        <v>0</v>
      </c>
      <c r="V37" s="405"/>
      <c r="W37" s="317"/>
      <c r="X37" s="325"/>
      <c r="Y37" s="405"/>
      <c r="Z37" s="317">
        <f>158000+75000-60210</f>
        <v>172790</v>
      </c>
      <c r="AA37" s="326"/>
      <c r="AB37" s="308"/>
      <c r="AC37" s="309"/>
      <c r="AD37" s="311"/>
      <c r="AE37" s="310"/>
      <c r="AF37" s="309"/>
      <c r="AG37" s="311"/>
      <c r="AH37" s="310"/>
      <c r="AI37" s="309"/>
      <c r="AJ37" s="309"/>
      <c r="AK37" s="322" t="s">
        <v>115</v>
      </c>
      <c r="AL37" s="312"/>
      <c r="AM37" s="322"/>
      <c r="AN37" s="388"/>
      <c r="AO37" s="379">
        <v>0</v>
      </c>
      <c r="AP37" s="269">
        <v>0</v>
      </c>
      <c r="AQ37" s="380">
        <v>0</v>
      </c>
      <c r="AR37" s="465" t="s">
        <v>404</v>
      </c>
    </row>
    <row r="38" spans="1:48" s="35" customFormat="1" ht="90" x14ac:dyDescent="0.25">
      <c r="A38" s="320" t="s">
        <v>2</v>
      </c>
      <c r="B38" s="320" t="s">
        <v>116</v>
      </c>
      <c r="C38" s="320"/>
      <c r="D38" s="321" t="s">
        <v>95</v>
      </c>
      <c r="E38" s="321" t="s">
        <v>96</v>
      </c>
      <c r="F38" s="321" t="s">
        <v>104</v>
      </c>
      <c r="G38" s="321" t="s">
        <v>105</v>
      </c>
      <c r="H38" s="321"/>
      <c r="I38" s="321" t="s">
        <v>112</v>
      </c>
      <c r="J38" s="321" t="s">
        <v>113</v>
      </c>
      <c r="K38" s="321" t="s">
        <v>117</v>
      </c>
      <c r="L38" s="321"/>
      <c r="M38" s="321"/>
      <c r="N38" s="321"/>
      <c r="O38" s="321" t="s">
        <v>109</v>
      </c>
      <c r="P38" s="462">
        <f t="shared" si="1"/>
        <v>60210</v>
      </c>
      <c r="Q38" s="306">
        <f t="shared" si="2"/>
        <v>0</v>
      </c>
      <c r="R38" s="307">
        <f t="shared" si="3"/>
        <v>60210</v>
      </c>
      <c r="S38" s="307">
        <f t="shared" si="4"/>
        <v>0</v>
      </c>
      <c r="T38" s="307">
        <f t="shared" si="5"/>
        <v>0</v>
      </c>
      <c r="U38" s="308">
        <f t="shared" si="6"/>
        <v>0</v>
      </c>
      <c r="V38" s="405"/>
      <c r="W38" s="317"/>
      <c r="X38" s="325"/>
      <c r="Y38" s="405"/>
      <c r="Z38" s="317">
        <v>60210</v>
      </c>
      <c r="AA38" s="326"/>
      <c r="AB38" s="308"/>
      <c r="AC38" s="309"/>
      <c r="AD38" s="311"/>
      <c r="AE38" s="310"/>
      <c r="AF38" s="309"/>
      <c r="AG38" s="311"/>
      <c r="AH38" s="310"/>
      <c r="AI38" s="309"/>
      <c r="AJ38" s="309"/>
      <c r="AK38" s="322" t="s">
        <v>115</v>
      </c>
      <c r="AL38" s="312"/>
      <c r="AM38" s="322"/>
      <c r="AN38" s="388"/>
      <c r="AO38" s="379">
        <v>0</v>
      </c>
      <c r="AP38" s="269">
        <v>0</v>
      </c>
      <c r="AQ38" s="380">
        <v>0</v>
      </c>
      <c r="AR38" s="465" t="s">
        <v>403</v>
      </c>
    </row>
    <row r="39" spans="1:48" s="35" customFormat="1" ht="150" x14ac:dyDescent="0.25">
      <c r="A39" s="320" t="s">
        <v>2</v>
      </c>
      <c r="B39" s="320" t="s">
        <v>116</v>
      </c>
      <c r="C39" s="320"/>
      <c r="D39" s="321" t="s">
        <v>95</v>
      </c>
      <c r="E39" s="321" t="s">
        <v>96</v>
      </c>
      <c r="F39" s="321" t="s">
        <v>118</v>
      </c>
      <c r="G39" s="321" t="s">
        <v>119</v>
      </c>
      <c r="H39" s="321"/>
      <c r="I39" s="321" t="s">
        <v>120</v>
      </c>
      <c r="J39" s="321" t="s">
        <v>121</v>
      </c>
      <c r="K39" s="321" t="s">
        <v>122</v>
      </c>
      <c r="L39" s="321"/>
      <c r="M39" s="321"/>
      <c r="N39" s="321"/>
      <c r="O39" s="321" t="s">
        <v>109</v>
      </c>
      <c r="P39" s="462">
        <f t="shared" si="1"/>
        <v>50000</v>
      </c>
      <c r="Q39" s="306">
        <f t="shared" si="2"/>
        <v>0</v>
      </c>
      <c r="R39" s="307">
        <f t="shared" si="3"/>
        <v>50000</v>
      </c>
      <c r="S39" s="307">
        <f t="shared" si="4"/>
        <v>0</v>
      </c>
      <c r="T39" s="307">
        <f t="shared" si="5"/>
        <v>0</v>
      </c>
      <c r="U39" s="308">
        <f t="shared" si="6"/>
        <v>0</v>
      </c>
      <c r="V39" s="405"/>
      <c r="W39" s="317"/>
      <c r="X39" s="325"/>
      <c r="Y39" s="405">
        <v>50000</v>
      </c>
      <c r="Z39" s="317"/>
      <c r="AA39" s="326"/>
      <c r="AB39" s="308"/>
      <c r="AC39" s="309"/>
      <c r="AD39" s="311"/>
      <c r="AE39" s="310"/>
      <c r="AF39" s="309"/>
      <c r="AG39" s="311"/>
      <c r="AH39" s="310"/>
      <c r="AI39" s="309"/>
      <c r="AJ39" s="309"/>
      <c r="AK39" s="322" t="s">
        <v>123</v>
      </c>
      <c r="AL39" s="312" t="s">
        <v>111</v>
      </c>
      <c r="AM39" s="322"/>
      <c r="AN39" s="388"/>
      <c r="AO39" s="379">
        <v>0</v>
      </c>
      <c r="AP39" s="269">
        <v>0</v>
      </c>
      <c r="AQ39" s="380">
        <v>0</v>
      </c>
      <c r="AR39" s="465" t="s">
        <v>406</v>
      </c>
    </row>
    <row r="40" spans="1:48" s="19" customFormat="1" ht="150" x14ac:dyDescent="0.25">
      <c r="A40" s="320" t="s">
        <v>2</v>
      </c>
      <c r="B40" s="320" t="s">
        <v>94</v>
      </c>
      <c r="C40" s="320"/>
      <c r="D40" s="321" t="s">
        <v>95</v>
      </c>
      <c r="E40" s="321" t="s">
        <v>96</v>
      </c>
      <c r="F40" s="321" t="s">
        <v>104</v>
      </c>
      <c r="G40" s="321" t="s">
        <v>119</v>
      </c>
      <c r="H40" s="321"/>
      <c r="I40" s="321" t="s">
        <v>124</v>
      </c>
      <c r="J40" s="321" t="s">
        <v>125</v>
      </c>
      <c r="K40" s="321" t="s">
        <v>126</v>
      </c>
      <c r="L40" s="321"/>
      <c r="M40" s="321"/>
      <c r="N40" s="321"/>
      <c r="O40" s="321" t="s">
        <v>109</v>
      </c>
      <c r="P40" s="462">
        <f t="shared" si="1"/>
        <v>300000</v>
      </c>
      <c r="Q40" s="306">
        <f t="shared" si="2"/>
        <v>0</v>
      </c>
      <c r="R40" s="307">
        <f t="shared" si="3"/>
        <v>300000</v>
      </c>
      <c r="S40" s="307">
        <f t="shared" si="4"/>
        <v>0</v>
      </c>
      <c r="T40" s="307">
        <f t="shared" si="5"/>
        <v>0</v>
      </c>
      <c r="U40" s="308">
        <f t="shared" si="6"/>
        <v>0</v>
      </c>
      <c r="V40" s="405"/>
      <c r="W40" s="317"/>
      <c r="X40" s="325"/>
      <c r="Y40" s="405">
        <v>300000</v>
      </c>
      <c r="Z40" s="317"/>
      <c r="AA40" s="326"/>
      <c r="AB40" s="308"/>
      <c r="AC40" s="309"/>
      <c r="AD40" s="311"/>
      <c r="AE40" s="310"/>
      <c r="AF40" s="309"/>
      <c r="AG40" s="311"/>
      <c r="AH40" s="310"/>
      <c r="AI40" s="309"/>
      <c r="AJ40" s="309"/>
      <c r="AK40" s="322" t="s">
        <v>127</v>
      </c>
      <c r="AL40" s="312" t="s">
        <v>111</v>
      </c>
      <c r="AM40" s="322"/>
      <c r="AN40" s="388"/>
      <c r="AO40" s="379">
        <v>0</v>
      </c>
      <c r="AP40" s="269">
        <v>0</v>
      </c>
      <c r="AQ40" s="380">
        <v>0</v>
      </c>
      <c r="AR40" s="465" t="s">
        <v>407</v>
      </c>
    </row>
    <row r="41" spans="1:48" s="35" customFormat="1" ht="225" x14ac:dyDescent="0.25">
      <c r="A41" s="342" t="s">
        <v>2</v>
      </c>
      <c r="B41" s="320" t="s">
        <v>128</v>
      </c>
      <c r="C41" s="320"/>
      <c r="D41" s="321" t="s">
        <v>129</v>
      </c>
      <c r="E41" s="321" t="s">
        <v>96</v>
      </c>
      <c r="F41" s="321" t="s">
        <v>130</v>
      </c>
      <c r="G41" s="321" t="s">
        <v>119</v>
      </c>
      <c r="H41" s="321"/>
      <c r="I41" s="321" t="s">
        <v>131</v>
      </c>
      <c r="J41" s="321" t="s">
        <v>132</v>
      </c>
      <c r="K41" s="321" t="s">
        <v>133</v>
      </c>
      <c r="L41" s="321"/>
      <c r="M41" s="321"/>
      <c r="N41" s="321"/>
      <c r="O41" s="321" t="s">
        <v>109</v>
      </c>
      <c r="P41" s="462">
        <f t="shared" si="1"/>
        <v>499896</v>
      </c>
      <c r="Q41" s="306">
        <f t="shared" si="2"/>
        <v>0</v>
      </c>
      <c r="R41" s="307">
        <f t="shared" si="3"/>
        <v>499896</v>
      </c>
      <c r="S41" s="307">
        <f t="shared" si="4"/>
        <v>0</v>
      </c>
      <c r="T41" s="307">
        <f t="shared" si="5"/>
        <v>0</v>
      </c>
      <c r="U41" s="308">
        <f t="shared" si="6"/>
        <v>0</v>
      </c>
      <c r="V41" s="405"/>
      <c r="W41" s="317"/>
      <c r="X41" s="325"/>
      <c r="Y41" s="405">
        <v>499896</v>
      </c>
      <c r="Z41" s="317"/>
      <c r="AA41" s="326"/>
      <c r="AB41" s="308"/>
      <c r="AC41" s="309"/>
      <c r="AD41" s="311"/>
      <c r="AE41" s="310"/>
      <c r="AF41" s="309"/>
      <c r="AG41" s="311"/>
      <c r="AH41" s="310"/>
      <c r="AI41" s="309"/>
      <c r="AJ41" s="309"/>
      <c r="AK41" s="322" t="s">
        <v>134</v>
      </c>
      <c r="AL41" s="312" t="s">
        <v>135</v>
      </c>
      <c r="AM41" s="322"/>
      <c r="AN41" s="388"/>
      <c r="AO41" s="379"/>
      <c r="AP41" s="269"/>
      <c r="AQ41" s="380"/>
      <c r="AR41" s="465" t="s">
        <v>651</v>
      </c>
    </row>
    <row r="42" spans="1:48" s="35" customFormat="1" ht="105" x14ac:dyDescent="0.25">
      <c r="A42" s="342" t="s">
        <v>2</v>
      </c>
      <c r="B42" s="320" t="s">
        <v>128</v>
      </c>
      <c r="C42" s="320"/>
      <c r="D42" s="321" t="s">
        <v>129</v>
      </c>
      <c r="E42" s="321" t="s">
        <v>96</v>
      </c>
      <c r="F42" s="321" t="s">
        <v>130</v>
      </c>
      <c r="G42" s="321" t="s">
        <v>119</v>
      </c>
      <c r="H42" s="321"/>
      <c r="I42" s="321" t="s">
        <v>136</v>
      </c>
      <c r="J42" s="321" t="s">
        <v>137</v>
      </c>
      <c r="K42" s="321" t="s">
        <v>138</v>
      </c>
      <c r="L42" s="321"/>
      <c r="M42" s="321"/>
      <c r="N42" s="321"/>
      <c r="O42" s="321" t="s">
        <v>101</v>
      </c>
      <c r="P42" s="462">
        <f t="shared" si="1"/>
        <v>430000</v>
      </c>
      <c r="Q42" s="306">
        <f t="shared" si="2"/>
        <v>0</v>
      </c>
      <c r="R42" s="307">
        <f t="shared" si="3"/>
        <v>15000</v>
      </c>
      <c r="S42" s="307">
        <f t="shared" si="4"/>
        <v>75000</v>
      </c>
      <c r="T42" s="307">
        <f t="shared" si="5"/>
        <v>170000</v>
      </c>
      <c r="U42" s="308">
        <f t="shared" si="6"/>
        <v>170000</v>
      </c>
      <c r="V42" s="405"/>
      <c r="W42" s="317"/>
      <c r="X42" s="325"/>
      <c r="Y42" s="405"/>
      <c r="Z42" s="317"/>
      <c r="AA42" s="326">
        <v>15000</v>
      </c>
      <c r="AB42" s="308"/>
      <c r="AC42" s="309"/>
      <c r="AD42" s="311">
        <v>75000</v>
      </c>
      <c r="AE42" s="310"/>
      <c r="AF42" s="309"/>
      <c r="AG42" s="311">
        <v>170000</v>
      </c>
      <c r="AH42" s="310"/>
      <c r="AI42" s="309"/>
      <c r="AJ42" s="309">
        <v>170000</v>
      </c>
      <c r="AK42" s="322" t="s">
        <v>139</v>
      </c>
      <c r="AL42" s="312" t="s">
        <v>140</v>
      </c>
      <c r="AM42" s="322"/>
      <c r="AN42" s="388"/>
      <c r="AO42" s="379"/>
      <c r="AP42" s="269"/>
      <c r="AQ42" s="380"/>
      <c r="AR42" s="465"/>
    </row>
    <row r="43" spans="1:48" s="35" customFormat="1" ht="210" x14ac:dyDescent="0.25">
      <c r="A43" s="342" t="s">
        <v>2</v>
      </c>
      <c r="B43" s="320" t="s">
        <v>128</v>
      </c>
      <c r="C43" s="320"/>
      <c r="D43" s="321" t="s">
        <v>141</v>
      </c>
      <c r="E43" s="321" t="s">
        <v>96</v>
      </c>
      <c r="F43" s="321" t="s">
        <v>142</v>
      </c>
      <c r="G43" s="321" t="s">
        <v>119</v>
      </c>
      <c r="H43" s="321"/>
      <c r="I43" s="321" t="s">
        <v>143</v>
      </c>
      <c r="J43" s="321" t="s">
        <v>144</v>
      </c>
      <c r="K43" s="321" t="s">
        <v>145</v>
      </c>
      <c r="L43" s="321"/>
      <c r="M43" s="321"/>
      <c r="N43" s="321"/>
      <c r="O43" s="321" t="s">
        <v>109</v>
      </c>
      <c r="P43" s="462">
        <f t="shared" si="1"/>
        <v>499916</v>
      </c>
      <c r="Q43" s="306">
        <f t="shared" si="2"/>
        <v>0</v>
      </c>
      <c r="R43" s="307">
        <f t="shared" si="3"/>
        <v>499916</v>
      </c>
      <c r="S43" s="307">
        <f t="shared" si="4"/>
        <v>0</v>
      </c>
      <c r="T43" s="307">
        <f t="shared" si="5"/>
        <v>0</v>
      </c>
      <c r="U43" s="308">
        <f t="shared" si="6"/>
        <v>0</v>
      </c>
      <c r="V43" s="405"/>
      <c r="W43" s="317"/>
      <c r="X43" s="325"/>
      <c r="Y43" s="405">
        <v>499916</v>
      </c>
      <c r="Z43" s="317"/>
      <c r="AA43" s="326"/>
      <c r="AB43" s="308"/>
      <c r="AC43" s="309"/>
      <c r="AD43" s="311"/>
      <c r="AE43" s="310"/>
      <c r="AF43" s="309"/>
      <c r="AG43" s="311"/>
      <c r="AH43" s="310"/>
      <c r="AI43" s="309"/>
      <c r="AJ43" s="309"/>
      <c r="AK43" s="322" t="s">
        <v>146</v>
      </c>
      <c r="AL43" s="312" t="s">
        <v>103</v>
      </c>
      <c r="AM43" s="322"/>
      <c r="AN43" s="388"/>
      <c r="AO43" s="379"/>
      <c r="AP43" s="269"/>
      <c r="AQ43" s="380"/>
      <c r="AR43" s="465" t="s">
        <v>652</v>
      </c>
    </row>
    <row r="44" spans="1:48" s="35" customFormat="1" ht="165" x14ac:dyDescent="0.25">
      <c r="A44" s="342" t="s">
        <v>2</v>
      </c>
      <c r="B44" s="320" t="s">
        <v>128</v>
      </c>
      <c r="C44" s="320"/>
      <c r="D44" s="321" t="s">
        <v>147</v>
      </c>
      <c r="E44" s="321" t="s">
        <v>96</v>
      </c>
      <c r="F44" s="321" t="s">
        <v>148</v>
      </c>
      <c r="G44" s="321" t="s">
        <v>119</v>
      </c>
      <c r="H44" s="321"/>
      <c r="I44" s="321" t="s">
        <v>149</v>
      </c>
      <c r="J44" s="321" t="s">
        <v>150</v>
      </c>
      <c r="K44" s="321" t="s">
        <v>151</v>
      </c>
      <c r="L44" s="321"/>
      <c r="M44" s="321"/>
      <c r="N44" s="321"/>
      <c r="O44" s="321" t="s">
        <v>109</v>
      </c>
      <c r="P44" s="462">
        <f t="shared" si="1"/>
        <v>252960</v>
      </c>
      <c r="Q44" s="306">
        <f t="shared" si="2"/>
        <v>0</v>
      </c>
      <c r="R44" s="307">
        <f t="shared" si="3"/>
        <v>252960</v>
      </c>
      <c r="S44" s="307">
        <f t="shared" si="4"/>
        <v>0</v>
      </c>
      <c r="T44" s="307">
        <f t="shared" si="5"/>
        <v>0</v>
      </c>
      <c r="U44" s="308">
        <f t="shared" si="6"/>
        <v>0</v>
      </c>
      <c r="V44" s="405"/>
      <c r="W44" s="317"/>
      <c r="X44" s="325"/>
      <c r="Y44" s="405">
        <v>252960</v>
      </c>
      <c r="Z44" s="317"/>
      <c r="AA44" s="326"/>
      <c r="AB44" s="308"/>
      <c r="AC44" s="309"/>
      <c r="AD44" s="311"/>
      <c r="AE44" s="310"/>
      <c r="AF44" s="309"/>
      <c r="AG44" s="311"/>
      <c r="AH44" s="310"/>
      <c r="AI44" s="309"/>
      <c r="AJ44" s="309"/>
      <c r="AK44" s="322" t="s">
        <v>152</v>
      </c>
      <c r="AL44" s="312" t="s">
        <v>140</v>
      </c>
      <c r="AM44" s="322"/>
      <c r="AN44" s="388"/>
      <c r="AO44" s="379"/>
      <c r="AP44" s="269"/>
      <c r="AQ44" s="380"/>
      <c r="AR44" s="465" t="s">
        <v>653</v>
      </c>
    </row>
    <row r="45" spans="1:48" s="35" customFormat="1" ht="270" x14ac:dyDescent="0.25">
      <c r="A45" s="342" t="s">
        <v>2</v>
      </c>
      <c r="B45" s="320" t="s">
        <v>128</v>
      </c>
      <c r="C45" s="320"/>
      <c r="D45" s="321" t="s">
        <v>153</v>
      </c>
      <c r="E45" s="321" t="s">
        <v>96</v>
      </c>
      <c r="F45" s="321"/>
      <c r="G45" s="321" t="s">
        <v>105</v>
      </c>
      <c r="H45" s="321"/>
      <c r="I45" s="321" t="s">
        <v>154</v>
      </c>
      <c r="J45" s="321" t="s">
        <v>155</v>
      </c>
      <c r="K45" s="321" t="s">
        <v>156</v>
      </c>
      <c r="L45" s="321"/>
      <c r="M45" s="321"/>
      <c r="N45" s="321"/>
      <c r="O45" s="321" t="s">
        <v>101</v>
      </c>
      <c r="P45" s="462">
        <f t="shared" si="1"/>
        <v>731250</v>
      </c>
      <c r="Q45" s="306">
        <f t="shared" si="2"/>
        <v>0</v>
      </c>
      <c r="R45" s="307">
        <f t="shared" si="3"/>
        <v>195000</v>
      </c>
      <c r="S45" s="307">
        <f t="shared" si="4"/>
        <v>178750</v>
      </c>
      <c r="T45" s="307">
        <f t="shared" si="5"/>
        <v>178750</v>
      </c>
      <c r="U45" s="308">
        <f t="shared" si="6"/>
        <v>178750</v>
      </c>
      <c r="V45" s="405"/>
      <c r="W45" s="317"/>
      <c r="X45" s="325"/>
      <c r="Y45" s="405"/>
      <c r="Z45" s="317"/>
      <c r="AA45" s="326">
        <v>195000</v>
      </c>
      <c r="AB45" s="308"/>
      <c r="AC45" s="309"/>
      <c r="AD45" s="311">
        <v>178750</v>
      </c>
      <c r="AE45" s="310"/>
      <c r="AF45" s="309"/>
      <c r="AG45" s="311">
        <v>178750</v>
      </c>
      <c r="AH45" s="310"/>
      <c r="AI45" s="309"/>
      <c r="AJ45" s="309">
        <v>178750</v>
      </c>
      <c r="AK45" s="322" t="s">
        <v>157</v>
      </c>
      <c r="AL45" s="312" t="s">
        <v>111</v>
      </c>
      <c r="AM45" s="322"/>
      <c r="AN45" s="388"/>
      <c r="AO45" s="379"/>
      <c r="AP45" s="269"/>
      <c r="AQ45" s="380"/>
      <c r="AR45" s="465"/>
    </row>
    <row r="46" spans="1:48" s="19" customFormat="1" ht="90" x14ac:dyDescent="0.25">
      <c r="A46" s="342" t="s">
        <v>2</v>
      </c>
      <c r="B46" s="320" t="s">
        <v>128</v>
      </c>
      <c r="C46" s="320"/>
      <c r="D46" s="321" t="s">
        <v>158</v>
      </c>
      <c r="E46" s="321" t="s">
        <v>159</v>
      </c>
      <c r="F46" s="321" t="s">
        <v>160</v>
      </c>
      <c r="G46" s="321" t="s">
        <v>161</v>
      </c>
      <c r="H46" s="321"/>
      <c r="I46" s="321" t="s">
        <v>162</v>
      </c>
      <c r="J46" s="321" t="s">
        <v>163</v>
      </c>
      <c r="K46" s="321" t="s">
        <v>164</v>
      </c>
      <c r="L46" s="321"/>
      <c r="M46" s="321"/>
      <c r="N46" s="321"/>
      <c r="O46" s="321" t="s">
        <v>101</v>
      </c>
      <c r="P46" s="462">
        <f t="shared" si="1"/>
        <v>2068000</v>
      </c>
      <c r="Q46" s="306">
        <f t="shared" si="2"/>
        <v>0</v>
      </c>
      <c r="R46" s="307">
        <f t="shared" si="3"/>
        <v>517000</v>
      </c>
      <c r="S46" s="307">
        <f t="shared" si="4"/>
        <v>517000</v>
      </c>
      <c r="T46" s="307">
        <f t="shared" si="5"/>
        <v>517000</v>
      </c>
      <c r="U46" s="308">
        <f t="shared" si="6"/>
        <v>517000</v>
      </c>
      <c r="V46" s="405"/>
      <c r="W46" s="317"/>
      <c r="X46" s="325"/>
      <c r="Y46" s="405"/>
      <c r="Z46" s="317"/>
      <c r="AA46" s="326">
        <v>517000</v>
      </c>
      <c r="AB46" s="308"/>
      <c r="AC46" s="309"/>
      <c r="AD46" s="311">
        <v>517000</v>
      </c>
      <c r="AE46" s="310"/>
      <c r="AF46" s="309"/>
      <c r="AG46" s="311">
        <v>517000</v>
      </c>
      <c r="AH46" s="310"/>
      <c r="AI46" s="309"/>
      <c r="AJ46" s="309">
        <v>517000</v>
      </c>
      <c r="AK46" s="322" t="s">
        <v>165</v>
      </c>
      <c r="AL46" s="312" t="s">
        <v>140</v>
      </c>
      <c r="AM46" s="322"/>
      <c r="AN46" s="388"/>
      <c r="AO46" s="379"/>
      <c r="AP46" s="269"/>
      <c r="AQ46" s="380"/>
      <c r="AR46" s="465"/>
    </row>
    <row r="47" spans="1:48" s="19" customFormat="1" ht="135" x14ac:dyDescent="0.25">
      <c r="A47" s="342" t="s">
        <v>2</v>
      </c>
      <c r="B47" s="320" t="s">
        <v>94</v>
      </c>
      <c r="C47" s="320"/>
      <c r="D47" s="321"/>
      <c r="E47" s="321" t="s">
        <v>159</v>
      </c>
      <c r="F47" s="321" t="s">
        <v>160</v>
      </c>
      <c r="G47" s="321" t="s">
        <v>161</v>
      </c>
      <c r="H47" s="321"/>
      <c r="I47" s="321" t="s">
        <v>166</v>
      </c>
      <c r="J47" s="321"/>
      <c r="K47" s="321" t="s">
        <v>167</v>
      </c>
      <c r="L47" s="321"/>
      <c r="M47" s="321"/>
      <c r="N47" s="321"/>
      <c r="O47" s="321" t="s">
        <v>101</v>
      </c>
      <c r="P47" s="462">
        <f t="shared" si="1"/>
        <v>2418000</v>
      </c>
      <c r="Q47" s="306">
        <f t="shared" si="2"/>
        <v>657000</v>
      </c>
      <c r="R47" s="307">
        <f t="shared" si="3"/>
        <v>584000</v>
      </c>
      <c r="S47" s="307">
        <f t="shared" si="4"/>
        <v>587000</v>
      </c>
      <c r="T47" s="307">
        <f t="shared" si="5"/>
        <v>590000</v>
      </c>
      <c r="U47" s="308">
        <f t="shared" si="6"/>
        <v>0</v>
      </c>
      <c r="V47" s="405">
        <v>235000</v>
      </c>
      <c r="W47" s="317">
        <v>65000</v>
      </c>
      <c r="X47" s="325">
        <v>357000</v>
      </c>
      <c r="Y47" s="405">
        <v>200000</v>
      </c>
      <c r="Z47" s="317">
        <v>67000</v>
      </c>
      <c r="AA47" s="326">
        <v>317000</v>
      </c>
      <c r="AB47" s="308">
        <v>250000</v>
      </c>
      <c r="AC47" s="309">
        <v>70000</v>
      </c>
      <c r="AD47" s="311">
        <v>267000</v>
      </c>
      <c r="AE47" s="310">
        <v>250000</v>
      </c>
      <c r="AF47" s="309">
        <v>73000</v>
      </c>
      <c r="AG47" s="311">
        <v>267000</v>
      </c>
      <c r="AH47" s="310"/>
      <c r="AI47" s="309"/>
      <c r="AJ47" s="309"/>
      <c r="AK47" s="322"/>
      <c r="AL47" s="312"/>
      <c r="AM47" s="322"/>
      <c r="AN47" s="388"/>
      <c r="AO47" s="379"/>
      <c r="AP47" s="269"/>
      <c r="AQ47" s="380"/>
      <c r="AR47" s="465"/>
    </row>
    <row r="48" spans="1:48" s="35" customFormat="1" ht="165" x14ac:dyDescent="0.25">
      <c r="A48" s="342" t="s">
        <v>2</v>
      </c>
      <c r="B48" s="320" t="s">
        <v>128</v>
      </c>
      <c r="C48" s="320"/>
      <c r="D48" s="321" t="s">
        <v>168</v>
      </c>
      <c r="E48" s="321" t="s">
        <v>96</v>
      </c>
      <c r="F48" s="321" t="s">
        <v>118</v>
      </c>
      <c r="G48" s="321" t="s">
        <v>105</v>
      </c>
      <c r="H48" s="321"/>
      <c r="I48" s="321" t="s">
        <v>169</v>
      </c>
      <c r="J48" s="321" t="s">
        <v>170</v>
      </c>
      <c r="K48" s="321" t="s">
        <v>171</v>
      </c>
      <c r="L48" s="321"/>
      <c r="M48" s="321"/>
      <c r="N48" s="321"/>
      <c r="O48" s="321" t="s">
        <v>101</v>
      </c>
      <c r="P48" s="462">
        <f t="shared" si="1"/>
        <v>624000</v>
      </c>
      <c r="Q48" s="306">
        <f t="shared" si="2"/>
        <v>0</v>
      </c>
      <c r="R48" s="307">
        <f t="shared" si="3"/>
        <v>156000</v>
      </c>
      <c r="S48" s="307">
        <f t="shared" si="4"/>
        <v>156000</v>
      </c>
      <c r="T48" s="307">
        <f t="shared" si="5"/>
        <v>156000</v>
      </c>
      <c r="U48" s="308">
        <f t="shared" si="6"/>
        <v>156000</v>
      </c>
      <c r="V48" s="405"/>
      <c r="W48" s="317"/>
      <c r="X48" s="325"/>
      <c r="Y48" s="405"/>
      <c r="Z48" s="317">
        <v>156000</v>
      </c>
      <c r="AA48" s="326"/>
      <c r="AB48" s="308"/>
      <c r="AC48" s="309">
        <v>156000</v>
      </c>
      <c r="AD48" s="311"/>
      <c r="AE48" s="310"/>
      <c r="AF48" s="309">
        <v>156000</v>
      </c>
      <c r="AG48" s="311"/>
      <c r="AH48" s="310"/>
      <c r="AI48" s="309">
        <v>156000</v>
      </c>
      <c r="AJ48" s="309"/>
      <c r="AK48" s="322" t="s">
        <v>172</v>
      </c>
      <c r="AL48" s="312" t="s">
        <v>111</v>
      </c>
      <c r="AM48" s="322"/>
      <c r="AN48" s="388"/>
      <c r="AO48" s="379"/>
      <c r="AP48" s="269"/>
      <c r="AQ48" s="380"/>
      <c r="AR48" s="465"/>
    </row>
    <row r="49" spans="1:44" s="19" customFormat="1" ht="120" x14ac:dyDescent="0.25">
      <c r="A49" s="342" t="s">
        <v>2</v>
      </c>
      <c r="B49" s="320" t="s">
        <v>128</v>
      </c>
      <c r="C49" s="320"/>
      <c r="D49" s="321" t="s">
        <v>168</v>
      </c>
      <c r="E49" s="321" t="s">
        <v>96</v>
      </c>
      <c r="F49" s="321" t="s">
        <v>142</v>
      </c>
      <c r="G49" s="321" t="s">
        <v>119</v>
      </c>
      <c r="H49" s="321"/>
      <c r="I49" s="321" t="s">
        <v>173</v>
      </c>
      <c r="J49" s="321" t="s">
        <v>174</v>
      </c>
      <c r="K49" s="321" t="s">
        <v>175</v>
      </c>
      <c r="L49" s="321"/>
      <c r="M49" s="321"/>
      <c r="N49" s="321"/>
      <c r="O49" s="321" t="s">
        <v>101</v>
      </c>
      <c r="P49" s="462">
        <f t="shared" si="1"/>
        <v>404400</v>
      </c>
      <c r="Q49" s="306">
        <f t="shared" si="2"/>
        <v>0</v>
      </c>
      <c r="R49" s="307">
        <f t="shared" si="3"/>
        <v>163600</v>
      </c>
      <c r="S49" s="307">
        <f t="shared" si="4"/>
        <v>113600</v>
      </c>
      <c r="T49" s="307">
        <f t="shared" si="5"/>
        <v>63600</v>
      </c>
      <c r="U49" s="308">
        <f t="shared" si="6"/>
        <v>63600</v>
      </c>
      <c r="V49" s="405"/>
      <c r="W49" s="317"/>
      <c r="X49" s="325"/>
      <c r="Y49" s="405">
        <v>163600</v>
      </c>
      <c r="Z49" s="317"/>
      <c r="AA49" s="326"/>
      <c r="AB49" s="308">
        <v>113600</v>
      </c>
      <c r="AC49" s="309"/>
      <c r="AD49" s="311"/>
      <c r="AE49" s="310">
        <v>63600</v>
      </c>
      <c r="AF49" s="309"/>
      <c r="AG49" s="311"/>
      <c r="AH49" s="310">
        <v>63600</v>
      </c>
      <c r="AI49" s="309"/>
      <c r="AJ49" s="309"/>
      <c r="AK49" s="322" t="s">
        <v>176</v>
      </c>
      <c r="AL49" s="312" t="s">
        <v>103</v>
      </c>
      <c r="AM49" s="322"/>
      <c r="AN49" s="388"/>
      <c r="AO49" s="379"/>
      <c r="AP49" s="269"/>
      <c r="AQ49" s="380"/>
      <c r="AR49" s="465"/>
    </row>
    <row r="50" spans="1:44" s="35" customFormat="1" ht="300" x14ac:dyDescent="0.25">
      <c r="A50" s="342" t="s">
        <v>2</v>
      </c>
      <c r="B50" s="320" t="s">
        <v>128</v>
      </c>
      <c r="C50" s="320"/>
      <c r="D50" s="321" t="s">
        <v>168</v>
      </c>
      <c r="E50" s="321" t="s">
        <v>96</v>
      </c>
      <c r="F50" s="321" t="s">
        <v>177</v>
      </c>
      <c r="G50" s="321" t="s">
        <v>119</v>
      </c>
      <c r="H50" s="321"/>
      <c r="I50" s="321" t="s">
        <v>178</v>
      </c>
      <c r="J50" s="321" t="s">
        <v>179</v>
      </c>
      <c r="K50" s="321" t="s">
        <v>180</v>
      </c>
      <c r="L50" s="321"/>
      <c r="M50" s="321"/>
      <c r="N50" s="321"/>
      <c r="O50" s="321" t="s">
        <v>101</v>
      </c>
      <c r="P50" s="462">
        <f t="shared" si="1"/>
        <v>810000</v>
      </c>
      <c r="Q50" s="306">
        <f t="shared" si="2"/>
        <v>0</v>
      </c>
      <c r="R50" s="307">
        <f t="shared" si="3"/>
        <v>0</v>
      </c>
      <c r="S50" s="307">
        <f t="shared" si="4"/>
        <v>270000</v>
      </c>
      <c r="T50" s="307">
        <f t="shared" si="5"/>
        <v>270000</v>
      </c>
      <c r="U50" s="308">
        <f t="shared" si="6"/>
        <v>270000</v>
      </c>
      <c r="V50" s="405"/>
      <c r="W50" s="317"/>
      <c r="X50" s="325"/>
      <c r="Y50" s="405"/>
      <c r="Z50" s="317"/>
      <c r="AA50" s="326"/>
      <c r="AB50" s="308"/>
      <c r="AC50" s="309">
        <v>270000</v>
      </c>
      <c r="AD50" s="311"/>
      <c r="AE50" s="310"/>
      <c r="AF50" s="309">
        <v>270000</v>
      </c>
      <c r="AG50" s="311"/>
      <c r="AH50" s="310"/>
      <c r="AI50" s="309">
        <v>270000</v>
      </c>
      <c r="AJ50" s="309"/>
      <c r="AK50" s="322" t="s">
        <v>181</v>
      </c>
      <c r="AL50" s="312" t="s">
        <v>103</v>
      </c>
      <c r="AM50" s="322"/>
      <c r="AN50" s="388"/>
      <c r="AO50" s="379"/>
      <c r="AP50" s="269"/>
      <c r="AQ50" s="380"/>
      <c r="AR50" s="465"/>
    </row>
    <row r="51" spans="1:44" s="35" customFormat="1" ht="120" x14ac:dyDescent="0.25">
      <c r="A51" s="342" t="s">
        <v>2</v>
      </c>
      <c r="B51" s="320" t="s">
        <v>128</v>
      </c>
      <c r="C51" s="320"/>
      <c r="D51" s="321" t="s">
        <v>168</v>
      </c>
      <c r="E51" s="321" t="s">
        <v>96</v>
      </c>
      <c r="F51" s="321" t="s">
        <v>177</v>
      </c>
      <c r="G51" s="321" t="s">
        <v>119</v>
      </c>
      <c r="H51" s="321"/>
      <c r="I51" s="321" t="s">
        <v>182</v>
      </c>
      <c r="J51" s="321" t="s">
        <v>183</v>
      </c>
      <c r="K51" s="321" t="s">
        <v>184</v>
      </c>
      <c r="L51" s="321"/>
      <c r="M51" s="321"/>
      <c r="N51" s="321"/>
      <c r="O51" s="321" t="s">
        <v>185</v>
      </c>
      <c r="P51" s="462">
        <f t="shared" si="1"/>
        <v>501380</v>
      </c>
      <c r="Q51" s="306">
        <f t="shared" si="2"/>
        <v>250690</v>
      </c>
      <c r="R51" s="307">
        <f t="shared" si="3"/>
        <v>250690</v>
      </c>
      <c r="S51" s="307">
        <f t="shared" si="4"/>
        <v>0</v>
      </c>
      <c r="T51" s="307">
        <f t="shared" si="5"/>
        <v>0</v>
      </c>
      <c r="U51" s="308">
        <f t="shared" si="6"/>
        <v>0</v>
      </c>
      <c r="V51" s="405"/>
      <c r="W51" s="317">
        <v>250690</v>
      </c>
      <c r="X51" s="325"/>
      <c r="Y51" s="405"/>
      <c r="Z51" s="317">
        <v>250690</v>
      </c>
      <c r="AA51" s="326"/>
      <c r="AB51" s="308"/>
      <c r="AC51" s="309"/>
      <c r="AD51" s="311"/>
      <c r="AE51" s="310"/>
      <c r="AF51" s="309"/>
      <c r="AG51" s="311"/>
      <c r="AH51" s="310"/>
      <c r="AI51" s="309"/>
      <c r="AJ51" s="309"/>
      <c r="AK51" s="322" t="s">
        <v>186</v>
      </c>
      <c r="AL51" s="312" t="s">
        <v>103</v>
      </c>
      <c r="AM51" s="322"/>
      <c r="AN51" s="388"/>
      <c r="AO51" s="379"/>
      <c r="AP51" s="269"/>
      <c r="AQ51" s="380"/>
      <c r="AR51" s="465"/>
    </row>
    <row r="52" spans="1:44" s="35" customFormat="1" ht="135" x14ac:dyDescent="0.25">
      <c r="A52" s="342" t="s">
        <v>2</v>
      </c>
      <c r="B52" s="320" t="s">
        <v>128</v>
      </c>
      <c r="C52" s="320"/>
      <c r="D52" s="321" t="s">
        <v>168</v>
      </c>
      <c r="E52" s="321" t="s">
        <v>96</v>
      </c>
      <c r="F52" s="321" t="s">
        <v>187</v>
      </c>
      <c r="G52" s="321" t="s">
        <v>119</v>
      </c>
      <c r="H52" s="321"/>
      <c r="I52" s="321" t="s">
        <v>188</v>
      </c>
      <c r="J52" s="321" t="s">
        <v>189</v>
      </c>
      <c r="K52" s="321" t="s">
        <v>180</v>
      </c>
      <c r="L52" s="321"/>
      <c r="M52" s="321"/>
      <c r="N52" s="321"/>
      <c r="O52" s="321" t="s">
        <v>101</v>
      </c>
      <c r="P52" s="462">
        <f t="shared" si="1"/>
        <v>3942871</v>
      </c>
      <c r="Q52" s="306">
        <f t="shared" si="2"/>
        <v>0</v>
      </c>
      <c r="R52" s="307">
        <f t="shared" si="3"/>
        <v>0</v>
      </c>
      <c r="S52" s="307">
        <f t="shared" si="4"/>
        <v>1182871</v>
      </c>
      <c r="T52" s="307">
        <f t="shared" si="5"/>
        <v>1390000</v>
      </c>
      <c r="U52" s="308">
        <f t="shared" si="6"/>
        <v>1370000</v>
      </c>
      <c r="V52" s="405"/>
      <c r="W52" s="317"/>
      <c r="X52" s="325"/>
      <c r="Y52" s="405"/>
      <c r="Z52" s="317"/>
      <c r="AA52" s="326"/>
      <c r="AB52" s="308">
        <v>1182871</v>
      </c>
      <c r="AC52" s="309"/>
      <c r="AD52" s="311"/>
      <c r="AE52" s="310">
        <v>1390000</v>
      </c>
      <c r="AF52" s="309"/>
      <c r="AG52" s="311"/>
      <c r="AH52" s="310">
        <v>1370000</v>
      </c>
      <c r="AI52" s="309"/>
      <c r="AJ52" s="309"/>
      <c r="AK52" s="322" t="s">
        <v>190</v>
      </c>
      <c r="AL52" s="312" t="s">
        <v>103</v>
      </c>
      <c r="AM52" s="322"/>
      <c r="AN52" s="388"/>
      <c r="AO52" s="379"/>
      <c r="AP52" s="269"/>
      <c r="AQ52" s="380"/>
      <c r="AR52" s="465"/>
    </row>
    <row r="53" spans="1:44" s="19" customFormat="1" ht="285" x14ac:dyDescent="0.25">
      <c r="A53" s="342" t="s">
        <v>2</v>
      </c>
      <c r="B53" s="320" t="s">
        <v>128</v>
      </c>
      <c r="C53" s="320"/>
      <c r="D53" s="321" t="s">
        <v>191</v>
      </c>
      <c r="E53" s="321" t="s">
        <v>96</v>
      </c>
      <c r="F53" s="321" t="s">
        <v>104</v>
      </c>
      <c r="G53" s="321" t="s">
        <v>119</v>
      </c>
      <c r="H53" s="321"/>
      <c r="I53" s="321" t="s">
        <v>192</v>
      </c>
      <c r="J53" s="321" t="s">
        <v>193</v>
      </c>
      <c r="K53" s="321" t="s">
        <v>194</v>
      </c>
      <c r="L53" s="321"/>
      <c r="M53" s="321"/>
      <c r="N53" s="321"/>
      <c r="O53" s="321" t="s">
        <v>101</v>
      </c>
      <c r="P53" s="462">
        <f t="shared" si="1"/>
        <v>633000</v>
      </c>
      <c r="Q53" s="306">
        <f t="shared" si="2"/>
        <v>0</v>
      </c>
      <c r="R53" s="307">
        <f t="shared" si="3"/>
        <v>0</v>
      </c>
      <c r="S53" s="307">
        <f t="shared" si="4"/>
        <v>211000</v>
      </c>
      <c r="T53" s="307">
        <f t="shared" si="5"/>
        <v>211000</v>
      </c>
      <c r="U53" s="308">
        <f t="shared" si="6"/>
        <v>211000</v>
      </c>
      <c r="V53" s="405"/>
      <c r="W53" s="317"/>
      <c r="X53" s="325"/>
      <c r="Y53" s="405"/>
      <c r="Z53" s="317"/>
      <c r="AA53" s="326"/>
      <c r="AB53" s="308"/>
      <c r="AC53" s="309">
        <v>211000</v>
      </c>
      <c r="AD53" s="311"/>
      <c r="AE53" s="310"/>
      <c r="AF53" s="309">
        <v>211000</v>
      </c>
      <c r="AG53" s="311"/>
      <c r="AH53" s="310"/>
      <c r="AI53" s="309">
        <v>211000</v>
      </c>
      <c r="AJ53" s="309"/>
      <c r="AK53" s="322" t="s">
        <v>195</v>
      </c>
      <c r="AL53" s="312" t="s">
        <v>103</v>
      </c>
      <c r="AM53" s="322"/>
      <c r="AN53" s="388"/>
      <c r="AO53" s="379"/>
      <c r="AP53" s="269"/>
      <c r="AQ53" s="380"/>
      <c r="AR53" s="465"/>
    </row>
    <row r="54" spans="1:44" s="35" customFormat="1" ht="165" x14ac:dyDescent="0.25">
      <c r="A54" s="342" t="s">
        <v>2</v>
      </c>
      <c r="B54" s="320" t="s">
        <v>128</v>
      </c>
      <c r="C54" s="320"/>
      <c r="D54" s="321" t="s">
        <v>191</v>
      </c>
      <c r="E54" s="321" t="s">
        <v>96</v>
      </c>
      <c r="F54" s="321" t="s">
        <v>104</v>
      </c>
      <c r="G54" s="321" t="s">
        <v>119</v>
      </c>
      <c r="H54" s="321"/>
      <c r="I54" s="321" t="s">
        <v>196</v>
      </c>
      <c r="J54" s="321" t="s">
        <v>197</v>
      </c>
      <c r="K54" s="321" t="s">
        <v>198</v>
      </c>
      <c r="L54" s="321"/>
      <c r="M54" s="321"/>
      <c r="N54" s="321"/>
      <c r="O54" s="321" t="s">
        <v>185</v>
      </c>
      <c r="P54" s="462">
        <f t="shared" si="1"/>
        <v>418000</v>
      </c>
      <c r="Q54" s="306">
        <f t="shared" si="2"/>
        <v>209000</v>
      </c>
      <c r="R54" s="307">
        <f t="shared" si="3"/>
        <v>209000</v>
      </c>
      <c r="S54" s="307">
        <f t="shared" si="4"/>
        <v>0</v>
      </c>
      <c r="T54" s="307">
        <f t="shared" si="5"/>
        <v>0</v>
      </c>
      <c r="U54" s="308">
        <f t="shared" si="6"/>
        <v>0</v>
      </c>
      <c r="V54" s="405"/>
      <c r="W54" s="317">
        <v>209000</v>
      </c>
      <c r="X54" s="325"/>
      <c r="Y54" s="405"/>
      <c r="Z54" s="317">
        <v>209000</v>
      </c>
      <c r="AA54" s="326"/>
      <c r="AB54" s="308"/>
      <c r="AC54" s="309"/>
      <c r="AD54" s="311"/>
      <c r="AE54" s="310"/>
      <c r="AF54" s="309"/>
      <c r="AG54" s="311"/>
      <c r="AH54" s="310"/>
      <c r="AI54" s="309"/>
      <c r="AJ54" s="309"/>
      <c r="AK54" s="322" t="s">
        <v>186</v>
      </c>
      <c r="AL54" s="312"/>
      <c r="AM54" s="322"/>
      <c r="AN54" s="388"/>
      <c r="AO54" s="379"/>
      <c r="AP54" s="269"/>
      <c r="AQ54" s="380"/>
      <c r="AR54" s="465"/>
    </row>
    <row r="55" spans="1:44" s="35" customFormat="1" ht="225" x14ac:dyDescent="0.25">
      <c r="A55" s="342" t="s">
        <v>2</v>
      </c>
      <c r="B55" s="320" t="s">
        <v>128</v>
      </c>
      <c r="C55" s="320"/>
      <c r="D55" s="321" t="s">
        <v>191</v>
      </c>
      <c r="E55" s="321" t="s">
        <v>96</v>
      </c>
      <c r="F55" s="321" t="s">
        <v>142</v>
      </c>
      <c r="G55" s="321" t="s">
        <v>119</v>
      </c>
      <c r="H55" s="321"/>
      <c r="I55" s="321" t="s">
        <v>199</v>
      </c>
      <c r="J55" s="321" t="s">
        <v>200</v>
      </c>
      <c r="K55" s="321" t="s">
        <v>201</v>
      </c>
      <c r="L55" s="321"/>
      <c r="M55" s="321"/>
      <c r="N55" s="321"/>
      <c r="O55" s="321" t="s">
        <v>101</v>
      </c>
      <c r="P55" s="462">
        <f t="shared" si="1"/>
        <v>436000</v>
      </c>
      <c r="Q55" s="306">
        <f t="shared" si="2"/>
        <v>0</v>
      </c>
      <c r="R55" s="307">
        <f t="shared" si="3"/>
        <v>109000</v>
      </c>
      <c r="S55" s="307">
        <f t="shared" si="4"/>
        <v>109000</v>
      </c>
      <c r="T55" s="307">
        <f t="shared" si="5"/>
        <v>109000</v>
      </c>
      <c r="U55" s="308">
        <f t="shared" si="6"/>
        <v>109000</v>
      </c>
      <c r="V55" s="405"/>
      <c r="W55" s="317"/>
      <c r="X55" s="325"/>
      <c r="Y55" s="412"/>
      <c r="Z55" s="411">
        <v>109000</v>
      </c>
      <c r="AA55" s="330"/>
      <c r="AB55" s="308"/>
      <c r="AC55" s="309">
        <v>109000</v>
      </c>
      <c r="AD55" s="311"/>
      <c r="AE55" s="310"/>
      <c r="AF55" s="309">
        <v>109000</v>
      </c>
      <c r="AG55" s="311"/>
      <c r="AH55" s="310"/>
      <c r="AI55" s="309">
        <v>109000</v>
      </c>
      <c r="AJ55" s="309"/>
      <c r="AK55" s="322" t="s">
        <v>202</v>
      </c>
      <c r="AL55" s="312" t="s">
        <v>103</v>
      </c>
      <c r="AM55" s="322"/>
      <c r="AN55" s="388"/>
      <c r="AO55" s="379"/>
      <c r="AP55" s="269"/>
      <c r="AQ55" s="380"/>
      <c r="AR55" s="465"/>
    </row>
    <row r="56" spans="1:44" s="19" customFormat="1" ht="120" x14ac:dyDescent="0.25">
      <c r="A56" s="342" t="s">
        <v>2</v>
      </c>
      <c r="B56" s="320" t="s">
        <v>128</v>
      </c>
      <c r="C56" s="320"/>
      <c r="D56" s="321" t="s">
        <v>191</v>
      </c>
      <c r="E56" s="321" t="s">
        <v>96</v>
      </c>
      <c r="F56" s="321" t="s">
        <v>142</v>
      </c>
      <c r="G56" s="321" t="s">
        <v>119</v>
      </c>
      <c r="H56" s="321"/>
      <c r="I56" s="321" t="s">
        <v>203</v>
      </c>
      <c r="J56" s="321" t="s">
        <v>204</v>
      </c>
      <c r="K56" s="321" t="s">
        <v>205</v>
      </c>
      <c r="L56" s="321"/>
      <c r="M56" s="321"/>
      <c r="N56" s="321"/>
      <c r="O56" s="321" t="s">
        <v>185</v>
      </c>
      <c r="P56" s="462">
        <f t="shared" si="1"/>
        <v>85000</v>
      </c>
      <c r="Q56" s="306">
        <f t="shared" si="2"/>
        <v>85000</v>
      </c>
      <c r="R56" s="307">
        <f t="shared" si="3"/>
        <v>0</v>
      </c>
      <c r="S56" s="307">
        <f t="shared" si="4"/>
        <v>0</v>
      </c>
      <c r="T56" s="307">
        <f t="shared" si="5"/>
        <v>0</v>
      </c>
      <c r="U56" s="308">
        <f t="shared" si="6"/>
        <v>0</v>
      </c>
      <c r="V56" s="405"/>
      <c r="W56" s="317">
        <v>85000</v>
      </c>
      <c r="X56" s="325"/>
      <c r="Y56" s="412"/>
      <c r="Z56" s="411"/>
      <c r="AA56" s="330"/>
      <c r="AB56" s="308"/>
      <c r="AC56" s="309"/>
      <c r="AD56" s="311"/>
      <c r="AE56" s="310"/>
      <c r="AF56" s="309"/>
      <c r="AG56" s="311"/>
      <c r="AH56" s="310"/>
      <c r="AI56" s="309"/>
      <c r="AJ56" s="309"/>
      <c r="AK56" s="322" t="s">
        <v>206</v>
      </c>
      <c r="AL56" s="312" t="s">
        <v>103</v>
      </c>
      <c r="AM56" s="322"/>
      <c r="AN56" s="388"/>
      <c r="AO56" s="379"/>
      <c r="AP56" s="269"/>
      <c r="AQ56" s="380"/>
      <c r="AR56" s="465"/>
    </row>
    <row r="57" spans="1:44" s="35" customFormat="1" ht="150" x14ac:dyDescent="0.25">
      <c r="A57" s="342" t="s">
        <v>2</v>
      </c>
      <c r="B57" s="320" t="s">
        <v>128</v>
      </c>
      <c r="C57" s="320"/>
      <c r="D57" s="321" t="s">
        <v>129</v>
      </c>
      <c r="E57" s="321" t="s">
        <v>96</v>
      </c>
      <c r="F57" s="321" t="s">
        <v>130</v>
      </c>
      <c r="G57" s="321" t="s">
        <v>119</v>
      </c>
      <c r="H57" s="321"/>
      <c r="I57" s="321" t="s">
        <v>207</v>
      </c>
      <c r="J57" s="321" t="s">
        <v>208</v>
      </c>
      <c r="K57" s="321" t="s">
        <v>209</v>
      </c>
      <c r="L57" s="321"/>
      <c r="M57" s="321"/>
      <c r="N57" s="321"/>
      <c r="O57" s="321" t="s">
        <v>101</v>
      </c>
      <c r="P57" s="462">
        <f t="shared" si="1"/>
        <v>868000</v>
      </c>
      <c r="Q57" s="306">
        <f t="shared" si="2"/>
        <v>0</v>
      </c>
      <c r="R57" s="307">
        <f t="shared" si="3"/>
        <v>217000</v>
      </c>
      <c r="S57" s="307">
        <f t="shared" si="4"/>
        <v>217000</v>
      </c>
      <c r="T57" s="307">
        <f t="shared" si="5"/>
        <v>217000</v>
      </c>
      <c r="U57" s="308">
        <f t="shared" si="6"/>
        <v>217000</v>
      </c>
      <c r="V57" s="405"/>
      <c r="W57" s="317"/>
      <c r="X57" s="325"/>
      <c r="Y57" s="412"/>
      <c r="Z57" s="411">
        <v>217000</v>
      </c>
      <c r="AA57" s="330"/>
      <c r="AB57" s="308"/>
      <c r="AC57" s="309">
        <v>217000</v>
      </c>
      <c r="AD57" s="311"/>
      <c r="AE57" s="310"/>
      <c r="AF57" s="309">
        <v>217000</v>
      </c>
      <c r="AG57" s="311"/>
      <c r="AH57" s="310"/>
      <c r="AI57" s="309">
        <v>217000</v>
      </c>
      <c r="AJ57" s="309"/>
      <c r="AK57" s="322" t="s">
        <v>210</v>
      </c>
      <c r="AL57" s="312" t="s">
        <v>103</v>
      </c>
      <c r="AM57" s="322"/>
      <c r="AN57" s="388"/>
      <c r="AO57" s="379"/>
      <c r="AP57" s="269"/>
      <c r="AQ57" s="380"/>
      <c r="AR57" s="465"/>
    </row>
    <row r="58" spans="1:44" s="19" customFormat="1" ht="105" x14ac:dyDescent="0.25">
      <c r="A58" s="342" t="s">
        <v>2</v>
      </c>
      <c r="B58" s="320" t="s">
        <v>128</v>
      </c>
      <c r="C58" s="320"/>
      <c r="D58" s="321" t="s">
        <v>129</v>
      </c>
      <c r="E58" s="321" t="s">
        <v>96</v>
      </c>
      <c r="F58" s="321" t="s">
        <v>130</v>
      </c>
      <c r="G58" s="321" t="s">
        <v>119</v>
      </c>
      <c r="H58" s="321"/>
      <c r="I58" s="321" t="s">
        <v>211</v>
      </c>
      <c r="J58" s="321" t="s">
        <v>212</v>
      </c>
      <c r="K58" s="321" t="s">
        <v>213</v>
      </c>
      <c r="L58" s="321"/>
      <c r="M58" s="321"/>
      <c r="N58" s="321"/>
      <c r="O58" s="321" t="s">
        <v>214</v>
      </c>
      <c r="P58" s="462">
        <f t="shared" si="1"/>
        <v>45000</v>
      </c>
      <c r="Q58" s="306">
        <f t="shared" si="2"/>
        <v>45000</v>
      </c>
      <c r="R58" s="307">
        <f t="shared" si="3"/>
        <v>0</v>
      </c>
      <c r="S58" s="307">
        <f t="shared" si="4"/>
        <v>0</v>
      </c>
      <c r="T58" s="307">
        <f t="shared" si="5"/>
        <v>0</v>
      </c>
      <c r="U58" s="308">
        <f t="shared" si="6"/>
        <v>0</v>
      </c>
      <c r="V58" s="405"/>
      <c r="W58" s="317">
        <v>45000</v>
      </c>
      <c r="X58" s="325"/>
      <c r="Y58" s="412"/>
      <c r="Z58" s="411"/>
      <c r="AA58" s="330"/>
      <c r="AB58" s="308"/>
      <c r="AC58" s="309"/>
      <c r="AD58" s="311"/>
      <c r="AE58" s="310"/>
      <c r="AF58" s="309"/>
      <c r="AG58" s="311"/>
      <c r="AH58" s="310"/>
      <c r="AI58" s="309"/>
      <c r="AJ58" s="309"/>
      <c r="AK58" s="322" t="s">
        <v>215</v>
      </c>
      <c r="AL58" s="312"/>
      <c r="AM58" s="322"/>
      <c r="AN58" s="388"/>
      <c r="AO58" s="379"/>
      <c r="AP58" s="269"/>
      <c r="AQ58" s="380"/>
      <c r="AR58" s="465"/>
    </row>
    <row r="59" spans="1:44" s="35" customFormat="1" ht="15.75" x14ac:dyDescent="0.25">
      <c r="A59" s="342"/>
      <c r="B59" s="320"/>
      <c r="C59" s="320"/>
      <c r="D59" s="321"/>
      <c r="E59" s="321"/>
      <c r="F59" s="321"/>
      <c r="G59" s="321"/>
      <c r="H59" s="321"/>
      <c r="I59" s="321"/>
      <c r="J59" s="321"/>
      <c r="K59" s="321"/>
      <c r="L59" s="321"/>
      <c r="M59" s="321"/>
      <c r="N59" s="321"/>
      <c r="O59" s="321"/>
      <c r="P59" s="462">
        <f t="shared" si="1"/>
        <v>0</v>
      </c>
      <c r="Q59" s="306">
        <f t="shared" si="2"/>
        <v>0</v>
      </c>
      <c r="R59" s="307">
        <f t="shared" si="3"/>
        <v>0</v>
      </c>
      <c r="S59" s="307">
        <f t="shared" si="4"/>
        <v>0</v>
      </c>
      <c r="T59" s="307">
        <f t="shared" si="5"/>
        <v>0</v>
      </c>
      <c r="U59" s="308">
        <f t="shared" si="6"/>
        <v>0</v>
      </c>
      <c r="V59" s="405"/>
      <c r="W59" s="317"/>
      <c r="X59" s="325"/>
      <c r="Y59" s="412"/>
      <c r="Z59" s="411"/>
      <c r="AA59" s="330"/>
      <c r="AB59" s="308"/>
      <c r="AC59" s="309"/>
      <c r="AD59" s="311"/>
      <c r="AE59" s="310"/>
      <c r="AF59" s="309"/>
      <c r="AG59" s="311"/>
      <c r="AH59" s="310"/>
      <c r="AI59" s="309"/>
      <c r="AJ59" s="309"/>
      <c r="AK59" s="322"/>
      <c r="AL59" s="312"/>
      <c r="AM59" s="322"/>
      <c r="AN59" s="388"/>
      <c r="AO59" s="379"/>
      <c r="AP59" s="269"/>
      <c r="AQ59" s="380"/>
      <c r="AR59" s="465"/>
    </row>
    <row r="60" spans="1:44" s="35" customFormat="1" ht="15.75" x14ac:dyDescent="0.25">
      <c r="A60" s="342"/>
      <c r="B60" s="320"/>
      <c r="C60" s="320"/>
      <c r="D60" s="321"/>
      <c r="E60" s="321"/>
      <c r="F60" s="321"/>
      <c r="G60" s="321"/>
      <c r="H60" s="321"/>
      <c r="I60" s="321"/>
      <c r="J60" s="321"/>
      <c r="K60" s="321"/>
      <c r="L60" s="321"/>
      <c r="M60" s="321"/>
      <c r="N60" s="321"/>
      <c r="O60" s="321"/>
      <c r="P60" s="462">
        <f t="shared" si="1"/>
        <v>0</v>
      </c>
      <c r="Q60" s="306">
        <f t="shared" si="2"/>
        <v>0</v>
      </c>
      <c r="R60" s="307">
        <f t="shared" si="3"/>
        <v>0</v>
      </c>
      <c r="S60" s="307">
        <f t="shared" si="4"/>
        <v>0</v>
      </c>
      <c r="T60" s="307">
        <f t="shared" si="5"/>
        <v>0</v>
      </c>
      <c r="U60" s="308">
        <f t="shared" si="6"/>
        <v>0</v>
      </c>
      <c r="V60" s="405"/>
      <c r="W60" s="317"/>
      <c r="X60" s="325"/>
      <c r="Y60" s="412"/>
      <c r="Z60" s="411"/>
      <c r="AA60" s="330"/>
      <c r="AB60" s="308"/>
      <c r="AC60" s="309"/>
      <c r="AD60" s="311"/>
      <c r="AE60" s="310"/>
      <c r="AF60" s="309"/>
      <c r="AG60" s="311"/>
      <c r="AH60" s="310"/>
      <c r="AI60" s="309"/>
      <c r="AJ60" s="309"/>
      <c r="AK60" s="322"/>
      <c r="AL60" s="312"/>
      <c r="AM60" s="322"/>
      <c r="AN60" s="388"/>
      <c r="AO60" s="379"/>
      <c r="AP60" s="269"/>
      <c r="AQ60" s="380"/>
      <c r="AR60" s="465"/>
    </row>
    <row r="61" spans="1:44" s="35" customFormat="1" ht="15.75" x14ac:dyDescent="0.25">
      <c r="A61" s="342"/>
      <c r="B61" s="320"/>
      <c r="C61" s="320"/>
      <c r="D61" s="321"/>
      <c r="E61" s="321"/>
      <c r="F61" s="321"/>
      <c r="G61" s="321"/>
      <c r="H61" s="321"/>
      <c r="I61" s="321"/>
      <c r="J61" s="321"/>
      <c r="K61" s="321"/>
      <c r="L61" s="321"/>
      <c r="M61" s="321"/>
      <c r="N61" s="321"/>
      <c r="O61" s="321"/>
      <c r="P61" s="462">
        <f t="shared" si="1"/>
        <v>0</v>
      </c>
      <c r="Q61" s="306">
        <f t="shared" si="2"/>
        <v>0</v>
      </c>
      <c r="R61" s="307">
        <f t="shared" si="3"/>
        <v>0</v>
      </c>
      <c r="S61" s="307">
        <f t="shared" si="4"/>
        <v>0</v>
      </c>
      <c r="T61" s="307">
        <f t="shared" si="5"/>
        <v>0</v>
      </c>
      <c r="U61" s="308">
        <f t="shared" si="6"/>
        <v>0</v>
      </c>
      <c r="V61" s="405"/>
      <c r="W61" s="317"/>
      <c r="X61" s="325"/>
      <c r="Y61" s="412"/>
      <c r="Z61" s="411"/>
      <c r="AA61" s="330"/>
      <c r="AB61" s="308"/>
      <c r="AC61" s="309"/>
      <c r="AD61" s="311"/>
      <c r="AE61" s="310"/>
      <c r="AF61" s="309"/>
      <c r="AG61" s="311"/>
      <c r="AH61" s="310"/>
      <c r="AI61" s="309"/>
      <c r="AJ61" s="309"/>
      <c r="AK61" s="322"/>
      <c r="AL61" s="312"/>
      <c r="AM61" s="322"/>
      <c r="AN61" s="388"/>
      <c r="AO61" s="379"/>
      <c r="AP61" s="269"/>
      <c r="AQ61" s="380"/>
      <c r="AR61" s="465"/>
    </row>
    <row r="62" spans="1:44" s="35" customFormat="1" ht="15.75" x14ac:dyDescent="0.25">
      <c r="A62" s="342"/>
      <c r="B62" s="320"/>
      <c r="C62" s="320"/>
      <c r="D62" s="321"/>
      <c r="E62" s="321"/>
      <c r="F62" s="321"/>
      <c r="G62" s="321"/>
      <c r="H62" s="321"/>
      <c r="I62" s="321"/>
      <c r="J62" s="321"/>
      <c r="K62" s="321"/>
      <c r="L62" s="321"/>
      <c r="M62" s="321"/>
      <c r="N62" s="321"/>
      <c r="O62" s="321"/>
      <c r="P62" s="462">
        <f t="shared" si="1"/>
        <v>0</v>
      </c>
      <c r="Q62" s="306">
        <f t="shared" si="2"/>
        <v>0</v>
      </c>
      <c r="R62" s="307">
        <f t="shared" si="3"/>
        <v>0</v>
      </c>
      <c r="S62" s="307">
        <f t="shared" si="4"/>
        <v>0</v>
      </c>
      <c r="T62" s="307">
        <f t="shared" si="5"/>
        <v>0</v>
      </c>
      <c r="U62" s="308">
        <f t="shared" si="6"/>
        <v>0</v>
      </c>
      <c r="V62" s="405"/>
      <c r="W62" s="317"/>
      <c r="X62" s="325"/>
      <c r="Y62" s="412"/>
      <c r="Z62" s="411"/>
      <c r="AA62" s="330"/>
      <c r="AB62" s="308"/>
      <c r="AC62" s="309"/>
      <c r="AD62" s="311"/>
      <c r="AE62" s="310"/>
      <c r="AF62" s="309"/>
      <c r="AG62" s="311"/>
      <c r="AH62" s="310"/>
      <c r="AI62" s="309"/>
      <c r="AJ62" s="309"/>
      <c r="AK62" s="322"/>
      <c r="AL62" s="312"/>
      <c r="AM62" s="322"/>
      <c r="AN62" s="388"/>
      <c r="AO62" s="379"/>
      <c r="AP62" s="269"/>
      <c r="AQ62" s="380"/>
      <c r="AR62" s="465"/>
    </row>
    <row r="63" spans="1:44" s="35" customFormat="1" ht="15.75" x14ac:dyDescent="0.25">
      <c r="A63" s="342"/>
      <c r="B63" s="320"/>
      <c r="C63" s="320"/>
      <c r="D63" s="321"/>
      <c r="E63" s="321"/>
      <c r="F63" s="321"/>
      <c r="G63" s="321"/>
      <c r="H63" s="321"/>
      <c r="I63" s="321"/>
      <c r="J63" s="321"/>
      <c r="K63" s="321"/>
      <c r="L63" s="321"/>
      <c r="M63" s="321"/>
      <c r="N63" s="321"/>
      <c r="O63" s="321"/>
      <c r="P63" s="462">
        <f t="shared" si="1"/>
        <v>0</v>
      </c>
      <c r="Q63" s="306">
        <f t="shared" si="2"/>
        <v>0</v>
      </c>
      <c r="R63" s="307">
        <f t="shared" si="3"/>
        <v>0</v>
      </c>
      <c r="S63" s="307">
        <f t="shared" si="4"/>
        <v>0</v>
      </c>
      <c r="T63" s="307">
        <f t="shared" si="5"/>
        <v>0</v>
      </c>
      <c r="U63" s="308">
        <f t="shared" si="6"/>
        <v>0</v>
      </c>
      <c r="V63" s="405"/>
      <c r="W63" s="317"/>
      <c r="X63" s="325"/>
      <c r="Y63" s="412"/>
      <c r="Z63" s="411"/>
      <c r="AA63" s="330"/>
      <c r="AB63" s="308"/>
      <c r="AC63" s="309"/>
      <c r="AD63" s="311"/>
      <c r="AE63" s="310"/>
      <c r="AF63" s="309"/>
      <c r="AG63" s="311"/>
      <c r="AH63" s="310"/>
      <c r="AI63" s="309"/>
      <c r="AJ63" s="311"/>
      <c r="AK63" s="322"/>
      <c r="AL63" s="312"/>
      <c r="AM63" s="322"/>
      <c r="AN63" s="388"/>
      <c r="AO63" s="379"/>
      <c r="AP63" s="269"/>
      <c r="AQ63" s="380"/>
      <c r="AR63" s="465"/>
    </row>
    <row r="64" spans="1:44" s="19" customFormat="1" ht="15.75" x14ac:dyDescent="0.25">
      <c r="A64" s="342"/>
      <c r="B64" s="320"/>
      <c r="C64" s="320"/>
      <c r="D64" s="321"/>
      <c r="E64" s="321"/>
      <c r="F64" s="321"/>
      <c r="G64" s="321"/>
      <c r="H64" s="321"/>
      <c r="I64" s="321"/>
      <c r="J64" s="321"/>
      <c r="K64" s="321"/>
      <c r="L64" s="321"/>
      <c r="M64" s="321"/>
      <c r="N64" s="321"/>
      <c r="O64" s="321"/>
      <c r="P64" s="462">
        <f t="shared" si="1"/>
        <v>0</v>
      </c>
      <c r="Q64" s="306">
        <f t="shared" si="2"/>
        <v>0</v>
      </c>
      <c r="R64" s="307">
        <f t="shared" si="3"/>
        <v>0</v>
      </c>
      <c r="S64" s="307">
        <f t="shared" si="4"/>
        <v>0</v>
      </c>
      <c r="T64" s="307">
        <f t="shared" si="5"/>
        <v>0</v>
      </c>
      <c r="U64" s="308">
        <f t="shared" si="6"/>
        <v>0</v>
      </c>
      <c r="V64" s="405"/>
      <c r="W64" s="317"/>
      <c r="X64" s="325"/>
      <c r="Y64" s="412"/>
      <c r="Z64" s="411"/>
      <c r="AA64" s="330"/>
      <c r="AB64" s="308"/>
      <c r="AC64" s="309"/>
      <c r="AD64" s="311"/>
      <c r="AE64" s="310"/>
      <c r="AF64" s="309"/>
      <c r="AG64" s="311"/>
      <c r="AH64" s="310"/>
      <c r="AI64" s="309"/>
      <c r="AJ64" s="309"/>
      <c r="AK64" s="322"/>
      <c r="AL64" s="312"/>
      <c r="AM64" s="322"/>
      <c r="AN64" s="388"/>
      <c r="AO64" s="379"/>
      <c r="AP64" s="269"/>
      <c r="AQ64" s="380"/>
      <c r="AR64" s="465"/>
    </row>
    <row r="65" spans="1:44" s="19" customFormat="1" ht="15.75" x14ac:dyDescent="0.25">
      <c r="A65" s="342"/>
      <c r="B65" s="320"/>
      <c r="C65" s="320"/>
      <c r="D65" s="321"/>
      <c r="E65" s="321"/>
      <c r="F65" s="321"/>
      <c r="G65" s="321"/>
      <c r="H65" s="321"/>
      <c r="I65" s="321"/>
      <c r="J65" s="321"/>
      <c r="K65" s="321"/>
      <c r="L65" s="321"/>
      <c r="M65" s="321"/>
      <c r="N65" s="321"/>
      <c r="O65" s="321"/>
      <c r="P65" s="462">
        <f t="shared" si="1"/>
        <v>0</v>
      </c>
      <c r="Q65" s="306">
        <f t="shared" si="2"/>
        <v>0</v>
      </c>
      <c r="R65" s="307">
        <f t="shared" si="3"/>
        <v>0</v>
      </c>
      <c r="S65" s="307">
        <f t="shared" si="4"/>
        <v>0</v>
      </c>
      <c r="T65" s="307">
        <f t="shared" si="5"/>
        <v>0</v>
      </c>
      <c r="U65" s="308">
        <f t="shared" si="6"/>
        <v>0</v>
      </c>
      <c r="V65" s="405"/>
      <c r="W65" s="317"/>
      <c r="X65" s="325"/>
      <c r="Y65" s="412"/>
      <c r="Z65" s="411"/>
      <c r="AA65" s="330"/>
      <c r="AB65" s="308"/>
      <c r="AC65" s="309"/>
      <c r="AD65" s="311"/>
      <c r="AE65" s="310"/>
      <c r="AF65" s="309"/>
      <c r="AG65" s="311"/>
      <c r="AH65" s="310"/>
      <c r="AI65" s="309"/>
      <c r="AJ65" s="309"/>
      <c r="AK65" s="322"/>
      <c r="AL65" s="312"/>
      <c r="AM65" s="322"/>
      <c r="AN65" s="388"/>
      <c r="AO65" s="379"/>
      <c r="AP65" s="269"/>
      <c r="AQ65" s="380"/>
      <c r="AR65" s="465"/>
    </row>
    <row r="66" spans="1:44" s="19" customFormat="1" ht="15.75" x14ac:dyDescent="0.25">
      <c r="A66" s="342"/>
      <c r="B66" s="320"/>
      <c r="C66" s="320"/>
      <c r="D66" s="321"/>
      <c r="E66" s="321"/>
      <c r="F66" s="321"/>
      <c r="G66" s="321"/>
      <c r="H66" s="321"/>
      <c r="I66" s="321"/>
      <c r="J66" s="321"/>
      <c r="K66" s="321"/>
      <c r="L66" s="321"/>
      <c r="M66" s="321"/>
      <c r="N66" s="321"/>
      <c r="O66" s="321"/>
      <c r="P66" s="462">
        <f t="shared" si="1"/>
        <v>0</v>
      </c>
      <c r="Q66" s="306">
        <f t="shared" si="2"/>
        <v>0</v>
      </c>
      <c r="R66" s="307">
        <f t="shared" si="3"/>
        <v>0</v>
      </c>
      <c r="S66" s="307">
        <f t="shared" si="4"/>
        <v>0</v>
      </c>
      <c r="T66" s="307">
        <f t="shared" si="5"/>
        <v>0</v>
      </c>
      <c r="U66" s="308">
        <f t="shared" si="6"/>
        <v>0</v>
      </c>
      <c r="V66" s="405"/>
      <c r="W66" s="317"/>
      <c r="X66" s="325"/>
      <c r="Y66" s="412"/>
      <c r="Z66" s="411"/>
      <c r="AA66" s="330"/>
      <c r="AB66" s="308"/>
      <c r="AC66" s="309"/>
      <c r="AD66" s="311"/>
      <c r="AE66" s="310"/>
      <c r="AF66" s="309"/>
      <c r="AG66" s="311"/>
      <c r="AH66" s="310"/>
      <c r="AI66" s="309"/>
      <c r="AJ66" s="309"/>
      <c r="AK66" s="322"/>
      <c r="AL66" s="312"/>
      <c r="AM66" s="386"/>
      <c r="AN66" s="388"/>
      <c r="AO66" s="379"/>
      <c r="AP66" s="269"/>
      <c r="AQ66" s="380"/>
      <c r="AR66" s="465"/>
    </row>
    <row r="67" spans="1:44" s="19" customFormat="1" ht="15.75" x14ac:dyDescent="0.25">
      <c r="A67" s="342"/>
      <c r="B67" s="320"/>
      <c r="C67" s="320"/>
      <c r="D67" s="321"/>
      <c r="E67" s="321"/>
      <c r="F67" s="321"/>
      <c r="G67" s="321"/>
      <c r="H67" s="321"/>
      <c r="I67" s="321"/>
      <c r="J67" s="320"/>
      <c r="K67" s="321"/>
      <c r="L67" s="321"/>
      <c r="M67" s="321"/>
      <c r="N67" s="321"/>
      <c r="O67" s="321"/>
      <c r="P67" s="462">
        <f t="shared" ref="P67:P94" si="7">SUM(Q67:U67)</f>
        <v>0</v>
      </c>
      <c r="Q67" s="306">
        <f t="shared" si="2"/>
        <v>0</v>
      </c>
      <c r="R67" s="307">
        <f t="shared" ref="R67:R94" si="8">SUM(Y67:AA67)</f>
        <v>0</v>
      </c>
      <c r="S67" s="307">
        <f t="shared" ref="S67:S94" si="9">SUM(AB67:AD67)</f>
        <v>0</v>
      </c>
      <c r="T67" s="307">
        <f t="shared" ref="T67:T94" si="10">SUM(AE67:AG67)</f>
        <v>0</v>
      </c>
      <c r="U67" s="308">
        <f t="shared" ref="U67:U94" si="11">SUM(AH67:AJ67)</f>
        <v>0</v>
      </c>
      <c r="V67" s="405"/>
      <c r="W67" s="317"/>
      <c r="X67" s="325"/>
      <c r="Y67" s="412"/>
      <c r="Z67" s="411"/>
      <c r="AA67" s="330"/>
      <c r="AB67" s="308"/>
      <c r="AC67" s="309"/>
      <c r="AD67" s="311"/>
      <c r="AE67" s="310"/>
      <c r="AF67" s="309"/>
      <c r="AG67" s="311"/>
      <c r="AH67" s="310"/>
      <c r="AI67" s="309"/>
      <c r="AJ67" s="309"/>
      <c r="AK67" s="322"/>
      <c r="AL67" s="312"/>
      <c r="AM67" s="386"/>
      <c r="AN67" s="388"/>
      <c r="AO67" s="379"/>
      <c r="AP67" s="269"/>
      <c r="AQ67" s="380"/>
      <c r="AR67" s="465"/>
    </row>
    <row r="68" spans="1:44" s="19" customFormat="1" ht="15.75" x14ac:dyDescent="0.25">
      <c r="A68" s="342"/>
      <c r="B68" s="320"/>
      <c r="C68" s="320"/>
      <c r="D68" s="321"/>
      <c r="E68" s="321"/>
      <c r="F68" s="321"/>
      <c r="G68" s="321"/>
      <c r="H68" s="323"/>
      <c r="I68" s="323"/>
      <c r="J68" s="324"/>
      <c r="K68" s="323"/>
      <c r="L68" s="323"/>
      <c r="M68" s="323"/>
      <c r="N68" s="323"/>
      <c r="O68" s="323"/>
      <c r="P68" s="462">
        <f t="shared" si="7"/>
        <v>0</v>
      </c>
      <c r="Q68" s="306">
        <f t="shared" si="2"/>
        <v>0</v>
      </c>
      <c r="R68" s="307">
        <f t="shared" si="8"/>
        <v>0</v>
      </c>
      <c r="S68" s="307">
        <f t="shared" si="9"/>
        <v>0</v>
      </c>
      <c r="T68" s="307">
        <f t="shared" si="10"/>
        <v>0</v>
      </c>
      <c r="U68" s="308">
        <f t="shared" si="11"/>
        <v>0</v>
      </c>
      <c r="V68" s="405"/>
      <c r="W68" s="317"/>
      <c r="X68" s="325"/>
      <c r="Y68" s="412"/>
      <c r="Z68" s="411"/>
      <c r="AA68" s="330"/>
      <c r="AB68" s="327"/>
      <c r="AC68" s="328"/>
      <c r="AD68" s="330"/>
      <c r="AE68" s="329"/>
      <c r="AF68" s="328"/>
      <c r="AG68" s="330"/>
      <c r="AH68" s="329"/>
      <c r="AI68" s="328"/>
      <c r="AJ68" s="328"/>
      <c r="AK68" s="386"/>
      <c r="AL68" s="312"/>
      <c r="AM68" s="386"/>
      <c r="AN68" s="388"/>
      <c r="AO68" s="379"/>
      <c r="AP68" s="269"/>
      <c r="AQ68" s="380"/>
      <c r="AR68" s="465"/>
    </row>
    <row r="69" spans="1:44" s="19" customFormat="1" ht="15.75" x14ac:dyDescent="0.25">
      <c r="A69" s="342"/>
      <c r="B69" s="320"/>
      <c r="C69" s="320"/>
      <c r="D69" s="321"/>
      <c r="E69" s="321"/>
      <c r="F69" s="321"/>
      <c r="G69" s="321"/>
      <c r="H69" s="323"/>
      <c r="I69" s="323"/>
      <c r="J69" s="324"/>
      <c r="K69" s="323"/>
      <c r="L69" s="323"/>
      <c r="M69" s="323"/>
      <c r="N69" s="323"/>
      <c r="O69" s="323"/>
      <c r="P69" s="462">
        <f t="shared" si="7"/>
        <v>0</v>
      </c>
      <c r="Q69" s="306">
        <f t="shared" si="2"/>
        <v>0</v>
      </c>
      <c r="R69" s="307">
        <f t="shared" si="8"/>
        <v>0</v>
      </c>
      <c r="S69" s="307">
        <f t="shared" si="9"/>
        <v>0</v>
      </c>
      <c r="T69" s="307">
        <f t="shared" si="10"/>
        <v>0</v>
      </c>
      <c r="U69" s="308">
        <f t="shared" si="11"/>
        <v>0</v>
      </c>
      <c r="V69" s="405"/>
      <c r="W69" s="317"/>
      <c r="X69" s="325"/>
      <c r="Y69" s="412"/>
      <c r="Z69" s="411"/>
      <c r="AA69" s="330"/>
      <c r="AB69" s="327"/>
      <c r="AC69" s="328"/>
      <c r="AD69" s="330"/>
      <c r="AE69" s="329"/>
      <c r="AF69" s="328"/>
      <c r="AG69" s="330"/>
      <c r="AH69" s="329"/>
      <c r="AI69" s="328"/>
      <c r="AJ69" s="328"/>
      <c r="AK69" s="386"/>
      <c r="AL69" s="312"/>
      <c r="AM69" s="386"/>
      <c r="AN69" s="388"/>
      <c r="AO69" s="379"/>
      <c r="AP69" s="269"/>
      <c r="AQ69" s="380"/>
      <c r="AR69" s="465"/>
    </row>
    <row r="70" spans="1:44" s="35" customFormat="1" ht="15.75" x14ac:dyDescent="0.25">
      <c r="A70" s="342"/>
      <c r="B70" s="320"/>
      <c r="C70" s="320"/>
      <c r="D70" s="321"/>
      <c r="E70" s="321"/>
      <c r="F70" s="321"/>
      <c r="G70" s="321"/>
      <c r="H70" s="321"/>
      <c r="I70" s="321"/>
      <c r="J70" s="341"/>
      <c r="K70" s="321"/>
      <c r="L70" s="321"/>
      <c r="M70" s="321"/>
      <c r="N70" s="321"/>
      <c r="O70" s="321"/>
      <c r="P70" s="462">
        <f t="shared" si="7"/>
        <v>0</v>
      </c>
      <c r="Q70" s="306">
        <f t="shared" si="2"/>
        <v>0</v>
      </c>
      <c r="R70" s="307">
        <f t="shared" si="8"/>
        <v>0</v>
      </c>
      <c r="S70" s="307">
        <f t="shared" si="9"/>
        <v>0</v>
      </c>
      <c r="T70" s="307">
        <f t="shared" si="10"/>
        <v>0</v>
      </c>
      <c r="U70" s="308">
        <f t="shared" si="11"/>
        <v>0</v>
      </c>
      <c r="V70" s="405"/>
      <c r="W70" s="317"/>
      <c r="X70" s="325"/>
      <c r="Y70" s="412"/>
      <c r="Z70" s="411"/>
      <c r="AA70" s="330"/>
      <c r="AB70" s="308"/>
      <c r="AC70" s="309"/>
      <c r="AD70" s="311"/>
      <c r="AE70" s="310"/>
      <c r="AF70" s="309"/>
      <c r="AG70" s="311"/>
      <c r="AH70" s="310"/>
      <c r="AI70" s="309"/>
      <c r="AJ70" s="309"/>
      <c r="AK70" s="322"/>
      <c r="AL70" s="312"/>
      <c r="AM70" s="322"/>
      <c r="AN70" s="388"/>
      <c r="AO70" s="379"/>
      <c r="AP70" s="269"/>
      <c r="AQ70" s="380"/>
      <c r="AR70" s="465"/>
    </row>
    <row r="71" spans="1:44" s="35" customFormat="1" ht="15.75" x14ac:dyDescent="0.25">
      <c r="A71" s="342"/>
      <c r="B71" s="320"/>
      <c r="C71" s="320"/>
      <c r="D71" s="321"/>
      <c r="E71" s="321"/>
      <c r="F71" s="321"/>
      <c r="G71" s="321"/>
      <c r="H71" s="321"/>
      <c r="I71" s="321"/>
      <c r="J71" s="321"/>
      <c r="K71" s="321"/>
      <c r="L71" s="321"/>
      <c r="M71" s="321"/>
      <c r="N71" s="321"/>
      <c r="O71" s="321"/>
      <c r="P71" s="462">
        <f t="shared" si="7"/>
        <v>0</v>
      </c>
      <c r="Q71" s="306">
        <f t="shared" si="2"/>
        <v>0</v>
      </c>
      <c r="R71" s="307">
        <f t="shared" si="8"/>
        <v>0</v>
      </c>
      <c r="S71" s="307">
        <f t="shared" si="9"/>
        <v>0</v>
      </c>
      <c r="T71" s="307">
        <f t="shared" si="10"/>
        <v>0</v>
      </c>
      <c r="U71" s="308">
        <f t="shared" si="11"/>
        <v>0</v>
      </c>
      <c r="V71" s="405"/>
      <c r="W71" s="317"/>
      <c r="X71" s="325"/>
      <c r="Y71" s="412"/>
      <c r="Z71" s="411"/>
      <c r="AA71" s="330"/>
      <c r="AB71" s="308"/>
      <c r="AC71" s="309"/>
      <c r="AD71" s="311"/>
      <c r="AE71" s="310"/>
      <c r="AF71" s="309"/>
      <c r="AG71" s="311"/>
      <c r="AH71" s="310"/>
      <c r="AI71" s="309"/>
      <c r="AJ71" s="311"/>
      <c r="AK71" s="322"/>
      <c r="AL71" s="312"/>
      <c r="AM71" s="322"/>
      <c r="AN71" s="388"/>
      <c r="AO71" s="379"/>
      <c r="AP71" s="269"/>
      <c r="AQ71" s="380"/>
      <c r="AR71" s="465"/>
    </row>
    <row r="72" spans="1:44" s="19" customFormat="1" ht="15.75" x14ac:dyDescent="0.25">
      <c r="A72" s="342"/>
      <c r="B72" s="320"/>
      <c r="C72" s="320"/>
      <c r="D72" s="321"/>
      <c r="E72" s="321"/>
      <c r="F72" s="323"/>
      <c r="G72" s="323"/>
      <c r="H72" s="323"/>
      <c r="I72" s="324"/>
      <c r="J72" s="324"/>
      <c r="K72" s="324"/>
      <c r="L72" s="323"/>
      <c r="M72" s="323"/>
      <c r="N72" s="323"/>
      <c r="O72" s="321"/>
      <c r="P72" s="462">
        <f t="shared" si="7"/>
        <v>0</v>
      </c>
      <c r="Q72" s="306">
        <f t="shared" si="2"/>
        <v>0</v>
      </c>
      <c r="R72" s="307">
        <f t="shared" si="8"/>
        <v>0</v>
      </c>
      <c r="S72" s="307">
        <f t="shared" si="9"/>
        <v>0</v>
      </c>
      <c r="T72" s="307">
        <f t="shared" si="10"/>
        <v>0</v>
      </c>
      <c r="U72" s="308">
        <f t="shared" si="11"/>
        <v>0</v>
      </c>
      <c r="V72" s="405"/>
      <c r="W72" s="317"/>
      <c r="X72" s="325"/>
      <c r="Y72" s="412"/>
      <c r="Z72" s="411"/>
      <c r="AA72" s="330"/>
      <c r="AB72" s="407"/>
      <c r="AC72" s="332"/>
      <c r="AD72" s="333"/>
      <c r="AE72" s="331"/>
      <c r="AF72" s="332"/>
      <c r="AG72" s="333"/>
      <c r="AH72" s="331"/>
      <c r="AI72" s="332"/>
      <c r="AJ72" s="333"/>
      <c r="AK72" s="386"/>
      <c r="AL72" s="312"/>
      <c r="AM72" s="386"/>
      <c r="AN72" s="388"/>
      <c r="AO72" s="379"/>
      <c r="AP72" s="269"/>
      <c r="AQ72" s="380"/>
      <c r="AR72" s="465"/>
    </row>
    <row r="73" spans="1:44" s="19" customFormat="1" ht="15.75" x14ac:dyDescent="0.25">
      <c r="A73" s="342"/>
      <c r="B73" s="320"/>
      <c r="C73" s="320"/>
      <c r="D73" s="321"/>
      <c r="E73" s="321"/>
      <c r="F73" s="323"/>
      <c r="G73" s="323"/>
      <c r="H73" s="323"/>
      <c r="I73" s="324"/>
      <c r="J73" s="324"/>
      <c r="K73" s="324"/>
      <c r="L73" s="323"/>
      <c r="M73" s="323"/>
      <c r="N73" s="323"/>
      <c r="O73" s="321"/>
      <c r="P73" s="462">
        <f t="shared" si="7"/>
        <v>0</v>
      </c>
      <c r="Q73" s="306">
        <f t="shared" si="2"/>
        <v>0</v>
      </c>
      <c r="R73" s="307">
        <f t="shared" si="8"/>
        <v>0</v>
      </c>
      <c r="S73" s="307">
        <f t="shared" si="9"/>
        <v>0</v>
      </c>
      <c r="T73" s="307">
        <f t="shared" si="10"/>
        <v>0</v>
      </c>
      <c r="U73" s="308">
        <f t="shared" si="11"/>
        <v>0</v>
      </c>
      <c r="V73" s="405"/>
      <c r="W73" s="317"/>
      <c r="X73" s="325"/>
      <c r="Y73" s="412"/>
      <c r="Z73" s="411"/>
      <c r="AA73" s="330"/>
      <c r="AB73" s="327"/>
      <c r="AC73" s="328"/>
      <c r="AD73" s="330"/>
      <c r="AE73" s="327"/>
      <c r="AF73" s="328"/>
      <c r="AG73" s="330"/>
      <c r="AH73" s="327"/>
      <c r="AI73" s="328"/>
      <c r="AJ73" s="330"/>
      <c r="AK73" s="386"/>
      <c r="AL73" s="312"/>
      <c r="AM73" s="386"/>
      <c r="AN73" s="388"/>
      <c r="AO73" s="379"/>
      <c r="AP73" s="269"/>
      <c r="AQ73" s="380"/>
      <c r="AR73" s="465"/>
    </row>
    <row r="74" spans="1:44" s="19" customFormat="1" ht="15.75" x14ac:dyDescent="0.25">
      <c r="A74" s="342"/>
      <c r="B74" s="320"/>
      <c r="C74" s="320"/>
      <c r="D74" s="321"/>
      <c r="E74" s="321"/>
      <c r="F74" s="323"/>
      <c r="G74" s="323"/>
      <c r="H74" s="323"/>
      <c r="I74" s="324"/>
      <c r="J74" s="324"/>
      <c r="K74" s="324"/>
      <c r="L74" s="323"/>
      <c r="M74" s="323"/>
      <c r="N74" s="323"/>
      <c r="O74" s="321"/>
      <c r="P74" s="462">
        <f t="shared" si="7"/>
        <v>0</v>
      </c>
      <c r="Q74" s="306">
        <f t="shared" si="2"/>
        <v>0</v>
      </c>
      <c r="R74" s="307">
        <f t="shared" si="8"/>
        <v>0</v>
      </c>
      <c r="S74" s="307">
        <f t="shared" si="9"/>
        <v>0</v>
      </c>
      <c r="T74" s="307">
        <f t="shared" si="10"/>
        <v>0</v>
      </c>
      <c r="U74" s="308">
        <f t="shared" si="11"/>
        <v>0</v>
      </c>
      <c r="V74" s="405"/>
      <c r="W74" s="317"/>
      <c r="X74" s="325"/>
      <c r="Y74" s="412"/>
      <c r="Z74" s="411"/>
      <c r="AA74" s="330"/>
      <c r="AB74" s="327"/>
      <c r="AC74" s="328"/>
      <c r="AD74" s="330"/>
      <c r="AE74" s="327"/>
      <c r="AF74" s="328"/>
      <c r="AG74" s="330"/>
      <c r="AH74" s="327"/>
      <c r="AI74" s="328"/>
      <c r="AJ74" s="330"/>
      <c r="AK74" s="386"/>
      <c r="AL74" s="312"/>
      <c r="AM74" s="386"/>
      <c r="AN74" s="388"/>
      <c r="AO74" s="379"/>
      <c r="AP74" s="269"/>
      <c r="AQ74" s="380"/>
      <c r="AR74" s="465"/>
    </row>
    <row r="75" spans="1:44" s="19" customFormat="1" ht="15.75" x14ac:dyDescent="0.25">
      <c r="A75" s="342"/>
      <c r="B75" s="320"/>
      <c r="C75" s="320"/>
      <c r="D75" s="321"/>
      <c r="E75" s="321"/>
      <c r="F75" s="323"/>
      <c r="G75" s="323"/>
      <c r="H75" s="323"/>
      <c r="I75" s="324"/>
      <c r="J75" s="324"/>
      <c r="K75" s="324"/>
      <c r="L75" s="323"/>
      <c r="M75" s="323"/>
      <c r="N75" s="323"/>
      <c r="O75" s="321"/>
      <c r="P75" s="462">
        <f t="shared" si="7"/>
        <v>0</v>
      </c>
      <c r="Q75" s="306">
        <f t="shared" si="2"/>
        <v>0</v>
      </c>
      <c r="R75" s="307">
        <f t="shared" si="8"/>
        <v>0</v>
      </c>
      <c r="S75" s="307">
        <f t="shared" si="9"/>
        <v>0</v>
      </c>
      <c r="T75" s="307">
        <f t="shared" si="10"/>
        <v>0</v>
      </c>
      <c r="U75" s="308">
        <f t="shared" si="11"/>
        <v>0</v>
      </c>
      <c r="V75" s="405"/>
      <c r="W75" s="317"/>
      <c r="X75" s="325"/>
      <c r="Y75" s="412"/>
      <c r="Z75" s="411"/>
      <c r="AA75" s="330"/>
      <c r="AB75" s="327"/>
      <c r="AC75" s="328"/>
      <c r="AD75" s="330"/>
      <c r="AE75" s="327"/>
      <c r="AF75" s="328"/>
      <c r="AG75" s="330"/>
      <c r="AH75" s="327"/>
      <c r="AI75" s="328"/>
      <c r="AJ75" s="330"/>
      <c r="AK75" s="386"/>
      <c r="AL75" s="312"/>
      <c r="AM75" s="386"/>
      <c r="AN75" s="388"/>
      <c r="AO75" s="379"/>
      <c r="AP75" s="269"/>
      <c r="AQ75" s="380"/>
      <c r="AR75" s="465"/>
    </row>
    <row r="76" spans="1:44" s="19" customFormat="1" ht="15.75" x14ac:dyDescent="0.25">
      <c r="A76" s="342"/>
      <c r="B76" s="320"/>
      <c r="C76" s="320"/>
      <c r="D76" s="321"/>
      <c r="E76" s="321"/>
      <c r="F76" s="323"/>
      <c r="G76" s="323"/>
      <c r="H76" s="323"/>
      <c r="I76" s="324"/>
      <c r="J76" s="324"/>
      <c r="K76" s="324"/>
      <c r="L76" s="323"/>
      <c r="M76" s="323"/>
      <c r="N76" s="323"/>
      <c r="O76" s="321"/>
      <c r="P76" s="462">
        <f t="shared" si="7"/>
        <v>0</v>
      </c>
      <c r="Q76" s="306">
        <f t="shared" si="2"/>
        <v>0</v>
      </c>
      <c r="R76" s="307">
        <f t="shared" si="8"/>
        <v>0</v>
      </c>
      <c r="S76" s="307">
        <f t="shared" si="9"/>
        <v>0</v>
      </c>
      <c r="T76" s="307">
        <f t="shared" si="10"/>
        <v>0</v>
      </c>
      <c r="U76" s="308">
        <f t="shared" si="11"/>
        <v>0</v>
      </c>
      <c r="V76" s="405"/>
      <c r="W76" s="317"/>
      <c r="X76" s="325"/>
      <c r="Y76" s="412"/>
      <c r="Z76" s="411"/>
      <c r="AA76" s="330"/>
      <c r="AB76" s="327"/>
      <c r="AC76" s="328"/>
      <c r="AD76" s="330"/>
      <c r="AE76" s="327"/>
      <c r="AF76" s="328"/>
      <c r="AG76" s="330"/>
      <c r="AH76" s="327"/>
      <c r="AI76" s="328"/>
      <c r="AJ76" s="330"/>
      <c r="AK76" s="386"/>
      <c r="AL76" s="312"/>
      <c r="AM76" s="386"/>
      <c r="AN76" s="388"/>
      <c r="AO76" s="379"/>
      <c r="AP76" s="269"/>
      <c r="AQ76" s="380"/>
      <c r="AR76" s="465"/>
    </row>
    <row r="77" spans="1:44" s="19" customFormat="1" ht="15.75" x14ac:dyDescent="0.25">
      <c r="A77" s="342"/>
      <c r="B77" s="320"/>
      <c r="C77" s="320"/>
      <c r="D77" s="321"/>
      <c r="E77" s="321"/>
      <c r="F77" s="323"/>
      <c r="G77" s="323"/>
      <c r="H77" s="323"/>
      <c r="I77" s="324"/>
      <c r="J77" s="324"/>
      <c r="K77" s="324"/>
      <c r="L77" s="323"/>
      <c r="M77" s="323"/>
      <c r="N77" s="323"/>
      <c r="O77" s="321"/>
      <c r="P77" s="462">
        <f t="shared" si="7"/>
        <v>0</v>
      </c>
      <c r="Q77" s="306">
        <f t="shared" si="2"/>
        <v>0</v>
      </c>
      <c r="R77" s="307">
        <f t="shared" si="8"/>
        <v>0</v>
      </c>
      <c r="S77" s="307">
        <f t="shared" si="9"/>
        <v>0</v>
      </c>
      <c r="T77" s="307">
        <f t="shared" si="10"/>
        <v>0</v>
      </c>
      <c r="U77" s="308">
        <f t="shared" si="11"/>
        <v>0</v>
      </c>
      <c r="V77" s="405"/>
      <c r="W77" s="317"/>
      <c r="X77" s="325"/>
      <c r="Y77" s="412"/>
      <c r="Z77" s="411"/>
      <c r="AA77" s="330"/>
      <c r="AB77" s="407"/>
      <c r="AC77" s="332"/>
      <c r="AD77" s="333"/>
      <c r="AE77" s="331"/>
      <c r="AF77" s="332"/>
      <c r="AG77" s="333"/>
      <c r="AH77" s="331"/>
      <c r="AI77" s="332"/>
      <c r="AJ77" s="333"/>
      <c r="AK77" s="386"/>
      <c r="AL77" s="312"/>
      <c r="AM77" s="386"/>
      <c r="AN77" s="388"/>
      <c r="AO77" s="379"/>
      <c r="AP77" s="269"/>
      <c r="AQ77" s="380"/>
      <c r="AR77" s="465"/>
    </row>
    <row r="78" spans="1:44" s="19" customFormat="1" ht="15.75" x14ac:dyDescent="0.25">
      <c r="A78" s="342"/>
      <c r="B78" s="320"/>
      <c r="C78" s="320"/>
      <c r="D78" s="321"/>
      <c r="E78" s="321"/>
      <c r="F78" s="323"/>
      <c r="G78" s="323"/>
      <c r="H78" s="323"/>
      <c r="I78" s="324"/>
      <c r="J78" s="324"/>
      <c r="K78" s="324"/>
      <c r="L78" s="323"/>
      <c r="M78" s="323"/>
      <c r="N78" s="323"/>
      <c r="O78" s="321"/>
      <c r="P78" s="462">
        <f t="shared" si="7"/>
        <v>0</v>
      </c>
      <c r="Q78" s="306">
        <f t="shared" si="2"/>
        <v>0</v>
      </c>
      <c r="R78" s="307">
        <f t="shared" si="8"/>
        <v>0</v>
      </c>
      <c r="S78" s="307">
        <f t="shared" si="9"/>
        <v>0</v>
      </c>
      <c r="T78" s="307">
        <f t="shared" si="10"/>
        <v>0</v>
      </c>
      <c r="U78" s="308">
        <f t="shared" si="11"/>
        <v>0</v>
      </c>
      <c r="V78" s="405"/>
      <c r="W78" s="317"/>
      <c r="X78" s="325"/>
      <c r="Y78" s="412"/>
      <c r="Z78" s="411"/>
      <c r="AA78" s="330"/>
      <c r="AB78" s="407"/>
      <c r="AC78" s="332"/>
      <c r="AD78" s="333"/>
      <c r="AE78" s="331"/>
      <c r="AF78" s="332"/>
      <c r="AG78" s="333"/>
      <c r="AH78" s="331"/>
      <c r="AI78" s="332"/>
      <c r="AJ78" s="333"/>
      <c r="AK78" s="386"/>
      <c r="AL78" s="312"/>
      <c r="AM78" s="386"/>
      <c r="AN78" s="388"/>
      <c r="AO78" s="379"/>
      <c r="AP78" s="269"/>
      <c r="AQ78" s="380"/>
      <c r="AR78" s="465"/>
    </row>
    <row r="79" spans="1:44" s="19" customFormat="1" ht="15.75" x14ac:dyDescent="0.25">
      <c r="A79" s="342"/>
      <c r="B79" s="320"/>
      <c r="C79" s="320"/>
      <c r="D79" s="321"/>
      <c r="E79" s="321"/>
      <c r="F79" s="323"/>
      <c r="G79" s="323"/>
      <c r="H79" s="323"/>
      <c r="I79" s="324"/>
      <c r="J79" s="324"/>
      <c r="K79" s="324"/>
      <c r="L79" s="323"/>
      <c r="M79" s="323"/>
      <c r="N79" s="323"/>
      <c r="O79" s="321"/>
      <c r="P79" s="462">
        <f t="shared" si="7"/>
        <v>0</v>
      </c>
      <c r="Q79" s="306">
        <f t="shared" si="2"/>
        <v>0</v>
      </c>
      <c r="R79" s="307">
        <f t="shared" si="8"/>
        <v>0</v>
      </c>
      <c r="S79" s="307">
        <f t="shared" si="9"/>
        <v>0</v>
      </c>
      <c r="T79" s="307">
        <f t="shared" si="10"/>
        <v>0</v>
      </c>
      <c r="U79" s="308">
        <f t="shared" si="11"/>
        <v>0</v>
      </c>
      <c r="V79" s="405"/>
      <c r="W79" s="317"/>
      <c r="X79" s="325"/>
      <c r="Y79" s="412"/>
      <c r="Z79" s="411"/>
      <c r="AA79" s="330"/>
      <c r="AB79" s="407"/>
      <c r="AC79" s="332"/>
      <c r="AD79" s="333"/>
      <c r="AE79" s="331"/>
      <c r="AF79" s="332"/>
      <c r="AG79" s="333"/>
      <c r="AH79" s="331"/>
      <c r="AI79" s="332"/>
      <c r="AJ79" s="333"/>
      <c r="AK79" s="386"/>
      <c r="AL79" s="312"/>
      <c r="AM79" s="386"/>
      <c r="AN79" s="388"/>
      <c r="AO79" s="379"/>
      <c r="AP79" s="269"/>
      <c r="AQ79" s="380"/>
      <c r="AR79" s="465"/>
    </row>
    <row r="80" spans="1:44" s="19" customFormat="1" ht="15.75" x14ac:dyDescent="0.25">
      <c r="A80" s="342"/>
      <c r="B80" s="320"/>
      <c r="C80" s="320"/>
      <c r="D80" s="321"/>
      <c r="E80" s="321"/>
      <c r="F80" s="323"/>
      <c r="G80" s="323"/>
      <c r="H80" s="323"/>
      <c r="I80" s="324"/>
      <c r="J80" s="324"/>
      <c r="K80" s="324"/>
      <c r="L80" s="323"/>
      <c r="M80" s="323"/>
      <c r="N80" s="323"/>
      <c r="O80" s="321"/>
      <c r="P80" s="462">
        <f t="shared" si="7"/>
        <v>0</v>
      </c>
      <c r="Q80" s="306">
        <f t="shared" si="2"/>
        <v>0</v>
      </c>
      <c r="R80" s="307">
        <f t="shared" si="8"/>
        <v>0</v>
      </c>
      <c r="S80" s="307">
        <f t="shared" si="9"/>
        <v>0</v>
      </c>
      <c r="T80" s="307">
        <f t="shared" si="10"/>
        <v>0</v>
      </c>
      <c r="U80" s="308">
        <f t="shared" si="11"/>
        <v>0</v>
      </c>
      <c r="V80" s="405"/>
      <c r="W80" s="317"/>
      <c r="X80" s="325"/>
      <c r="Y80" s="412"/>
      <c r="Z80" s="411"/>
      <c r="AA80" s="330"/>
      <c r="AB80" s="407"/>
      <c r="AC80" s="332"/>
      <c r="AD80" s="333"/>
      <c r="AE80" s="331"/>
      <c r="AF80" s="332"/>
      <c r="AG80" s="333"/>
      <c r="AH80" s="331"/>
      <c r="AI80" s="332"/>
      <c r="AJ80" s="333"/>
      <c r="AK80" s="386"/>
      <c r="AL80" s="312"/>
      <c r="AM80" s="386"/>
      <c r="AN80" s="388"/>
      <c r="AO80" s="379"/>
      <c r="AP80" s="269"/>
      <c r="AQ80" s="380"/>
      <c r="AR80" s="465"/>
    </row>
    <row r="81" spans="1:44" s="19" customFormat="1" ht="15.75" x14ac:dyDescent="0.25">
      <c r="A81" s="342"/>
      <c r="B81" s="320"/>
      <c r="C81" s="320"/>
      <c r="D81" s="321"/>
      <c r="E81" s="321"/>
      <c r="F81" s="323"/>
      <c r="G81" s="323"/>
      <c r="H81" s="323"/>
      <c r="I81" s="324"/>
      <c r="J81" s="324"/>
      <c r="K81" s="324"/>
      <c r="L81" s="323"/>
      <c r="M81" s="323"/>
      <c r="N81" s="323"/>
      <c r="O81" s="321"/>
      <c r="P81" s="462">
        <f t="shared" si="7"/>
        <v>0</v>
      </c>
      <c r="Q81" s="306">
        <f t="shared" si="2"/>
        <v>0</v>
      </c>
      <c r="R81" s="307">
        <f t="shared" si="8"/>
        <v>0</v>
      </c>
      <c r="S81" s="307">
        <f t="shared" si="9"/>
        <v>0</v>
      </c>
      <c r="T81" s="307">
        <f t="shared" si="10"/>
        <v>0</v>
      </c>
      <c r="U81" s="308">
        <f t="shared" si="11"/>
        <v>0</v>
      </c>
      <c r="V81" s="405"/>
      <c r="W81" s="317"/>
      <c r="X81" s="325"/>
      <c r="Y81" s="412"/>
      <c r="Z81" s="411"/>
      <c r="AA81" s="330"/>
      <c r="AB81" s="407"/>
      <c r="AC81" s="332"/>
      <c r="AD81" s="333"/>
      <c r="AE81" s="331"/>
      <c r="AF81" s="332"/>
      <c r="AG81" s="333"/>
      <c r="AH81" s="331"/>
      <c r="AI81" s="332"/>
      <c r="AJ81" s="333"/>
      <c r="AK81" s="386"/>
      <c r="AL81" s="312"/>
      <c r="AM81" s="386"/>
      <c r="AN81" s="388"/>
      <c r="AO81" s="379"/>
      <c r="AP81" s="269"/>
      <c r="AQ81" s="380"/>
      <c r="AR81" s="465"/>
    </row>
    <row r="82" spans="1:44" s="19" customFormat="1" ht="15.75" x14ac:dyDescent="0.25">
      <c r="A82" s="342"/>
      <c r="B82" s="320"/>
      <c r="C82" s="320"/>
      <c r="D82" s="321"/>
      <c r="E82" s="321"/>
      <c r="F82" s="323"/>
      <c r="G82" s="323"/>
      <c r="H82" s="323"/>
      <c r="I82" s="324"/>
      <c r="J82" s="324"/>
      <c r="K82" s="324"/>
      <c r="L82" s="323"/>
      <c r="M82" s="323"/>
      <c r="N82" s="323"/>
      <c r="O82" s="321"/>
      <c r="P82" s="462">
        <f t="shared" si="7"/>
        <v>0</v>
      </c>
      <c r="Q82" s="306">
        <f t="shared" si="2"/>
        <v>0</v>
      </c>
      <c r="R82" s="307">
        <f t="shared" si="8"/>
        <v>0</v>
      </c>
      <c r="S82" s="307">
        <f t="shared" si="9"/>
        <v>0</v>
      </c>
      <c r="T82" s="307">
        <f t="shared" si="10"/>
        <v>0</v>
      </c>
      <c r="U82" s="308">
        <f t="shared" si="11"/>
        <v>0</v>
      </c>
      <c r="V82" s="405"/>
      <c r="W82" s="317"/>
      <c r="X82" s="325"/>
      <c r="Y82" s="412"/>
      <c r="Z82" s="411"/>
      <c r="AA82" s="330"/>
      <c r="AB82" s="407"/>
      <c r="AC82" s="332"/>
      <c r="AD82" s="333"/>
      <c r="AE82" s="331"/>
      <c r="AF82" s="332"/>
      <c r="AG82" s="333"/>
      <c r="AH82" s="331"/>
      <c r="AI82" s="332"/>
      <c r="AJ82" s="333"/>
      <c r="AK82" s="386"/>
      <c r="AL82" s="312"/>
      <c r="AM82" s="386"/>
      <c r="AN82" s="388"/>
      <c r="AO82" s="379"/>
      <c r="AP82" s="269"/>
      <c r="AQ82" s="380"/>
      <c r="AR82" s="465"/>
    </row>
    <row r="83" spans="1:44" s="19" customFormat="1" ht="15.75" x14ac:dyDescent="0.25">
      <c r="A83" s="342"/>
      <c r="B83" s="320"/>
      <c r="C83" s="320"/>
      <c r="D83" s="321"/>
      <c r="E83" s="321"/>
      <c r="F83" s="323"/>
      <c r="G83" s="323"/>
      <c r="H83" s="323"/>
      <c r="I83" s="324"/>
      <c r="J83" s="324"/>
      <c r="K83" s="324"/>
      <c r="L83" s="323"/>
      <c r="M83" s="323"/>
      <c r="N83" s="323"/>
      <c r="O83" s="321"/>
      <c r="P83" s="462">
        <f t="shared" si="7"/>
        <v>0</v>
      </c>
      <c r="Q83" s="306">
        <f t="shared" si="2"/>
        <v>0</v>
      </c>
      <c r="R83" s="307">
        <f t="shared" si="8"/>
        <v>0</v>
      </c>
      <c r="S83" s="307">
        <f t="shared" si="9"/>
        <v>0</v>
      </c>
      <c r="T83" s="307">
        <f t="shared" si="10"/>
        <v>0</v>
      </c>
      <c r="U83" s="308">
        <f t="shared" si="11"/>
        <v>0</v>
      </c>
      <c r="V83" s="405"/>
      <c r="W83" s="317"/>
      <c r="X83" s="325"/>
      <c r="Y83" s="412"/>
      <c r="Z83" s="411"/>
      <c r="AA83" s="330"/>
      <c r="AB83" s="407"/>
      <c r="AC83" s="332"/>
      <c r="AD83" s="333"/>
      <c r="AE83" s="331"/>
      <c r="AF83" s="332"/>
      <c r="AG83" s="333"/>
      <c r="AH83" s="331"/>
      <c r="AI83" s="332"/>
      <c r="AJ83" s="333"/>
      <c r="AK83" s="386"/>
      <c r="AL83" s="312"/>
      <c r="AM83" s="386"/>
      <c r="AN83" s="388"/>
      <c r="AO83" s="379"/>
      <c r="AP83" s="269"/>
      <c r="AQ83" s="380"/>
      <c r="AR83" s="465"/>
    </row>
    <row r="84" spans="1:44" s="19" customFormat="1" ht="15.75" x14ac:dyDescent="0.25">
      <c r="A84" s="342"/>
      <c r="B84" s="320"/>
      <c r="C84" s="320"/>
      <c r="D84" s="321"/>
      <c r="E84" s="321"/>
      <c r="F84" s="323"/>
      <c r="G84" s="323"/>
      <c r="H84" s="323"/>
      <c r="I84" s="324"/>
      <c r="J84" s="324"/>
      <c r="K84" s="324"/>
      <c r="L84" s="323"/>
      <c r="M84" s="323"/>
      <c r="N84" s="323"/>
      <c r="O84" s="321"/>
      <c r="P84" s="462">
        <f t="shared" si="7"/>
        <v>0</v>
      </c>
      <c r="Q84" s="306">
        <f t="shared" si="2"/>
        <v>0</v>
      </c>
      <c r="R84" s="307">
        <f t="shared" si="8"/>
        <v>0</v>
      </c>
      <c r="S84" s="307">
        <f t="shared" si="9"/>
        <v>0</v>
      </c>
      <c r="T84" s="307">
        <f t="shared" si="10"/>
        <v>0</v>
      </c>
      <c r="U84" s="308">
        <f t="shared" si="11"/>
        <v>0</v>
      </c>
      <c r="V84" s="405"/>
      <c r="W84" s="317"/>
      <c r="X84" s="325"/>
      <c r="Y84" s="412"/>
      <c r="Z84" s="411"/>
      <c r="AA84" s="330"/>
      <c r="AB84" s="407"/>
      <c r="AC84" s="332"/>
      <c r="AD84" s="333"/>
      <c r="AE84" s="331"/>
      <c r="AF84" s="332"/>
      <c r="AG84" s="333"/>
      <c r="AH84" s="331"/>
      <c r="AI84" s="332"/>
      <c r="AJ84" s="333"/>
      <c r="AK84" s="386"/>
      <c r="AL84" s="312"/>
      <c r="AM84" s="386"/>
      <c r="AN84" s="388"/>
      <c r="AO84" s="379"/>
      <c r="AP84" s="269"/>
      <c r="AQ84" s="380"/>
      <c r="AR84" s="465"/>
    </row>
    <row r="85" spans="1:44" s="19" customFormat="1" ht="15.75" x14ac:dyDescent="0.25">
      <c r="A85" s="342"/>
      <c r="B85" s="320"/>
      <c r="C85" s="320"/>
      <c r="D85" s="321"/>
      <c r="E85" s="321"/>
      <c r="F85" s="323"/>
      <c r="G85" s="323"/>
      <c r="H85" s="323"/>
      <c r="I85" s="324"/>
      <c r="J85" s="324"/>
      <c r="K85" s="324"/>
      <c r="L85" s="323"/>
      <c r="M85" s="323"/>
      <c r="N85" s="323"/>
      <c r="O85" s="321"/>
      <c r="P85" s="462">
        <f t="shared" si="7"/>
        <v>0</v>
      </c>
      <c r="Q85" s="306">
        <f t="shared" si="2"/>
        <v>0</v>
      </c>
      <c r="R85" s="307">
        <f t="shared" si="8"/>
        <v>0</v>
      </c>
      <c r="S85" s="307">
        <f t="shared" si="9"/>
        <v>0</v>
      </c>
      <c r="T85" s="307">
        <f t="shared" si="10"/>
        <v>0</v>
      </c>
      <c r="U85" s="308">
        <f t="shared" si="11"/>
        <v>0</v>
      </c>
      <c r="V85" s="405"/>
      <c r="W85" s="317"/>
      <c r="X85" s="325"/>
      <c r="Y85" s="412"/>
      <c r="Z85" s="411"/>
      <c r="AA85" s="330"/>
      <c r="AB85" s="407"/>
      <c r="AC85" s="332"/>
      <c r="AD85" s="333"/>
      <c r="AE85" s="331"/>
      <c r="AF85" s="332"/>
      <c r="AG85" s="333"/>
      <c r="AH85" s="331"/>
      <c r="AI85" s="332"/>
      <c r="AJ85" s="333"/>
      <c r="AK85" s="386"/>
      <c r="AL85" s="312"/>
      <c r="AM85" s="386"/>
      <c r="AN85" s="388"/>
      <c r="AO85" s="379"/>
      <c r="AP85" s="269"/>
      <c r="AQ85" s="380"/>
      <c r="AR85" s="465"/>
    </row>
    <row r="86" spans="1:44" s="19" customFormat="1" ht="15.75" x14ac:dyDescent="0.25">
      <c r="A86" s="342"/>
      <c r="B86" s="320"/>
      <c r="C86" s="320"/>
      <c r="D86" s="321"/>
      <c r="E86" s="321"/>
      <c r="F86" s="323"/>
      <c r="G86" s="323"/>
      <c r="H86" s="323"/>
      <c r="I86" s="324"/>
      <c r="J86" s="324"/>
      <c r="K86" s="324"/>
      <c r="L86" s="323"/>
      <c r="M86" s="323"/>
      <c r="N86" s="323"/>
      <c r="O86" s="321"/>
      <c r="P86" s="462">
        <f t="shared" si="7"/>
        <v>0</v>
      </c>
      <c r="Q86" s="306">
        <f t="shared" si="2"/>
        <v>0</v>
      </c>
      <c r="R86" s="307">
        <f t="shared" si="8"/>
        <v>0</v>
      </c>
      <c r="S86" s="307">
        <f t="shared" si="9"/>
        <v>0</v>
      </c>
      <c r="T86" s="307">
        <f t="shared" si="10"/>
        <v>0</v>
      </c>
      <c r="U86" s="308">
        <f t="shared" si="11"/>
        <v>0</v>
      </c>
      <c r="V86" s="405"/>
      <c r="W86" s="317"/>
      <c r="X86" s="325"/>
      <c r="Y86" s="412"/>
      <c r="Z86" s="411"/>
      <c r="AA86" s="330"/>
      <c r="AB86" s="407"/>
      <c r="AC86" s="332"/>
      <c r="AD86" s="333"/>
      <c r="AE86" s="331"/>
      <c r="AF86" s="332"/>
      <c r="AG86" s="333"/>
      <c r="AH86" s="331"/>
      <c r="AI86" s="332"/>
      <c r="AJ86" s="333"/>
      <c r="AK86" s="386"/>
      <c r="AL86" s="312"/>
      <c r="AM86" s="386"/>
      <c r="AN86" s="388"/>
      <c r="AO86" s="379"/>
      <c r="AP86" s="269"/>
      <c r="AQ86" s="380"/>
      <c r="AR86" s="465"/>
    </row>
    <row r="87" spans="1:44" s="19" customFormat="1" ht="15.75" x14ac:dyDescent="0.25">
      <c r="A87" s="342"/>
      <c r="B87" s="320"/>
      <c r="C87" s="320"/>
      <c r="D87" s="321"/>
      <c r="E87" s="321"/>
      <c r="F87" s="323"/>
      <c r="G87" s="323"/>
      <c r="H87" s="323"/>
      <c r="I87" s="324"/>
      <c r="J87" s="324"/>
      <c r="K87" s="324"/>
      <c r="L87" s="323"/>
      <c r="M87" s="323"/>
      <c r="N87" s="323"/>
      <c r="O87" s="321"/>
      <c r="P87" s="462">
        <f t="shared" si="7"/>
        <v>0</v>
      </c>
      <c r="Q87" s="306">
        <f t="shared" si="2"/>
        <v>0</v>
      </c>
      <c r="R87" s="307">
        <f t="shared" si="8"/>
        <v>0</v>
      </c>
      <c r="S87" s="307">
        <f t="shared" si="9"/>
        <v>0</v>
      </c>
      <c r="T87" s="307">
        <f t="shared" si="10"/>
        <v>0</v>
      </c>
      <c r="U87" s="308">
        <f t="shared" si="11"/>
        <v>0</v>
      </c>
      <c r="V87" s="405"/>
      <c r="W87" s="317"/>
      <c r="X87" s="325"/>
      <c r="Y87" s="412"/>
      <c r="Z87" s="411"/>
      <c r="AA87" s="330"/>
      <c r="AB87" s="407"/>
      <c r="AC87" s="332"/>
      <c r="AD87" s="333"/>
      <c r="AE87" s="331"/>
      <c r="AF87" s="332"/>
      <c r="AG87" s="333"/>
      <c r="AH87" s="331"/>
      <c r="AI87" s="332"/>
      <c r="AJ87" s="333"/>
      <c r="AK87" s="386"/>
      <c r="AL87" s="312"/>
      <c r="AM87" s="386"/>
      <c r="AN87" s="388"/>
      <c r="AO87" s="379"/>
      <c r="AP87" s="269"/>
      <c r="AQ87" s="380"/>
      <c r="AR87" s="465"/>
    </row>
    <row r="88" spans="1:44" s="19" customFormat="1" ht="15.75" x14ac:dyDescent="0.25">
      <c r="A88" s="342"/>
      <c r="B88" s="320"/>
      <c r="C88" s="320"/>
      <c r="D88" s="321"/>
      <c r="E88" s="321"/>
      <c r="F88" s="323"/>
      <c r="G88" s="323"/>
      <c r="H88" s="323"/>
      <c r="I88" s="324"/>
      <c r="J88" s="324"/>
      <c r="K88" s="324"/>
      <c r="L88" s="323"/>
      <c r="M88" s="323"/>
      <c r="N88" s="323"/>
      <c r="O88" s="321"/>
      <c r="P88" s="462">
        <f t="shared" si="7"/>
        <v>0</v>
      </c>
      <c r="Q88" s="306">
        <f t="shared" si="2"/>
        <v>0</v>
      </c>
      <c r="R88" s="307">
        <f t="shared" si="8"/>
        <v>0</v>
      </c>
      <c r="S88" s="307">
        <f t="shared" si="9"/>
        <v>0</v>
      </c>
      <c r="T88" s="307">
        <f t="shared" si="10"/>
        <v>0</v>
      </c>
      <c r="U88" s="308">
        <f t="shared" si="11"/>
        <v>0</v>
      </c>
      <c r="V88" s="405"/>
      <c r="W88" s="317"/>
      <c r="X88" s="325"/>
      <c r="Y88" s="412"/>
      <c r="Z88" s="411"/>
      <c r="AA88" s="330"/>
      <c r="AB88" s="407"/>
      <c r="AC88" s="332"/>
      <c r="AD88" s="333"/>
      <c r="AE88" s="331"/>
      <c r="AF88" s="332"/>
      <c r="AG88" s="333"/>
      <c r="AH88" s="331"/>
      <c r="AI88" s="332"/>
      <c r="AJ88" s="333"/>
      <c r="AK88" s="386"/>
      <c r="AL88" s="312"/>
      <c r="AM88" s="386"/>
      <c r="AN88" s="388"/>
      <c r="AO88" s="379"/>
      <c r="AP88" s="269"/>
      <c r="AQ88" s="380"/>
      <c r="AR88" s="465"/>
    </row>
    <row r="89" spans="1:44" s="19" customFormat="1" ht="15.75" x14ac:dyDescent="0.25">
      <c r="A89" s="342"/>
      <c r="B89" s="320"/>
      <c r="C89" s="320"/>
      <c r="D89" s="321"/>
      <c r="E89" s="321"/>
      <c r="F89" s="323"/>
      <c r="G89" s="323"/>
      <c r="H89" s="323"/>
      <c r="I89" s="324"/>
      <c r="J89" s="324"/>
      <c r="K89" s="324"/>
      <c r="L89" s="323"/>
      <c r="M89" s="323"/>
      <c r="N89" s="323"/>
      <c r="O89" s="321"/>
      <c r="P89" s="462">
        <f t="shared" si="7"/>
        <v>0</v>
      </c>
      <c r="Q89" s="306">
        <f t="shared" si="2"/>
        <v>0</v>
      </c>
      <c r="R89" s="307">
        <f t="shared" si="8"/>
        <v>0</v>
      </c>
      <c r="S89" s="307">
        <f t="shared" si="9"/>
        <v>0</v>
      </c>
      <c r="T89" s="307">
        <f t="shared" si="10"/>
        <v>0</v>
      </c>
      <c r="U89" s="308">
        <f t="shared" si="11"/>
        <v>0</v>
      </c>
      <c r="V89" s="405"/>
      <c r="W89" s="317"/>
      <c r="X89" s="325"/>
      <c r="Y89" s="412"/>
      <c r="Z89" s="411"/>
      <c r="AA89" s="330"/>
      <c r="AB89" s="407"/>
      <c r="AC89" s="332"/>
      <c r="AD89" s="333"/>
      <c r="AE89" s="331"/>
      <c r="AF89" s="332"/>
      <c r="AG89" s="333"/>
      <c r="AH89" s="331"/>
      <c r="AI89" s="332"/>
      <c r="AJ89" s="333"/>
      <c r="AK89" s="386"/>
      <c r="AL89" s="312"/>
      <c r="AM89" s="386"/>
      <c r="AN89" s="388"/>
      <c r="AO89" s="379"/>
      <c r="AP89" s="269"/>
      <c r="AQ89" s="380"/>
      <c r="AR89" s="465"/>
    </row>
    <row r="90" spans="1:44" s="36" customFormat="1" ht="15.75" x14ac:dyDescent="0.25">
      <c r="A90" s="342"/>
      <c r="B90" s="320"/>
      <c r="C90" s="320"/>
      <c r="D90" s="321"/>
      <c r="E90" s="321"/>
      <c r="F90" s="321"/>
      <c r="G90" s="321"/>
      <c r="H90" s="321"/>
      <c r="I90" s="321"/>
      <c r="J90" s="341"/>
      <c r="K90" s="321"/>
      <c r="L90" s="321"/>
      <c r="M90" s="321"/>
      <c r="N90" s="321"/>
      <c r="O90" s="321"/>
      <c r="P90" s="462">
        <f t="shared" si="7"/>
        <v>0</v>
      </c>
      <c r="Q90" s="306">
        <f t="shared" si="2"/>
        <v>0</v>
      </c>
      <c r="R90" s="307">
        <f t="shared" si="8"/>
        <v>0</v>
      </c>
      <c r="S90" s="307">
        <f t="shared" si="9"/>
        <v>0</v>
      </c>
      <c r="T90" s="307">
        <f t="shared" si="10"/>
        <v>0</v>
      </c>
      <c r="U90" s="308">
        <f t="shared" si="11"/>
        <v>0</v>
      </c>
      <c r="V90" s="405"/>
      <c r="W90" s="317"/>
      <c r="X90" s="325"/>
      <c r="Y90" s="412"/>
      <c r="Z90" s="411"/>
      <c r="AA90" s="330"/>
      <c r="AB90" s="407"/>
      <c r="AC90" s="332"/>
      <c r="AD90" s="333"/>
      <c r="AE90" s="331"/>
      <c r="AF90" s="332"/>
      <c r="AG90" s="333"/>
      <c r="AH90" s="331"/>
      <c r="AI90" s="332"/>
      <c r="AJ90" s="333"/>
      <c r="AK90" s="322"/>
      <c r="AL90" s="312"/>
      <c r="AM90" s="322"/>
      <c r="AN90" s="389"/>
      <c r="AO90" s="379"/>
      <c r="AP90" s="269"/>
      <c r="AQ90" s="380"/>
      <c r="AR90" s="465"/>
    </row>
    <row r="91" spans="1:44" s="19" customFormat="1" ht="15.75" x14ac:dyDescent="0.25">
      <c r="A91" s="342"/>
      <c r="B91" s="320"/>
      <c r="C91" s="320"/>
      <c r="D91" s="321"/>
      <c r="E91" s="321"/>
      <c r="F91" s="323"/>
      <c r="G91" s="323"/>
      <c r="H91" s="323"/>
      <c r="I91" s="324"/>
      <c r="J91" s="343"/>
      <c r="K91" s="324"/>
      <c r="L91" s="323"/>
      <c r="M91" s="323"/>
      <c r="N91" s="323"/>
      <c r="O91" s="321"/>
      <c r="P91" s="462">
        <f t="shared" si="7"/>
        <v>0</v>
      </c>
      <c r="Q91" s="306">
        <f t="shared" si="2"/>
        <v>0</v>
      </c>
      <c r="R91" s="307">
        <f t="shared" si="8"/>
        <v>0</v>
      </c>
      <c r="S91" s="307">
        <f t="shared" si="9"/>
        <v>0</v>
      </c>
      <c r="T91" s="307">
        <f t="shared" si="10"/>
        <v>0</v>
      </c>
      <c r="U91" s="308">
        <f t="shared" si="11"/>
        <v>0</v>
      </c>
      <c r="V91" s="405"/>
      <c r="W91" s="317"/>
      <c r="X91" s="325"/>
      <c r="Y91" s="412"/>
      <c r="Z91" s="411"/>
      <c r="AA91" s="330"/>
      <c r="AB91" s="407"/>
      <c r="AC91" s="332"/>
      <c r="AD91" s="333"/>
      <c r="AE91" s="331"/>
      <c r="AF91" s="332"/>
      <c r="AG91" s="333"/>
      <c r="AH91" s="331"/>
      <c r="AI91" s="332"/>
      <c r="AJ91" s="333"/>
      <c r="AK91" s="386"/>
      <c r="AL91" s="312"/>
      <c r="AM91" s="386"/>
      <c r="AN91" s="388"/>
      <c r="AO91" s="379"/>
      <c r="AP91" s="269"/>
      <c r="AQ91" s="380"/>
      <c r="AR91" s="465"/>
    </row>
    <row r="92" spans="1:44" s="19" customFormat="1" ht="15.75" x14ac:dyDescent="0.25">
      <c r="A92" s="342"/>
      <c r="B92" s="320"/>
      <c r="C92" s="320"/>
      <c r="D92" s="321"/>
      <c r="E92" s="321"/>
      <c r="F92" s="323"/>
      <c r="G92" s="323"/>
      <c r="H92" s="323"/>
      <c r="I92" s="324"/>
      <c r="J92" s="343"/>
      <c r="K92" s="324"/>
      <c r="L92" s="323"/>
      <c r="M92" s="323"/>
      <c r="N92" s="323"/>
      <c r="O92" s="321"/>
      <c r="P92" s="462">
        <f t="shared" si="7"/>
        <v>0</v>
      </c>
      <c r="Q92" s="306">
        <f t="shared" si="2"/>
        <v>0</v>
      </c>
      <c r="R92" s="307">
        <f t="shared" si="8"/>
        <v>0</v>
      </c>
      <c r="S92" s="307">
        <f t="shared" si="9"/>
        <v>0</v>
      </c>
      <c r="T92" s="307">
        <f t="shared" si="10"/>
        <v>0</v>
      </c>
      <c r="U92" s="308">
        <f t="shared" si="11"/>
        <v>0</v>
      </c>
      <c r="V92" s="405"/>
      <c r="W92" s="317"/>
      <c r="X92" s="325"/>
      <c r="Y92" s="412"/>
      <c r="Z92" s="411"/>
      <c r="AA92" s="330"/>
      <c r="AB92" s="407"/>
      <c r="AC92" s="332"/>
      <c r="AD92" s="333"/>
      <c r="AE92" s="331"/>
      <c r="AF92" s="332"/>
      <c r="AG92" s="333"/>
      <c r="AH92" s="331"/>
      <c r="AI92" s="332"/>
      <c r="AJ92" s="333"/>
      <c r="AK92" s="386"/>
      <c r="AL92" s="312"/>
      <c r="AM92" s="386"/>
      <c r="AN92" s="388"/>
      <c r="AO92" s="379"/>
      <c r="AP92" s="269"/>
      <c r="AQ92" s="380"/>
      <c r="AR92" s="465"/>
    </row>
    <row r="93" spans="1:44" s="19" customFormat="1" ht="15.75" x14ac:dyDescent="0.25">
      <c r="A93" s="463"/>
      <c r="B93" s="334"/>
      <c r="C93" s="334"/>
      <c r="D93" s="335"/>
      <c r="E93" s="335"/>
      <c r="F93" s="323"/>
      <c r="G93" s="344"/>
      <c r="H93" s="464"/>
      <c r="I93" s="336"/>
      <c r="J93" s="345"/>
      <c r="K93" s="336"/>
      <c r="L93" s="464"/>
      <c r="M93" s="464"/>
      <c r="N93" s="464"/>
      <c r="O93" s="335"/>
      <c r="P93" s="462">
        <f t="shared" si="7"/>
        <v>0</v>
      </c>
      <c r="Q93" s="306">
        <f t="shared" si="2"/>
        <v>0</v>
      </c>
      <c r="R93" s="307">
        <f t="shared" si="8"/>
        <v>0</v>
      </c>
      <c r="S93" s="307">
        <f t="shared" si="9"/>
        <v>0</v>
      </c>
      <c r="T93" s="307">
        <f t="shared" si="10"/>
        <v>0</v>
      </c>
      <c r="U93" s="308">
        <f t="shared" si="11"/>
        <v>0</v>
      </c>
      <c r="V93" s="405"/>
      <c r="W93" s="317"/>
      <c r="X93" s="325"/>
      <c r="Y93" s="412"/>
      <c r="Z93" s="411"/>
      <c r="AA93" s="330"/>
      <c r="AB93" s="408"/>
      <c r="AC93" s="338"/>
      <c r="AD93" s="339"/>
      <c r="AE93" s="337"/>
      <c r="AF93" s="338"/>
      <c r="AG93" s="339"/>
      <c r="AH93" s="337"/>
      <c r="AI93" s="338"/>
      <c r="AJ93" s="338"/>
      <c r="AK93" s="387"/>
      <c r="AL93" s="340"/>
      <c r="AM93" s="387"/>
      <c r="AN93" s="388"/>
      <c r="AO93" s="381"/>
      <c r="AP93" s="378"/>
      <c r="AQ93" s="382"/>
      <c r="AR93" s="466"/>
    </row>
    <row r="94" spans="1:44" s="19" customFormat="1" ht="15.6" customHeight="1" thickBot="1" x14ac:dyDescent="0.3">
      <c r="A94" s="37"/>
      <c r="B94" s="29"/>
      <c r="C94" s="38"/>
      <c r="D94" s="38"/>
      <c r="E94" s="38"/>
      <c r="F94" s="38"/>
      <c r="G94" s="38"/>
      <c r="H94" s="38"/>
      <c r="I94" s="38"/>
      <c r="J94" s="29"/>
      <c r="K94" s="38"/>
      <c r="L94" s="38"/>
      <c r="M94" s="38"/>
      <c r="N94" s="38"/>
      <c r="O94" s="38"/>
      <c r="P94" s="20">
        <f t="shared" si="7"/>
        <v>0</v>
      </c>
      <c r="Q94" s="236">
        <f t="shared" si="2"/>
        <v>0</v>
      </c>
      <c r="R94" s="377">
        <f t="shared" si="8"/>
        <v>0</v>
      </c>
      <c r="S94" s="377">
        <f t="shared" si="9"/>
        <v>0</v>
      </c>
      <c r="T94" s="377">
        <f t="shared" si="10"/>
        <v>0</v>
      </c>
      <c r="U94" s="400">
        <f t="shared" si="11"/>
        <v>0</v>
      </c>
      <c r="V94" s="368"/>
      <c r="W94" s="369"/>
      <c r="X94" s="31"/>
      <c r="Y94" s="383"/>
      <c r="Z94" s="384"/>
      <c r="AA94" s="201"/>
      <c r="AB94" s="199"/>
      <c r="AC94" s="200"/>
      <c r="AD94" s="201"/>
      <c r="AE94" s="202"/>
      <c r="AF94" s="200"/>
      <c r="AG94" s="201"/>
      <c r="AH94" s="202"/>
      <c r="AI94" s="200"/>
      <c r="AJ94" s="200"/>
      <c r="AK94" s="242"/>
      <c r="AL94" s="241"/>
      <c r="AM94" s="242"/>
      <c r="AN94" s="241"/>
      <c r="AO94" s="383"/>
      <c r="AP94" s="384"/>
      <c r="AQ94" s="201"/>
      <c r="AR94" s="241"/>
    </row>
    <row r="95" spans="1:44" x14ac:dyDescent="0.25">
      <c r="J95"/>
    </row>
    <row r="96" spans="1:44" x14ac:dyDescent="0.25">
      <c r="F96" s="15"/>
      <c r="J96"/>
    </row>
    <row r="97" spans="5:38" x14ac:dyDescent="0.25">
      <c r="E97" t="s">
        <v>96</v>
      </c>
      <c r="F97" s="14" t="s">
        <v>216</v>
      </c>
      <c r="G97" t="s">
        <v>7</v>
      </c>
      <c r="J97"/>
      <c r="O97" s="14" t="s">
        <v>214</v>
      </c>
      <c r="P97" s="14"/>
      <c r="AL97" t="s">
        <v>103</v>
      </c>
    </row>
    <row r="98" spans="5:38" x14ac:dyDescent="0.25">
      <c r="E98" t="s">
        <v>218</v>
      </c>
      <c r="F98" s="14" t="s">
        <v>219</v>
      </c>
      <c r="G98" t="s">
        <v>8</v>
      </c>
      <c r="J98"/>
      <c r="O98" s="14" t="s">
        <v>185</v>
      </c>
      <c r="P98" s="14"/>
      <c r="AL98" t="s">
        <v>140</v>
      </c>
    </row>
    <row r="99" spans="5:38" x14ac:dyDescent="0.25">
      <c r="E99" t="s">
        <v>159</v>
      </c>
      <c r="F99" s="14" t="s">
        <v>130</v>
      </c>
      <c r="G99" t="s">
        <v>228</v>
      </c>
      <c r="J99"/>
      <c r="O99" s="14" t="s">
        <v>101</v>
      </c>
      <c r="P99" s="14"/>
      <c r="AL99" t="s">
        <v>135</v>
      </c>
    </row>
    <row r="100" spans="5:38" x14ac:dyDescent="0.25">
      <c r="F100" s="14" t="s">
        <v>223</v>
      </c>
      <c r="G100" t="s">
        <v>10</v>
      </c>
      <c r="J100"/>
      <c r="O100" s="14" t="s">
        <v>224</v>
      </c>
      <c r="P100" s="14"/>
      <c r="AL100" t="s">
        <v>255</v>
      </c>
    </row>
    <row r="101" spans="5:38" x14ac:dyDescent="0.25">
      <c r="F101" s="14" t="s">
        <v>118</v>
      </c>
      <c r="J101"/>
      <c r="O101" s="14" t="s">
        <v>18</v>
      </c>
      <c r="P101" s="14"/>
      <c r="AL101" t="s">
        <v>111</v>
      </c>
    </row>
    <row r="102" spans="5:38" x14ac:dyDescent="0.25">
      <c r="F102" s="14" t="s">
        <v>142</v>
      </c>
      <c r="J102"/>
      <c r="O102" s="14" t="s">
        <v>227</v>
      </c>
      <c r="P102" s="14"/>
    </row>
    <row r="103" spans="5:38" x14ac:dyDescent="0.25">
      <c r="F103" s="14" t="s">
        <v>148</v>
      </c>
      <c r="J103"/>
      <c r="O103" s="14" t="s">
        <v>109</v>
      </c>
    </row>
    <row r="104" spans="5:38" x14ac:dyDescent="0.25">
      <c r="F104" s="14" t="s">
        <v>229</v>
      </c>
      <c r="J104"/>
    </row>
    <row r="105" spans="5:38" x14ac:dyDescent="0.25">
      <c r="F105" s="14" t="s">
        <v>177</v>
      </c>
      <c r="J105"/>
    </row>
    <row r="106" spans="5:38" x14ac:dyDescent="0.25">
      <c r="F106" s="14" t="s">
        <v>187</v>
      </c>
      <c r="J106"/>
    </row>
    <row r="107" spans="5:38" x14ac:dyDescent="0.25">
      <c r="F107" s="14" t="s">
        <v>104</v>
      </c>
      <c r="J107"/>
    </row>
    <row r="108" spans="5:38" x14ac:dyDescent="0.25">
      <c r="F108" s="14" t="s">
        <v>230</v>
      </c>
      <c r="J108"/>
    </row>
    <row r="109" spans="5:38" x14ac:dyDescent="0.25">
      <c r="F109" s="14" t="s">
        <v>231</v>
      </c>
      <c r="J109"/>
    </row>
    <row r="110" spans="5:38" x14ac:dyDescent="0.25">
      <c r="F110" s="14" t="s">
        <v>232</v>
      </c>
      <c r="J110"/>
    </row>
    <row r="111" spans="5:38" x14ac:dyDescent="0.25">
      <c r="F111" s="14" t="s">
        <v>233</v>
      </c>
      <c r="J111"/>
    </row>
    <row r="112" spans="5:38" x14ac:dyDescent="0.25">
      <c r="F112" s="14" t="s">
        <v>235</v>
      </c>
      <c r="J112"/>
    </row>
    <row r="113" spans="6:10" x14ac:dyDescent="0.25">
      <c r="F113" s="14" t="s">
        <v>236</v>
      </c>
      <c r="J113"/>
    </row>
    <row r="114" spans="6:10" x14ac:dyDescent="0.25">
      <c r="F114" s="14" t="s">
        <v>237</v>
      </c>
      <c r="J114"/>
    </row>
    <row r="115" spans="6:10" x14ac:dyDescent="0.25">
      <c r="F115" s="14" t="s">
        <v>160</v>
      </c>
      <c r="J115"/>
    </row>
    <row r="116" spans="6:10" x14ac:dyDescent="0.25">
      <c r="I116" s="3"/>
      <c r="J116"/>
    </row>
    <row r="117" spans="6:10" x14ac:dyDescent="0.25">
      <c r="H117" s="3"/>
      <c r="J117"/>
    </row>
  </sheetData>
  <sheetProtection algorithmName="SHA-512" hashValue="FSE6qpBHYNYmgydgm9HFSoHhZWdrIXGFRqvAZ6c+jUdHDmBGuYU+vkvPYDENLAHuChN5fVPELxQabiobqmTwlA==" saltValue="xgJkSonrOasaFuU/vZndVA=="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zoomScaleNormal="100" workbookViewId="0">
      <selection activeCell="C18" sqref="C18"/>
    </sheetView>
  </sheetViews>
  <sheetFormatPr defaultColWidth="8.85546875" defaultRowHeight="15" x14ac:dyDescent="0.25"/>
  <cols>
    <col min="1" max="1" width="52.140625" style="39" customWidth="1"/>
    <col min="2" max="5" width="11.85546875" style="39" customWidth="1"/>
    <col min="6" max="12" width="14.7109375" style="39" customWidth="1"/>
    <col min="13" max="16384" width="8.85546875" style="39"/>
  </cols>
  <sheetData>
    <row r="2" spans="1:12" ht="15.75" thickBot="1" x14ac:dyDescent="0.3"/>
    <row r="3" spans="1:12" ht="168.75" thickBot="1" x14ac:dyDescent="0.3">
      <c r="A3" s="40" t="s">
        <v>256</v>
      </c>
      <c r="B3" s="41" t="s">
        <v>239</v>
      </c>
      <c r="C3" s="41">
        <v>2023</v>
      </c>
      <c r="D3" s="41">
        <v>2024</v>
      </c>
      <c r="E3" s="41">
        <v>2025</v>
      </c>
      <c r="F3" s="112" t="s">
        <v>257</v>
      </c>
      <c r="G3" s="113" t="s">
        <v>258</v>
      </c>
      <c r="H3" s="113" t="s">
        <v>259</v>
      </c>
      <c r="I3" s="113" t="s">
        <v>260</v>
      </c>
      <c r="J3" s="113" t="s">
        <v>261</v>
      </c>
      <c r="K3" s="113" t="s">
        <v>262</v>
      </c>
      <c r="L3" s="114" t="s">
        <v>263</v>
      </c>
    </row>
    <row r="4" spans="1:12" x14ac:dyDescent="0.25">
      <c r="A4" s="42" t="s">
        <v>264</v>
      </c>
      <c r="B4" s="43"/>
      <c r="C4" s="43"/>
      <c r="D4" s="44"/>
      <c r="E4" s="44"/>
      <c r="L4" s="45"/>
    </row>
    <row r="5" spans="1:12" ht="24" x14ac:dyDescent="0.25">
      <c r="A5" s="78" t="s">
        <v>7</v>
      </c>
      <c r="B5" s="111">
        <f>SUM(C5:E5)</f>
        <v>4758782.42</v>
      </c>
      <c r="C5" s="46">
        <f>Tegevuskava!D23</f>
        <v>0</v>
      </c>
      <c r="D5" s="46">
        <f>Tegevuskava!E23</f>
        <v>761123.4</v>
      </c>
      <c r="E5" s="46">
        <f>Tegevuskava!F23</f>
        <v>3997659.02</v>
      </c>
      <c r="F5" s="47" t="s">
        <v>265</v>
      </c>
      <c r="G5" s="47" t="s">
        <v>265</v>
      </c>
      <c r="H5" s="47" t="s">
        <v>265</v>
      </c>
      <c r="I5" s="47" t="s">
        <v>265</v>
      </c>
      <c r="J5" s="47" t="s">
        <v>265</v>
      </c>
      <c r="K5" s="47" t="s">
        <v>265</v>
      </c>
      <c r="L5" s="48" t="s">
        <v>265</v>
      </c>
    </row>
    <row r="6" spans="1:12" ht="24" x14ac:dyDescent="0.25">
      <c r="A6" s="78" t="s">
        <v>266</v>
      </c>
      <c r="B6" s="111">
        <f t="shared" ref="B6:B8" si="0">SUM(C6:E6)</f>
        <v>0</v>
      </c>
      <c r="C6" s="46">
        <f>Tegevuskava!D24</f>
        <v>0</v>
      </c>
      <c r="D6" s="46">
        <f>Tegevuskava!E24</f>
        <v>0</v>
      </c>
      <c r="E6" s="46">
        <f>Tegevuskava!F24</f>
        <v>0</v>
      </c>
      <c r="F6" s="47" t="s">
        <v>265</v>
      </c>
      <c r="G6" s="47" t="s">
        <v>265</v>
      </c>
      <c r="H6" s="47" t="s">
        <v>265</v>
      </c>
      <c r="I6" s="47" t="s">
        <v>265</v>
      </c>
      <c r="J6" s="47" t="s">
        <v>265</v>
      </c>
      <c r="K6" s="47" t="s">
        <v>265</v>
      </c>
      <c r="L6" s="48" t="s">
        <v>265</v>
      </c>
    </row>
    <row r="7" spans="1:12" ht="36" x14ac:dyDescent="0.25">
      <c r="A7" s="78" t="s">
        <v>267</v>
      </c>
      <c r="B7" s="111">
        <f t="shared" si="0"/>
        <v>609588</v>
      </c>
      <c r="C7" s="46">
        <f>Tegevuskava!D25</f>
        <v>0</v>
      </c>
      <c r="D7" s="46">
        <f>Tegevuskava!E25</f>
        <v>304794</v>
      </c>
      <c r="E7" s="46">
        <f>Tegevuskava!F25</f>
        <v>304794</v>
      </c>
      <c r="F7" s="47" t="s">
        <v>265</v>
      </c>
      <c r="G7" s="47" t="s">
        <v>265</v>
      </c>
      <c r="H7" s="47" t="s">
        <v>265</v>
      </c>
      <c r="I7" s="47" t="s">
        <v>265</v>
      </c>
      <c r="J7" s="47" t="s">
        <v>265</v>
      </c>
      <c r="K7" s="47" t="s">
        <v>265</v>
      </c>
      <c r="L7" s="48" t="s">
        <v>265</v>
      </c>
    </row>
    <row r="8" spans="1:12" ht="24.75" thickBot="1" x14ac:dyDescent="0.3">
      <c r="A8" s="79" t="s">
        <v>268</v>
      </c>
      <c r="B8" s="111">
        <f t="shared" si="0"/>
        <v>0</v>
      </c>
      <c r="C8" s="46">
        <f>Tegevuskava!D26</f>
        <v>0</v>
      </c>
      <c r="D8" s="46">
        <f>Tegevuskava!E26</f>
        <v>0</v>
      </c>
      <c r="E8" s="46">
        <f>Tegevuskava!F26</f>
        <v>0</v>
      </c>
      <c r="F8" s="47" t="s">
        <v>265</v>
      </c>
      <c r="G8" s="47" t="s">
        <v>265</v>
      </c>
      <c r="H8" s="47" t="s">
        <v>265</v>
      </c>
      <c r="I8" s="47" t="s">
        <v>265</v>
      </c>
      <c r="J8" s="47" t="s">
        <v>265</v>
      </c>
      <c r="K8" s="47" t="s">
        <v>265</v>
      </c>
      <c r="L8" s="48" t="s">
        <v>265</v>
      </c>
    </row>
    <row r="9" spans="1:12" ht="15.75" thickBot="1" x14ac:dyDescent="0.3">
      <c r="A9" s="49" t="s">
        <v>269</v>
      </c>
      <c r="B9" s="110">
        <f>SUM(B5:B8)</f>
        <v>5368370.42</v>
      </c>
      <c r="C9" s="110">
        <f>SUM(C5:C8)</f>
        <v>0</v>
      </c>
      <c r="D9" s="110">
        <f>SUM(D5:D8)</f>
        <v>1065917.3999999999</v>
      </c>
      <c r="E9" s="110">
        <f>SUM(E5:E8)</f>
        <v>4302453.0199999996</v>
      </c>
      <c r="F9" s="50"/>
      <c r="G9" s="50"/>
      <c r="H9" s="50"/>
      <c r="I9" s="50"/>
      <c r="J9" s="50"/>
      <c r="K9" s="50"/>
      <c r="L9" s="51"/>
    </row>
    <row r="10" spans="1:12" ht="15.75" thickBot="1" x14ac:dyDescent="0.3"/>
    <row r="11" spans="1:12" x14ac:dyDescent="0.25">
      <c r="A11" s="52" t="s">
        <v>25</v>
      </c>
      <c r="B11" s="587" t="s">
        <v>26</v>
      </c>
      <c r="C11" s="588"/>
      <c r="D11" s="588"/>
      <c r="E11" s="588"/>
      <c r="F11" s="588"/>
      <c r="G11" s="588"/>
      <c r="H11" s="588"/>
      <c r="I11" s="609"/>
    </row>
    <row r="12" spans="1:12" ht="30" x14ac:dyDescent="0.25">
      <c r="A12" s="53" t="s">
        <v>29</v>
      </c>
      <c r="B12" s="115" t="s">
        <v>270</v>
      </c>
      <c r="C12" s="116" t="s">
        <v>271</v>
      </c>
      <c r="D12" s="116" t="s">
        <v>272</v>
      </c>
      <c r="E12" s="116" t="s">
        <v>273</v>
      </c>
      <c r="F12" s="116" t="s">
        <v>274</v>
      </c>
      <c r="G12" s="116" t="s">
        <v>275</v>
      </c>
      <c r="H12" s="116" t="s">
        <v>276</v>
      </c>
      <c r="I12" s="117" t="s">
        <v>277</v>
      </c>
    </row>
    <row r="13" spans="1:12" ht="15.75" thickBot="1" x14ac:dyDescent="0.3">
      <c r="A13" s="54" t="s">
        <v>38</v>
      </c>
      <c r="B13" s="118">
        <f>'kuni 2025 detsember tegevuskava'!B19</f>
        <v>0</v>
      </c>
      <c r="C13" s="118">
        <f>'kuni 2025 detsember tegevuskava'!C19</f>
        <v>0</v>
      </c>
      <c r="D13" s="118">
        <f>'kuni 2025 detsember tegevuskava'!D19</f>
        <v>35000</v>
      </c>
      <c r="E13" s="118">
        <f>'kuni 2025 detsember tegevuskava'!E19</f>
        <v>50000</v>
      </c>
      <c r="F13" s="118">
        <f>'kuni 2025 detsember tegevuskava'!F19</f>
        <v>200000</v>
      </c>
      <c r="G13" s="118">
        <f>'kuni 2025 detsember tegevuskava'!G19</f>
        <v>500000</v>
      </c>
      <c r="H13" s="118">
        <f>'kuni 2025 detsember tegevuskava'!H19</f>
        <v>600000</v>
      </c>
      <c r="I13" s="119">
        <f>'kuni 2025 detsember tegevuskava'!I19</f>
        <v>700000</v>
      </c>
    </row>
    <row r="14" spans="1:12" x14ac:dyDescent="0.25">
      <c r="A14" s="52" t="s">
        <v>40</v>
      </c>
      <c r="B14" s="587" t="s">
        <v>41</v>
      </c>
      <c r="C14" s="588"/>
      <c r="D14" s="588"/>
      <c r="E14" s="588"/>
      <c r="F14" s="588"/>
      <c r="G14" s="588"/>
      <c r="H14" s="588"/>
      <c r="I14" s="609"/>
    </row>
    <row r="15" spans="1:12" ht="30" x14ac:dyDescent="0.25">
      <c r="A15" s="53" t="s">
        <v>29</v>
      </c>
      <c r="B15" s="115" t="s">
        <v>270</v>
      </c>
      <c r="C15" s="116" t="s">
        <v>271</v>
      </c>
      <c r="D15" s="116" t="s">
        <v>272</v>
      </c>
      <c r="E15" s="116" t="s">
        <v>273</v>
      </c>
      <c r="F15" s="116" t="s">
        <v>274</v>
      </c>
      <c r="G15" s="116" t="s">
        <v>275</v>
      </c>
      <c r="H15" s="116" t="s">
        <v>276</v>
      </c>
      <c r="I15" s="117" t="s">
        <v>277</v>
      </c>
    </row>
    <row r="16" spans="1:12" ht="15.75" thickBot="1" x14ac:dyDescent="0.3">
      <c r="A16" s="54" t="s">
        <v>38</v>
      </c>
      <c r="B16" s="118">
        <f>'kuni 2025 detsember tegevuskava'!B22</f>
        <v>0</v>
      </c>
      <c r="C16" s="118">
        <f>'kuni 2025 detsember tegevuskava'!C22</f>
        <v>0</v>
      </c>
      <c r="D16" s="118">
        <f>'kuni 2025 detsember tegevuskava'!D22</f>
        <v>2</v>
      </c>
      <c r="E16" s="118">
        <f>'kuni 2025 detsember tegevuskava'!E22</f>
        <v>3</v>
      </c>
      <c r="F16" s="118">
        <f>'kuni 2025 detsember tegevuskava'!F22</f>
        <v>5</v>
      </c>
      <c r="G16" s="118">
        <f>'kuni 2025 detsember tegevuskava'!G22</f>
        <v>7</v>
      </c>
      <c r="H16" s="118">
        <f>'kuni 2025 detsember tegevuskava'!H22</f>
        <v>9</v>
      </c>
      <c r="I16" s="119">
        <f>'kuni 2025 detsember tegevuskava'!I22</f>
        <v>10</v>
      </c>
    </row>
    <row r="17" spans="1:9" x14ac:dyDescent="0.25">
      <c r="A17" s="52" t="s">
        <v>40</v>
      </c>
      <c r="B17" s="587" t="s">
        <v>44</v>
      </c>
      <c r="C17" s="588"/>
      <c r="D17" s="588"/>
      <c r="E17" s="588"/>
      <c r="F17" s="588"/>
      <c r="G17" s="588"/>
      <c r="H17" s="588"/>
      <c r="I17" s="609"/>
    </row>
    <row r="18" spans="1:9" ht="30" x14ac:dyDescent="0.25">
      <c r="A18" s="53" t="s">
        <v>29</v>
      </c>
      <c r="B18" s="115" t="s">
        <v>270</v>
      </c>
      <c r="C18" s="116" t="s">
        <v>271</v>
      </c>
      <c r="D18" s="116" t="s">
        <v>272</v>
      </c>
      <c r="E18" s="116" t="s">
        <v>273</v>
      </c>
      <c r="F18" s="116" t="s">
        <v>274</v>
      </c>
      <c r="G18" s="116" t="s">
        <v>275</v>
      </c>
      <c r="H18" s="116" t="s">
        <v>276</v>
      </c>
      <c r="I18" s="117" t="s">
        <v>277</v>
      </c>
    </row>
    <row r="19" spans="1:9" ht="15.75" thickBot="1" x14ac:dyDescent="0.3">
      <c r="A19" s="501" t="s">
        <v>38</v>
      </c>
      <c r="B19" s="502">
        <f>'kuni 2025 detsember tegevuskava'!B25</f>
        <v>0</v>
      </c>
      <c r="C19" s="502">
        <f>'kuni 2025 detsember tegevuskava'!C25</f>
        <v>7</v>
      </c>
      <c r="D19" s="502">
        <f>'kuni 2025 detsember tegevuskava'!D25</f>
        <v>7</v>
      </c>
      <c r="E19" s="502">
        <f>'kuni 2025 detsember tegevuskava'!E25</f>
        <v>7</v>
      </c>
      <c r="F19" s="502">
        <f>'kuni 2025 detsember tegevuskava'!F25</f>
        <v>7</v>
      </c>
      <c r="G19" s="502">
        <f>'kuni 2025 detsember tegevuskava'!G25</f>
        <v>7</v>
      </c>
      <c r="H19" s="502">
        <f>'kuni 2025 detsember tegevuskava'!H25</f>
        <v>7</v>
      </c>
      <c r="I19" s="503">
        <f>'kuni 2025 detsember tegevuskava'!I25</f>
        <v>7</v>
      </c>
    </row>
    <row r="20" spans="1:9" ht="30" x14ac:dyDescent="0.25">
      <c r="A20" s="504" t="s">
        <v>47</v>
      </c>
      <c r="B20" s="599" t="s">
        <v>48</v>
      </c>
      <c r="C20" s="610"/>
      <c r="D20" s="610"/>
      <c r="E20" s="610"/>
      <c r="F20" s="610"/>
      <c r="G20" s="610"/>
      <c r="H20" s="610"/>
      <c r="I20" s="611"/>
    </row>
    <row r="21" spans="1:9" ht="30" x14ac:dyDescent="0.25">
      <c r="A21" s="505" t="s">
        <v>29</v>
      </c>
      <c r="B21" s="115" t="s">
        <v>270</v>
      </c>
      <c r="C21" s="116" t="s">
        <v>271</v>
      </c>
      <c r="D21" s="116" t="s">
        <v>272</v>
      </c>
      <c r="E21" s="116" t="s">
        <v>273</v>
      </c>
      <c r="F21" s="116" t="s">
        <v>274</v>
      </c>
      <c r="G21" s="116" t="s">
        <v>275</v>
      </c>
      <c r="H21" s="116" t="s">
        <v>276</v>
      </c>
      <c r="I21" s="506" t="s">
        <v>277</v>
      </c>
    </row>
    <row r="22" spans="1:9" ht="15.75" thickBot="1" x14ac:dyDescent="0.3">
      <c r="A22" s="507" t="s">
        <v>38</v>
      </c>
      <c r="B22" s="508" t="str">
        <f>'kuni 2025 detsember tegevuskava'!B28&amp;"%"</f>
        <v>47%</v>
      </c>
      <c r="C22" s="508" t="str">
        <f>'kuni 2025 detsember tegevuskava'!C28&amp;"%"</f>
        <v>50%</v>
      </c>
      <c r="D22" s="508" t="str">
        <f>'kuni 2025 detsember tegevuskava'!D28&amp;"%"</f>
        <v>55%</v>
      </c>
      <c r="E22" s="508" t="str">
        <f>'kuni 2025 detsember tegevuskava'!E28&amp;"%"</f>
        <v>60%</v>
      </c>
      <c r="F22" s="508" t="str">
        <f>'kuni 2025 detsember tegevuskava'!F28&amp;"%"</f>
        <v>65%</v>
      </c>
      <c r="G22" s="508" t="str">
        <f>'kuni 2025 detsember tegevuskava'!G28&amp;"%"</f>
        <v>70%</v>
      </c>
      <c r="H22" s="508" t="str">
        <f>'kuni 2025 detsember tegevuskava'!H28&amp;"%"</f>
        <v>80%</v>
      </c>
      <c r="I22" s="509" t="str">
        <f>'kuni 2025 detsember tegevuskava'!I28&amp;"%"</f>
        <v>90%</v>
      </c>
    </row>
    <row r="25" spans="1:9" x14ac:dyDescent="0.25">
      <c r="A25" s="55"/>
    </row>
    <row r="26" spans="1:9" x14ac:dyDescent="0.25">
      <c r="A26" s="55"/>
    </row>
  </sheetData>
  <sheetProtection algorithmName="SHA-512" hashValue="y1dnIR7GbRRWJYZnIs9cHRUo00t2Vv6g+9FhnBUhQqPFFs0ZPIdqxhFaZWasMLW5z9XNsUHIrNcwOQzkGFdv1A==" saltValue="5uwet69L6DEFZnofi/3I7Q=="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565"/>
  <sheetViews>
    <sheetView topLeftCell="A14" zoomScale="115" zoomScaleNormal="115" workbookViewId="0">
      <selection activeCell="D24" sqref="D24"/>
    </sheetView>
  </sheetViews>
  <sheetFormatPr defaultColWidth="8.7109375" defaultRowHeight="15" x14ac:dyDescent="0.25"/>
  <cols>
    <col min="1" max="1" width="2.7109375" style="1" customWidth="1"/>
    <col min="2" max="2" width="18.85546875" style="1" customWidth="1"/>
    <col min="3" max="3" width="13.5703125" style="1" customWidth="1"/>
    <col min="4" max="4" width="27.140625" style="1" customWidth="1"/>
    <col min="5" max="5" width="32.85546875" style="1" customWidth="1"/>
    <col min="6" max="6" width="11.140625" style="1" customWidth="1"/>
    <col min="7" max="7" width="2" style="1" customWidth="1"/>
    <col min="8" max="8" width="2.5703125" style="1" customWidth="1"/>
    <col min="9" max="9" width="11.42578125" style="1" customWidth="1"/>
    <col min="10" max="10" width="20" style="1" customWidth="1"/>
    <col min="11" max="11" width="12.5703125" style="1" customWidth="1"/>
    <col min="12" max="14" width="12.85546875" style="1" customWidth="1"/>
    <col min="15" max="15" width="13.28515625" style="1" customWidth="1"/>
    <col min="16" max="16" width="4.42578125" style="1" customWidth="1"/>
    <col min="17" max="17" width="8.7109375" style="1"/>
    <col min="18" max="19" width="10.85546875" style="1" customWidth="1"/>
    <col min="20" max="20" width="10.5703125" style="1" customWidth="1"/>
    <col min="21" max="16384" width="8.7109375" style="1"/>
  </cols>
  <sheetData>
    <row r="2" spans="2:27" ht="30.95" customHeight="1" x14ac:dyDescent="0.25">
      <c r="B2" s="622" t="s">
        <v>278</v>
      </c>
      <c r="C2" s="622"/>
      <c r="D2" s="622"/>
      <c r="E2" s="622"/>
      <c r="F2" s="622"/>
      <c r="G2" s="622"/>
      <c r="H2" s="622"/>
      <c r="I2" s="622"/>
      <c r="J2" s="622"/>
      <c r="K2" s="622"/>
      <c r="L2" s="622"/>
      <c r="M2" s="622"/>
      <c r="N2" s="622"/>
      <c r="O2" s="622"/>
      <c r="P2" s="622"/>
    </row>
    <row r="4" spans="2:27" x14ac:dyDescent="0.25">
      <c r="B4" s="414" t="s">
        <v>279</v>
      </c>
    </row>
    <row r="6" spans="2:27" x14ac:dyDescent="0.25">
      <c r="B6" s="34" t="s">
        <v>280</v>
      </c>
    </row>
    <row r="7" spans="2:27" ht="89.1" customHeight="1" x14ac:dyDescent="0.25">
      <c r="B7" s="627" t="s">
        <v>667</v>
      </c>
      <c r="C7" s="628"/>
      <c r="D7" s="628"/>
      <c r="E7" s="628"/>
      <c r="F7" s="628"/>
      <c r="G7" s="628"/>
      <c r="H7" s="628"/>
      <c r="I7" s="628"/>
      <c r="J7" s="628"/>
      <c r="K7" s="628"/>
      <c r="L7" s="628"/>
      <c r="M7" s="628"/>
      <c r="N7" s="628"/>
      <c r="O7" s="628"/>
      <c r="P7" s="629"/>
      <c r="Q7" s="39"/>
      <c r="R7" s="39"/>
      <c r="S7" s="39"/>
      <c r="T7" s="39"/>
      <c r="U7" s="39"/>
    </row>
    <row r="9" spans="2:27" x14ac:dyDescent="0.25">
      <c r="B9" s="34" t="s">
        <v>281</v>
      </c>
    </row>
    <row r="10" spans="2:27" ht="73.5" customHeight="1" x14ac:dyDescent="0.25">
      <c r="B10" s="627" t="s">
        <v>657</v>
      </c>
      <c r="C10" s="628"/>
      <c r="D10" s="628"/>
      <c r="E10" s="628"/>
      <c r="F10" s="628"/>
      <c r="G10" s="628"/>
      <c r="H10" s="628"/>
      <c r="I10" s="628"/>
      <c r="J10" s="628"/>
      <c r="K10" s="628"/>
      <c r="L10" s="628"/>
      <c r="M10" s="628"/>
      <c r="N10" s="628"/>
      <c r="O10" s="628"/>
      <c r="P10" s="629"/>
      <c r="Q10" s="39"/>
      <c r="R10" s="39"/>
      <c r="S10" s="39"/>
      <c r="T10" s="39"/>
      <c r="U10" s="39"/>
    </row>
    <row r="12" spans="2:27" ht="15.75" thickBot="1" x14ac:dyDescent="0.3">
      <c r="B12" s="423" t="s">
        <v>282</v>
      </c>
      <c r="C12" s="188"/>
      <c r="D12" s="188"/>
      <c r="E12" s="188"/>
      <c r="F12" s="188"/>
      <c r="G12" s="80"/>
      <c r="H12" s="80"/>
      <c r="I12" s="80"/>
      <c r="J12" s="80"/>
      <c r="K12" s="216"/>
      <c r="L12" s="80"/>
      <c r="M12" s="80"/>
      <c r="N12" s="80"/>
      <c r="O12" s="80"/>
    </row>
    <row r="13" spans="2:27" ht="15.75" thickBot="1" x14ac:dyDescent="0.3">
      <c r="B13" s="424"/>
      <c r="C13" s="425" t="s">
        <v>283</v>
      </c>
      <c r="D13" s="494" t="s">
        <v>284</v>
      </c>
      <c r="E13" s="492" t="s">
        <v>285</v>
      </c>
      <c r="F13" s="496">
        <v>2025</v>
      </c>
      <c r="G13" s="80"/>
      <c r="H13" s="80"/>
      <c r="I13" s="80"/>
      <c r="J13" s="80"/>
      <c r="K13" s="416"/>
      <c r="L13" s="417"/>
      <c r="M13" s="417"/>
      <c r="N13" s="417"/>
      <c r="O13" s="216"/>
    </row>
    <row r="14" spans="2:27" ht="15.75" thickBot="1" x14ac:dyDescent="0.3">
      <c r="B14" s="426" t="s">
        <v>283</v>
      </c>
      <c r="C14" s="427">
        <f>SUM(D14:F14)</f>
        <v>25897046.880000003</v>
      </c>
      <c r="D14" s="495">
        <f>SUM(D15:D17)</f>
        <v>1884860.6300000001</v>
      </c>
      <c r="E14" s="493">
        <f t="shared" ref="E14:F14" si="0">SUM(E15:E17)</f>
        <v>9983641.5899999999</v>
      </c>
      <c r="F14" s="497">
        <f t="shared" si="0"/>
        <v>14028544.66</v>
      </c>
      <c r="G14" s="80"/>
      <c r="H14" s="80"/>
      <c r="I14" s="80"/>
      <c r="J14" s="80"/>
      <c r="K14" s="418"/>
      <c r="L14" s="419"/>
      <c r="M14" s="420"/>
      <c r="N14" s="420"/>
      <c r="O14" s="420"/>
    </row>
    <row r="15" spans="2:27" ht="33.6" customHeight="1" x14ac:dyDescent="0.25">
      <c r="B15" s="428" t="s">
        <v>286</v>
      </c>
      <c r="C15" s="429">
        <f t="shared" ref="C15:C17" si="1">SUM(D15:F15)</f>
        <v>10532627.5</v>
      </c>
      <c r="D15" s="430" cm="1">
        <f t="array" ref="D15">SUM('kuni 2025 detsember tegevuskava'!W112:Y112+'kuni 2025 detsember tegevuskava'!W115:Y115+'kuni 2025 detsember tegevuskava'!W118:Y118+'kuni 2025 detsember tegevuskava'!W121:Y121)</f>
        <v>1224110.6300000001</v>
      </c>
      <c r="E15" s="431" cm="1">
        <f t="array" ref="E15">SUM('kuni 2025 detsember tegevuskava'!Z112:AB112+'kuni 2025 detsember tegevuskava'!Z115:AB115+'kuni 2025 detsember tegevuskava'!Z118:AB118+'kuni 2025 detsember tegevuskava'!Z121:AB121)</f>
        <v>5757327.5899999999</v>
      </c>
      <c r="F15" s="432" cm="1">
        <f t="array" ref="F15">SUM('kuni 2025 detsember tegevuskava'!AC112:AE112+'kuni 2025 detsember tegevuskava'!AC115:AE115+'kuni 2025 detsember tegevuskava'!AC118:AE118+'kuni 2025 detsember tegevuskava'!AC121:AE121)</f>
        <v>3551189.2800000003</v>
      </c>
      <c r="G15" s="80"/>
      <c r="H15" s="80"/>
      <c r="I15" s="80"/>
      <c r="J15" s="80"/>
      <c r="K15" s="418"/>
      <c r="L15" s="419"/>
      <c r="M15" s="421"/>
      <c r="N15" s="421"/>
      <c r="O15" s="422"/>
      <c r="Q15" s="622"/>
      <c r="R15" s="622"/>
      <c r="S15" s="622"/>
      <c r="T15" s="622"/>
      <c r="U15" s="622"/>
      <c r="V15" s="622"/>
      <c r="W15" s="622"/>
      <c r="X15" s="622"/>
      <c r="Y15" s="622"/>
      <c r="Z15" s="622"/>
      <c r="AA15" s="622"/>
    </row>
    <row r="16" spans="2:27" ht="36" customHeight="1" x14ac:dyDescent="0.25">
      <c r="B16" s="433" t="s">
        <v>287</v>
      </c>
      <c r="C16" s="434">
        <f t="shared" si="1"/>
        <v>4610002.7</v>
      </c>
      <c r="D16" s="435" cm="1">
        <f t="array" ref="D16">SUM('kuni 2025 detsember tegevuskava'!W97:Y97+'kuni 2025 detsember tegevuskava'!W100:Y100+'kuni 2025 detsember tegevuskava'!W103:Y103+'kuni 2025 detsember tegevuskava'!W106:Y106)</f>
        <v>0</v>
      </c>
      <c r="E16" s="436" cm="1">
        <f t="array" ref="E16">SUM('kuni 2025 detsember tegevuskava'!Z97:AB97+'kuni 2025 detsember tegevuskava'!Z100:AB100+'kuni 2025 detsember tegevuskava'!Z103:AB103+'kuni 2025 detsember tegevuskava'!Z106:AB106)</f>
        <v>928677</v>
      </c>
      <c r="F16" s="437" cm="1">
        <f t="array" ref="F16">SUM('kuni 2025 detsember tegevuskava'!AC97:AE97+'kuni 2025 detsember tegevuskava'!AC100:AE100+'kuni 2025 detsember tegevuskava'!AC103:AE103+'kuni 2025 detsember tegevuskava'!AC106:AE106)</f>
        <v>3681325.7</v>
      </c>
      <c r="G16" s="80"/>
      <c r="H16" s="80"/>
      <c r="I16" s="80"/>
      <c r="J16" s="80"/>
      <c r="K16" s="418"/>
      <c r="L16" s="419"/>
      <c r="M16" s="421"/>
      <c r="N16" s="421"/>
      <c r="O16" s="422"/>
      <c r="Q16" s="622"/>
      <c r="R16" s="622"/>
      <c r="S16" s="622"/>
      <c r="T16" s="622"/>
      <c r="U16" s="622"/>
      <c r="V16" s="622"/>
      <c r="W16" s="622"/>
      <c r="X16" s="622"/>
      <c r="Y16" s="622"/>
      <c r="Z16" s="622"/>
      <c r="AA16" s="622"/>
    </row>
    <row r="17" spans="2:27" ht="35.1" customHeight="1" thickBot="1" x14ac:dyDescent="0.3">
      <c r="B17" s="438" t="s">
        <v>288</v>
      </c>
      <c r="C17" s="439">
        <f t="shared" si="1"/>
        <v>10754416.68</v>
      </c>
      <c r="D17" s="440" cm="1">
        <f t="array" ref="D17">SUM('kuni 2025 detsember tegevuskava'!W127:Y127+'kuni 2025 detsember tegevuskava'!W130:Y130+'kuni 2025 detsember tegevuskava'!W133:Y133+'kuni 2025 detsember tegevuskava'!W136:Y136)</f>
        <v>660750</v>
      </c>
      <c r="E17" s="441" cm="1">
        <f t="array" ref="E17">SUM('kuni 2025 detsember tegevuskava'!Z127:AB127+'kuni 2025 detsember tegevuskava'!Z130:AB130+'kuni 2025 detsember tegevuskava'!Z133:AB133+'kuni 2025 detsember tegevuskava'!Z136:AB136)</f>
        <v>3297637</v>
      </c>
      <c r="F17" s="442" cm="1">
        <f t="array" ref="F17">SUM('kuni 2025 detsember tegevuskava'!AC127:AE127+'kuni 2025 detsember tegevuskava'!AC130:AE130+'kuni 2025 detsember tegevuskava'!AC133:AE133+'kuni 2025 detsember tegevuskava'!AC136:AE136)</f>
        <v>6796029.6799999997</v>
      </c>
      <c r="G17" s="80"/>
      <c r="H17" s="80"/>
      <c r="I17" s="80"/>
      <c r="J17" s="80"/>
      <c r="K17" s="418"/>
      <c r="L17" s="419"/>
      <c r="M17" s="421"/>
      <c r="N17" s="421"/>
      <c r="O17" s="422"/>
      <c r="Q17" s="622"/>
      <c r="R17" s="622"/>
      <c r="S17" s="622"/>
      <c r="T17" s="622"/>
      <c r="U17" s="622"/>
      <c r="V17" s="622"/>
      <c r="W17" s="622"/>
      <c r="X17" s="622"/>
      <c r="Y17" s="622"/>
      <c r="Z17" s="622"/>
      <c r="AA17" s="622"/>
    </row>
    <row r="18" spans="2:27" x14ac:dyDescent="0.25">
      <c r="B18" s="188"/>
      <c r="C18" s="188"/>
      <c r="D18" s="188"/>
      <c r="E18" s="188"/>
      <c r="F18" s="188"/>
      <c r="G18" s="80"/>
      <c r="H18" s="80"/>
      <c r="I18" s="80"/>
      <c r="J18" s="80"/>
      <c r="K18" s="80"/>
      <c r="L18" s="80"/>
      <c r="M18" s="80"/>
      <c r="N18" s="80"/>
      <c r="O18" s="80"/>
    </row>
    <row r="19" spans="2:27" x14ac:dyDescent="0.25">
      <c r="B19" s="188"/>
      <c r="C19" s="188"/>
      <c r="D19" s="188"/>
      <c r="E19" s="188"/>
      <c r="F19" s="188"/>
      <c r="G19" s="80"/>
      <c r="H19" s="80"/>
      <c r="I19" s="80"/>
      <c r="J19" s="80"/>
      <c r="K19" s="80"/>
      <c r="L19" s="80"/>
      <c r="M19" s="80"/>
      <c r="N19" s="80"/>
      <c r="O19" s="80"/>
    </row>
    <row r="20" spans="2:27" ht="15.75" thickBot="1" x14ac:dyDescent="0.3">
      <c r="B20" s="423" t="s">
        <v>289</v>
      </c>
      <c r="C20" s="188"/>
      <c r="D20" s="188"/>
      <c r="E20" s="188"/>
      <c r="F20" s="188"/>
      <c r="G20" s="80"/>
      <c r="H20" s="80"/>
      <c r="I20" s="80"/>
      <c r="J20" s="80"/>
      <c r="K20" s="80"/>
      <c r="L20" s="80"/>
      <c r="M20" s="80"/>
      <c r="N20" s="80"/>
      <c r="O20" s="80"/>
    </row>
    <row r="21" spans="2:27" ht="15.75" thickBot="1" x14ac:dyDescent="0.3">
      <c r="B21" s="424"/>
      <c r="C21" s="443" t="s">
        <v>283</v>
      </c>
      <c r="D21" s="498" t="s">
        <v>284</v>
      </c>
      <c r="E21" s="500" t="s">
        <v>285</v>
      </c>
      <c r="F21" s="425" t="s">
        <v>290</v>
      </c>
      <c r="G21" s="80"/>
      <c r="H21" s="80"/>
      <c r="I21" s="80"/>
      <c r="J21" s="80"/>
      <c r="K21" s="80"/>
      <c r="L21" s="80"/>
      <c r="M21" s="80"/>
      <c r="N21" s="80"/>
      <c r="O21" s="80"/>
    </row>
    <row r="22" spans="2:27" ht="15.75" thickBot="1" x14ac:dyDescent="0.3">
      <c r="B22" s="444" t="s">
        <v>287</v>
      </c>
      <c r="C22" s="445">
        <f>SUM(D22:F22)</f>
        <v>5368370.42</v>
      </c>
      <c r="D22" s="446">
        <f>SUM(D23:D26)</f>
        <v>0</v>
      </c>
      <c r="E22" s="499">
        <f t="shared" ref="E22:F22" si="2">SUM(E23:E26)</f>
        <v>1065917.3999999999</v>
      </c>
      <c r="F22" s="447">
        <f t="shared" si="2"/>
        <v>4302453.0199999996</v>
      </c>
      <c r="G22" s="80"/>
      <c r="H22" s="80"/>
      <c r="I22" s="80"/>
      <c r="J22" s="80"/>
      <c r="K22" s="80"/>
      <c r="L22" s="80"/>
      <c r="M22" s="80"/>
      <c r="N22" s="80"/>
      <c r="O22" s="80"/>
    </row>
    <row r="23" spans="2:27" ht="48" x14ac:dyDescent="0.25">
      <c r="B23" s="448" t="s">
        <v>7</v>
      </c>
      <c r="C23" s="449">
        <f>SUM(D23:F23)</f>
        <v>4758782.42</v>
      </c>
      <c r="D23" s="450">
        <f>SUM('kuni 2025 detsember tegevuskava'!W98:Y98)</f>
        <v>0</v>
      </c>
      <c r="E23" s="451">
        <f>SUM('kuni 2025 detsember tegevuskava'!Z98:AB98)</f>
        <v>761123.4</v>
      </c>
      <c r="F23" s="452">
        <f>SUM('kuni 2025 detsember tegevuskava'!AC98:AE98)</f>
        <v>3997659.02</v>
      </c>
      <c r="G23" s="80"/>
      <c r="H23" s="80"/>
      <c r="I23" s="80"/>
      <c r="J23" s="80"/>
      <c r="K23" s="80"/>
      <c r="L23" s="80"/>
      <c r="M23" s="80"/>
      <c r="N23" s="80"/>
      <c r="O23" s="80"/>
    </row>
    <row r="24" spans="2:27" ht="72" x14ac:dyDescent="0.25">
      <c r="B24" s="448" t="s">
        <v>266</v>
      </c>
      <c r="C24" s="453">
        <f t="shared" ref="C24:C26" si="3">SUM(D24:F24)</f>
        <v>0</v>
      </c>
      <c r="D24" s="454">
        <f>SUM('kuni 2025 detsember tegevuskava'!W101:Y101)</f>
        <v>0</v>
      </c>
      <c r="E24" s="455">
        <f>SUM('kuni 2025 detsember tegevuskava'!Z101:AB101)</f>
        <v>0</v>
      </c>
      <c r="F24" s="456">
        <f>SUM('kuni 2025 detsember tegevuskava'!AC101:AE101)</f>
        <v>0</v>
      </c>
      <c r="G24" s="80"/>
      <c r="H24" s="80"/>
      <c r="I24" s="80"/>
      <c r="J24" s="80"/>
      <c r="K24" s="80"/>
      <c r="L24" s="80"/>
      <c r="M24" s="80"/>
      <c r="N24" s="80"/>
      <c r="O24" s="80"/>
    </row>
    <row r="25" spans="2:27" ht="96" x14ac:dyDescent="0.25">
      <c r="B25" s="448" t="s">
        <v>267</v>
      </c>
      <c r="C25" s="453">
        <f t="shared" si="3"/>
        <v>609588</v>
      </c>
      <c r="D25" s="454">
        <f>SUM('kuni 2025 detsember tegevuskava'!W104:Y104)</f>
        <v>0</v>
      </c>
      <c r="E25" s="455">
        <f>SUM('kuni 2025 detsember tegevuskava'!Z104:AB104)</f>
        <v>304794</v>
      </c>
      <c r="F25" s="456">
        <f>SUM('kuni 2025 detsember tegevuskava'!AC104:AE104)</f>
        <v>304794</v>
      </c>
      <c r="G25" s="80"/>
      <c r="H25" s="80"/>
      <c r="I25" s="80"/>
      <c r="J25" s="80"/>
      <c r="K25" s="80"/>
      <c r="L25" s="80"/>
      <c r="M25" s="80"/>
      <c r="N25" s="80"/>
      <c r="O25" s="80"/>
    </row>
    <row r="26" spans="2:27" ht="72.75" thickBot="1" x14ac:dyDescent="0.3">
      <c r="B26" s="457" t="s">
        <v>268</v>
      </c>
      <c r="C26" s="458">
        <f t="shared" si="3"/>
        <v>0</v>
      </c>
      <c r="D26" s="459">
        <f>SUM('kuni 2025 detsember tegevuskava'!W107:Y107)</f>
        <v>0</v>
      </c>
      <c r="E26" s="460">
        <f>SUM('kuni 2025 detsember tegevuskava'!Z107:AB107)</f>
        <v>0</v>
      </c>
      <c r="F26" s="461">
        <f>SUM('kuni 2025 detsember tegevuskava'!AC107:AE107)</f>
        <v>0</v>
      </c>
      <c r="G26" s="80"/>
      <c r="H26" s="80"/>
      <c r="I26" s="80"/>
      <c r="J26" s="80"/>
      <c r="K26" s="80"/>
      <c r="L26" s="80"/>
      <c r="M26" s="80"/>
      <c r="N26" s="80"/>
      <c r="O26" s="80"/>
    </row>
    <row r="28" spans="2:27" ht="15.75" thickBot="1" x14ac:dyDescent="0.3"/>
    <row r="29" spans="2:27" ht="30.6" customHeight="1" x14ac:dyDescent="0.25">
      <c r="B29" s="612" t="s">
        <v>291</v>
      </c>
      <c r="C29" s="614" t="s">
        <v>60</v>
      </c>
      <c r="D29" s="614" t="s">
        <v>61</v>
      </c>
      <c r="E29" s="189" t="s">
        <v>62</v>
      </c>
      <c r="F29" s="616" t="s">
        <v>292</v>
      </c>
      <c r="G29" s="617"/>
      <c r="H29" s="618"/>
      <c r="I29" s="620" t="s">
        <v>67</v>
      </c>
      <c r="J29" s="621"/>
      <c r="K29" s="620" t="s">
        <v>293</v>
      </c>
      <c r="L29" s="621"/>
      <c r="M29" s="620" t="s">
        <v>294</v>
      </c>
      <c r="N29" s="621"/>
      <c r="O29" s="620" t="s">
        <v>295</v>
      </c>
      <c r="P29" s="625"/>
    </row>
    <row r="30" spans="2:27" ht="15.75" thickBot="1" x14ac:dyDescent="0.3">
      <c r="B30" s="613"/>
      <c r="C30" s="615"/>
      <c r="D30" s="615"/>
      <c r="E30" s="56"/>
      <c r="F30" s="568"/>
      <c r="G30" s="568"/>
      <c r="H30" s="619"/>
      <c r="I30" s="623" t="s">
        <v>296</v>
      </c>
      <c r="J30" s="624"/>
      <c r="K30" s="623" t="s">
        <v>296</v>
      </c>
      <c r="L30" s="624"/>
      <c r="M30" s="623" t="s">
        <v>296</v>
      </c>
      <c r="N30" s="624"/>
      <c r="O30" s="623" t="s">
        <v>296</v>
      </c>
      <c r="P30" s="626"/>
    </row>
    <row r="31" spans="2:27" ht="15.75" thickBot="1" x14ac:dyDescent="0.3">
      <c r="B31" s="153" t="s">
        <v>297</v>
      </c>
      <c r="C31" s="154"/>
      <c r="D31" s="154"/>
      <c r="E31" s="154"/>
      <c r="F31" s="155"/>
      <c r="G31" s="156"/>
      <c r="H31" s="157"/>
      <c r="I31" s="150">
        <f>SUM(I32:I34)</f>
        <v>26965942.880000003</v>
      </c>
      <c r="J31" s="140"/>
      <c r="K31" s="141">
        <f>SUM(K32:K34)</f>
        <v>1929860.6300000004</v>
      </c>
      <c r="L31" s="142"/>
      <c r="M31" s="141">
        <f>SUM(M32:M34)</f>
        <v>10715537.59</v>
      </c>
      <c r="N31" s="140"/>
      <c r="O31" s="141">
        <f>SUM(O32:O34)</f>
        <v>14320544.66</v>
      </c>
      <c r="P31" s="143"/>
    </row>
    <row r="32" spans="2:27" x14ac:dyDescent="0.25">
      <c r="B32" s="158"/>
      <c r="C32" s="8"/>
      <c r="D32" s="8"/>
      <c r="E32" s="8"/>
      <c r="F32" s="144"/>
      <c r="G32" s="8"/>
      <c r="H32" s="159"/>
      <c r="I32" s="129">
        <f>SUM(I36+I45+I54+I63+I72+I81+I90+I99+I108+I117+I126+I135+I144+I153+I162+I171+I180+I189+I198+I207+I216+I225+I234+I243+I252+I261+I270+I279+I288+I297+I306+I315+I324+I333+I342+I351+I360+I369+I378+I387+I396+I405+I414+I423+I432+I441+I450+I459+I468+I477+I486+I495+I504+I513+I522+I531+I540+I549+I558)</f>
        <v>17996574.640000001</v>
      </c>
      <c r="J32" s="126" t="str">
        <f>"(15)"</f>
        <v>(15)</v>
      </c>
      <c r="K32" s="59">
        <f>SUM(K36+K45+K54+K63+K72+K81+K90+K99+K108+K117+K126+K135+K144+K153+K162+K171+K180+K189+K198+K207+K216+K225+K234+K243+K252+K261+K270+K279+K288+K297+K306+K315+K324+K333+K342+K351+K360+K369+K378+K387+K396+K405+K414+K423+K432+K441+K450+K459+K468+K477+K486+K495+K504+K513+K522+K531+K540+K549+K558)</f>
        <v>770602.49000000011</v>
      </c>
      <c r="L32" s="126" t="str">
        <f>"(15)"</f>
        <v>(15)</v>
      </c>
      <c r="M32" s="59">
        <f>SUM(M36+M45+M54+M63+M72+M81+M90+M99+M108+M117+M126+M135+M144+M153+M162+M171+M180+M189+M198+M207+M216+M225+M234+M243+M252+M261+M270+M279+M288+M297+M306+M315+M324+M333+M342+M351+M360+M369+M378+M387+M396+M405+M414+M423+M432+M441+M450+M459+M468+M477+M486+M495+M504+M513+M522+M531+M540+M549+M558)</f>
        <v>7513127.0699999994</v>
      </c>
      <c r="N32" s="126" t="str">
        <f>"(15)"</f>
        <v>(15)</v>
      </c>
      <c r="O32" s="59">
        <f>SUM(O36+O45+O54+O63+O72+O81+O90+O99+O108+O117+O126+O135+O144+O153+O162+O171+O180+O189+O198+O207+O216+O225+O234+O243+O252+O261+O270+O279+O288+O297+O306+O315+O324+O333+O342+O351+O360+O369+O378+O387+O396+O405+O414+O423+O432+O441+O450+O459+O468+O477+O486+O495+O504+O513+O522+O531+O540+O549+O558)</f>
        <v>9712845.0800000001</v>
      </c>
      <c r="P32" s="67" t="str">
        <f>"(15)"</f>
        <v>(15)</v>
      </c>
    </row>
    <row r="33" spans="2:16" ht="17.25" x14ac:dyDescent="0.25">
      <c r="B33" s="145"/>
      <c r="C33" s="8"/>
      <c r="D33" s="8"/>
      <c r="E33" s="8"/>
      <c r="F33" s="144"/>
      <c r="G33" s="8"/>
      <c r="H33" s="190"/>
      <c r="I33" s="129">
        <f t="shared" ref="I33:K34" si="4">SUM(I37+I46+I55+I64+I73+I82+I91+I100+I109+I118+I127+I136+I145+I154+I163+I172+I181+I190+I199+I208+I217+I226+I235+I244+I253+I262+I271+I280+I289+I298+I307+I316+I325+I334+I343+I352+I361+I370+I379+I388+I397+I406+I415+I424+I433+I442+I451+I460+I469+I478+I487+I496+I505+I514+I523+I532+I541+I550+I559)</f>
        <v>5610349.9100000011</v>
      </c>
      <c r="J33" s="126" t="str">
        <f>"(50)"</f>
        <v>(50)</v>
      </c>
      <c r="K33" s="59">
        <f t="shared" si="4"/>
        <v>794469.89000000013</v>
      </c>
      <c r="L33" s="126" t="str">
        <f>"(50)"</f>
        <v>(50)</v>
      </c>
      <c r="M33" s="59">
        <f t="shared" ref="M33" si="5">SUM(M37+M46+M55+M64+M73+M82+M91+M100+M109+M118+M127+M136+M145+M154+M163+M172+M181+M190+M199+M208+M217+M226+M235+M244+M253+M262+M271+M280+M289+M298+M307+M316+M325+M334+M343+M352+M361+M370+M379+M388+M397+M406+M415+M424+M433+M442+M451+M460+M469+M478+M487+M496+M505+M514+M523+M532+M541+M550+M559)</f>
        <v>1972696.44</v>
      </c>
      <c r="N33" s="126" t="str">
        <f>"(50)"</f>
        <v>(50)</v>
      </c>
      <c r="O33" s="59">
        <f t="shared" ref="O33" si="6">SUM(O37+O46+O55+O64+O73+O82+O91+O100+O109+O118+O127+O136+O145+O154+O163+O172+O181+O190+O199+O208+O217+O226+O235+O244+O253+O262+O271+O280+O289+O298+O307+O316+O325+O334+O343+O352+O361+O370+O379+O388+O397+O406+O415+O424+O433+O442+O451+O460+O469+O478+O487+O496+O505+O514+O523+O532+O541+O550+O559)</f>
        <v>2843183.58</v>
      </c>
      <c r="P33" s="67" t="str">
        <f>"(50)"</f>
        <v>(50)</v>
      </c>
    </row>
    <row r="34" spans="2:16" ht="18" thickBot="1" x14ac:dyDescent="0.3">
      <c r="B34" s="160"/>
      <c r="C34" s="161"/>
      <c r="D34" s="161"/>
      <c r="E34" s="161"/>
      <c r="F34" s="162"/>
      <c r="G34" s="161"/>
      <c r="H34" s="191"/>
      <c r="I34" s="129">
        <f t="shared" si="4"/>
        <v>3359018.33</v>
      </c>
      <c r="J34" s="126" t="str">
        <f>"(55)"</f>
        <v>(55)</v>
      </c>
      <c r="K34" s="59">
        <f t="shared" si="4"/>
        <v>364788.25</v>
      </c>
      <c r="L34" s="126" t="str">
        <f>"(55)"</f>
        <v>(55)</v>
      </c>
      <c r="M34" s="59">
        <f t="shared" ref="M34" si="7">SUM(M38+M47+M56+M65+M74+M83+M92+M101+M110+M119+M128+M137+M146+M155+M164+M173+M182+M191+M200+M209+M218+M227+M236+M245+M254+M263+M272+M281+M290+M299+M308+M317+M326+M335+M344+M353+M362+M371+M380+M389+M398+M407+M416+M425+M434+M443+M452+M461+M470+M479+M488+M497+M506+M515+M524+M533+M542+M551+M560)</f>
        <v>1229714.08</v>
      </c>
      <c r="N34" s="126" t="str">
        <f>"(55)"</f>
        <v>(55)</v>
      </c>
      <c r="O34" s="59">
        <f t="shared" ref="O34" si="8">SUM(O38+O47+O56+O65+O74+O83+O92+O101+O110+O119+O128+O137+O146+O155+O164+O173+O182+O191+O200+O209+O218+O227+O236+O245+O254+O263+O272+O281+O290+O299+O308+O317+O326+O335+O344+O353+O362+O371+O380+O389+O398+O407+O416+O425+O434+O443+O452+O461+O470+O479+O488+O497+O506+O515+O524+O533+O542+O551+O560)</f>
        <v>1764516</v>
      </c>
      <c r="P34" s="67" t="str">
        <f>"(55)"</f>
        <v>(55)</v>
      </c>
    </row>
    <row r="35" spans="2:16" ht="14.45" customHeight="1" x14ac:dyDescent="0.25">
      <c r="B35" s="186" t="str">
        <f>'kuni 2025 detsember tegevuskava'!A35&amp;"/"&amp;'kuni 2025 detsember tegevuskava'!C35</f>
        <v>Regionaal- ja Põllumajandusministeerium/</v>
      </c>
      <c r="C35" s="8" t="str">
        <f>'kuni 2025 detsember tegevuskava'!I35</f>
        <v>Meie kõige suurem probleem on 2024 sisuliselt 0-tasemele langenud RES baasrahastus, mis ei võimalda alati teha strateegilises vaates prioriteetseid arendusi, vaid tihtipeale neid, mis vastavad mingile välisrahastuse tingimustele. 2021 ekslikult kärbitud miljoni tagasisaamine IT investeeringute reale tänavustel RES läbirääkimistel on meie jaoks eksistentsiaalne vajadus, sest vastasel juhul ei ole võimalik RES baasrahastuse eest litsentsegi katta.</v>
      </c>
      <c r="D35" s="8" t="str">
        <f>'kuni 2025 detsember tegevuskava'!J35</f>
        <v>IT investeeringute baaseelarve lisavajadus</v>
      </c>
      <c r="E35" s="8" t="str">
        <f>'kuni 2025 detsember tegevuskava'!K35</f>
        <v xml:space="preserve">Tagatud on valitsemisala tervikteenuseid toetavate digilahenduste arendamine ja jätkusuutlikkus </v>
      </c>
      <c r="F35" s="8" t="str">
        <f>'kuni 2025 detsember tegevuskava'!O35&amp;"/"</f>
        <v>RES IKT (vaja juurde taotleda)/</v>
      </c>
      <c r="G35" s="8"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4</v>
      </c>
      <c r="H35" s="192" cm="1">
        <f t="array" ref="H35">_xlfn.IFS(OR('kuni 2025 detsember tegevuskava'!O35='kuni 2025 detsember tegevuskava'!$O$97,'kuni 2025 detsember tegevuskava'!O35='kuni 2025 detsember tegevuskava'!$O$99,'kuni 2025 detsember tegevuskava'!O35='kuni 2025 detsember tegevuskava'!$O$100,'kuni 2025 detsember tegevuskava'!O35='kuni 2025 detsember tegevuskava'!$O$101),1,'kuni 2025 detsember tegevuskava'!O35='kuni 2025 detsember tegevuskava'!$O$102,2,'kuni 2025 detsember tegevuskava'!O35='kuni 2025 detsember tegevuskava'!$O$103,2,'kuni 2025 detsember tegevuskava'!O35='kuni 2025 detsember tegevuskava'!$O$98,3)</f>
        <v>1</v>
      </c>
      <c r="I35" s="139">
        <f>SUM(I36:I38)</f>
        <v>5885602</v>
      </c>
      <c r="J35" s="165"/>
      <c r="K35" s="62">
        <f>SUM(K36:K38)</f>
        <v>0</v>
      </c>
      <c r="L35" s="166"/>
      <c r="M35" s="62">
        <f>SUM(M36:M38)</f>
        <v>2487301</v>
      </c>
      <c r="N35" s="65"/>
      <c r="O35" s="62">
        <f>SUM(O36:O38)</f>
        <v>3398301</v>
      </c>
      <c r="P35" s="66"/>
    </row>
    <row r="36" spans="2:16" ht="17.25" x14ac:dyDescent="0.25">
      <c r="B36" s="145"/>
      <c r="C36" s="8"/>
      <c r="D36" s="8"/>
      <c r="E36" s="8"/>
      <c r="F36" s="8"/>
      <c r="G36" s="8"/>
      <c r="H36" s="192"/>
      <c r="I36" s="137">
        <f>SUM(K36+M36+O36)</f>
        <v>5885602</v>
      </c>
      <c r="J36" s="126" t="str">
        <f>"(15)"</f>
        <v>(15)</v>
      </c>
      <c r="K36" s="59">
        <f>'kuni 2025 detsember tegevuskava'!W35</f>
        <v>0</v>
      </c>
      <c r="L36" s="126" t="str">
        <f>"(15)"</f>
        <v>(15)</v>
      </c>
      <c r="M36" s="59">
        <f>'kuni 2025 detsember tegevuskava'!Z35</f>
        <v>2487301</v>
      </c>
      <c r="N36" s="126" t="str">
        <f>"(15)"</f>
        <v>(15)</v>
      </c>
      <c r="O36" s="59">
        <f>'kuni 2025 detsember tegevuskava'!AC35</f>
        <v>3398301</v>
      </c>
      <c r="P36" s="67" t="str">
        <f>"(15)"</f>
        <v>(15)</v>
      </c>
    </row>
    <row r="37" spans="2:16" ht="17.25" x14ac:dyDescent="0.25">
      <c r="B37" s="145"/>
      <c r="C37" s="8"/>
      <c r="D37" s="8"/>
      <c r="E37" s="8"/>
      <c r="F37" s="8"/>
      <c r="G37" s="8"/>
      <c r="H37" s="192"/>
      <c r="I37" s="137">
        <f t="shared" ref="I37" si="9">SUM(K37+M37+O37)</f>
        <v>0</v>
      </c>
      <c r="J37" s="126" t="str">
        <f>"(50)"</f>
        <v>(50)</v>
      </c>
      <c r="K37" s="59">
        <f>'kuni 2025 detsember tegevuskava'!X35</f>
        <v>0</v>
      </c>
      <c r="L37" s="126" t="str">
        <f>"(50)"</f>
        <v>(50)</v>
      </c>
      <c r="M37" s="59">
        <f>'kuni 2025 detsember tegevuskava'!AA35</f>
        <v>0</v>
      </c>
      <c r="N37" s="126" t="str">
        <f>"(50)"</f>
        <v>(50)</v>
      </c>
      <c r="O37" s="59">
        <f>'kuni 2025 detsember tegevuskava'!AD35</f>
        <v>0</v>
      </c>
      <c r="P37" s="67" t="str">
        <f>"(50)"</f>
        <v>(50)</v>
      </c>
    </row>
    <row r="38" spans="2:16" ht="17.25" x14ac:dyDescent="0.25">
      <c r="B38" s="145"/>
      <c r="C38" s="8"/>
      <c r="D38" s="8"/>
      <c r="E38" s="8"/>
      <c r="F38" s="8"/>
      <c r="G38" s="8"/>
      <c r="H38" s="192"/>
      <c r="I38" s="137">
        <f>SUM(K38+M38+O38)</f>
        <v>0</v>
      </c>
      <c r="J38" s="126" t="str">
        <f>"(55)"</f>
        <v>(55)</v>
      </c>
      <c r="K38" s="164">
        <f>'kuni 2025 detsember tegevuskava'!Y35</f>
        <v>0</v>
      </c>
      <c r="L38" s="126" t="str">
        <f>"(55)"</f>
        <v>(55)</v>
      </c>
      <c r="M38" s="164">
        <f>'kuni 2025 detsember tegevuskava'!AB35</f>
        <v>0</v>
      </c>
      <c r="N38" s="126" t="str">
        <f>"(55)"</f>
        <v>(55)</v>
      </c>
      <c r="O38" s="164">
        <f>'kuni 2025 detsember tegevuskava'!AE35</f>
        <v>0</v>
      </c>
      <c r="P38" s="67" t="str">
        <f>"(55)"</f>
        <v>(55)</v>
      </c>
    </row>
    <row r="39" spans="2:16" ht="17.25" x14ac:dyDescent="0.25">
      <c r="B39" s="145"/>
      <c r="C39" s="8"/>
      <c r="D39" s="8"/>
      <c r="E39" s="8"/>
      <c r="F39" s="8"/>
      <c r="G39" s="8"/>
      <c r="H39" s="192"/>
      <c r="I39" s="136" t="s">
        <v>298</v>
      </c>
      <c r="J39" s="167"/>
      <c r="K39" s="98"/>
      <c r="L39" s="101"/>
      <c r="M39" s="98"/>
      <c r="N39" s="101"/>
      <c r="O39" s="98"/>
      <c r="P39" s="169"/>
    </row>
    <row r="40" spans="2:16" ht="17.25" x14ac:dyDescent="0.25">
      <c r="B40" s="145"/>
      <c r="C40" s="8"/>
      <c r="D40" s="8"/>
      <c r="E40" s="8"/>
      <c r="F40" s="8"/>
      <c r="G40" s="8"/>
      <c r="H40" s="192"/>
      <c r="I40" s="138">
        <f>SUM(I41:I43)</f>
        <v>7180434.4399999995</v>
      </c>
      <c r="J40" s="126"/>
      <c r="K40" s="149">
        <f>SUM(K41:K43)</f>
        <v>0</v>
      </c>
      <c r="L40" s="171"/>
      <c r="M40" s="146">
        <f>SUM(M41:M43)</f>
        <v>3034507.2199999997</v>
      </c>
      <c r="N40" s="106"/>
      <c r="O40" s="146">
        <f>SUM(O41:O43)</f>
        <v>4145927.2199999997</v>
      </c>
      <c r="P40" s="169"/>
    </row>
    <row r="41" spans="2:16" ht="17.25" x14ac:dyDescent="0.25">
      <c r="B41" s="145"/>
      <c r="C41" s="8"/>
      <c r="D41" s="8"/>
      <c r="E41" s="8"/>
      <c r="F41" s="8"/>
      <c r="G41" s="8"/>
      <c r="H41" s="192"/>
      <c r="I41" s="137">
        <f>SUM(K41+M41+O41)</f>
        <v>7180434.4399999995</v>
      </c>
      <c r="J41" s="126" t="str">
        <f>"(15)"</f>
        <v>(15)</v>
      </c>
      <c r="K41" s="59">
        <f>SUM(K36*1.2)</f>
        <v>0</v>
      </c>
      <c r="L41" s="126" t="str">
        <f>"(15)"</f>
        <v>(15)</v>
      </c>
      <c r="M41" s="59">
        <f>SUM(M36*1.22)</f>
        <v>3034507.2199999997</v>
      </c>
      <c r="N41" s="126" t="str">
        <f>"(15)"</f>
        <v>(15)</v>
      </c>
      <c r="O41" s="59">
        <f>SUM(O36*1.22)</f>
        <v>4145927.2199999997</v>
      </c>
      <c r="P41" s="67" t="str">
        <f>"(15)"</f>
        <v>(15)</v>
      </c>
    </row>
    <row r="42" spans="2:16" ht="17.25" x14ac:dyDescent="0.25">
      <c r="B42" s="145"/>
      <c r="C42" s="8"/>
      <c r="D42" s="8"/>
      <c r="E42" s="8"/>
      <c r="F42" s="8"/>
      <c r="G42" s="8"/>
      <c r="H42" s="192"/>
      <c r="I42" s="137">
        <f t="shared" ref="I42" si="10">SUM(K42+M42+O42)</f>
        <v>0</v>
      </c>
      <c r="J42" s="126" t="str">
        <f>"(50)"</f>
        <v>(50)</v>
      </c>
      <c r="K42" s="59">
        <f>K37</f>
        <v>0</v>
      </c>
      <c r="L42" s="126" t="str">
        <f>"(50)"</f>
        <v>(50)</v>
      </c>
      <c r="M42" s="59">
        <f>M37</f>
        <v>0</v>
      </c>
      <c r="N42" s="126" t="str">
        <f>"(50)"</f>
        <v>(50)</v>
      </c>
      <c r="O42" s="59">
        <f>O37</f>
        <v>0</v>
      </c>
      <c r="P42" s="67" t="str">
        <f>"(50)"</f>
        <v>(50)</v>
      </c>
    </row>
    <row r="43" spans="2:16" ht="18" thickBot="1" x14ac:dyDescent="0.3">
      <c r="B43" s="160"/>
      <c r="C43" s="161"/>
      <c r="D43" s="161"/>
      <c r="E43" s="161"/>
      <c r="F43" s="161"/>
      <c r="G43" s="161"/>
      <c r="H43" s="193"/>
      <c r="I43" s="137">
        <f>SUM(K43+M43+O43)</f>
        <v>0</v>
      </c>
      <c r="J43" s="70" t="str">
        <f>"(55)"</f>
        <v>(55)</v>
      </c>
      <c r="K43" s="71">
        <f>SUM(K38*1.2)</f>
        <v>0</v>
      </c>
      <c r="L43" s="70" t="str">
        <f>"(55)"</f>
        <v>(55)</v>
      </c>
      <c r="M43" s="59">
        <f>SUM(M38*1.22)</f>
        <v>0</v>
      </c>
      <c r="N43" s="70" t="str">
        <f>"(55)"</f>
        <v>(55)</v>
      </c>
      <c r="O43" s="71">
        <f>SUM(O38*1.22)</f>
        <v>0</v>
      </c>
      <c r="P43" s="72" t="str">
        <f>"(55)"</f>
        <v>(55)</v>
      </c>
    </row>
    <row r="44" spans="2:16" ht="17.25" x14ac:dyDescent="0.25">
      <c r="B44" s="145" t="str">
        <f>'kuni 2025 detsember tegevuskava'!A36&amp;"/"&amp;'kuni 2025 detsember tegevuskava'!C36</f>
        <v>Regionaal- ja Põllumajandusministeerium/</v>
      </c>
      <c r="C44" s="8" t="str">
        <f>'kuni 2025 detsember tegevuskava'!I36</f>
        <v xml:space="preserve">Digipöörde elluviimiseks puuduvad vajalikud kompetentsid/oskused. Täna ei osata piisavalt ärianalüütiliselt näha protsesse ning ei suudeta rakendada kogu digilahenduste potentsiaali.
</v>
      </c>
      <c r="D44" s="8" t="str">
        <f>'kuni 2025 detsember tegevuskava'!J36</f>
        <v>Valitsemisala koolitusprogramm</v>
      </c>
      <c r="E44" s="8" t="str">
        <f>'kuni 2025 detsember tegevuskava'!K36</f>
        <v xml:space="preserve">Valitsemisala kompetentside võimelünkade arendamiseks koolituste süsteem on välja töötatud ja juurutatud. Valitsemisalas töötavad kompetentsed digipädevad ja -teadlikud oma valdkonna eksperdid, kes juhivad/aitavad kaasa digipöörde elluviimisel ning kes vajadusel juhendavad olemasolevaid töötajaid sisekoolitussüsteemi raames.  Suurimad rõhuasetused on targa tellija, andmehalduri, ärianalüütiku ja testija rollil.
</v>
      </c>
      <c r="F44" s="8" t="str">
        <f>'kuni 2025 detsember tegevuskava'!O36&amp;"/"</f>
        <v>SF 21-27 (taotletav raha)/</v>
      </c>
      <c r="G44" s="8" cm="1">
        <f t="array" ref="G44">_xlfn.IFS('kuni 2025 detsember tegevuskava'!G36='kuni 2025 detsember tegevuskava'!$G$97,1,'kuni 2025 detsember tegevuskava'!G36='kuni 2025 detsember tegevuskava'!$G$98,2,'kuni 2025 detsember tegevuskava'!G36='kuni 2025 detsember tegevuskava'!$G$99,3,'kuni 2025 detsember tegevuskava'!G36='kuni 2025 detsember tegevuskava'!$G$100,4)</f>
        <v>3</v>
      </c>
      <c r="H44" s="192" cm="1">
        <f t="array" ref="H44">_xlfn.IFS(OR('kuni 2025 detsember tegevuskava'!O36='kuni 2025 detsember tegevuskava'!$O$97,'kuni 2025 detsember tegevuskava'!O36='kuni 2025 detsember tegevuskava'!$O$99,'kuni 2025 detsember tegevuskava'!O36='kuni 2025 detsember tegevuskava'!$O$100,'kuni 2025 detsember tegevuskava'!O36='kuni 2025 detsember tegevuskava'!$O$101),1,'kuni 2025 detsember tegevuskava'!O36='kuni 2025 detsember tegevuskava'!$O$102,2,'kuni 2025 detsember tegevuskava'!O36='kuni 2025 detsember tegevuskava'!$O$103,2,'kuni 2025 detsember tegevuskava'!O36='kuni 2025 detsember tegevuskava'!$O$98,3)</f>
        <v>2</v>
      </c>
      <c r="I44" s="139">
        <f>SUM(I45:I47)</f>
        <v>150000</v>
      </c>
      <c r="J44" s="126"/>
      <c r="K44" s="139">
        <f>SUM(K45:K47)</f>
        <v>0</v>
      </c>
      <c r="L44" s="127"/>
      <c r="M44" s="139">
        <f>SUM(M45:M47)</f>
        <v>75000</v>
      </c>
      <c r="N44" s="128"/>
      <c r="O44" s="125">
        <f>SUM(O45:O47)</f>
        <v>75000</v>
      </c>
      <c r="P44" s="67"/>
    </row>
    <row r="45" spans="2:16" ht="17.25" x14ac:dyDescent="0.25">
      <c r="B45" s="145"/>
      <c r="C45" s="8"/>
      <c r="D45" s="8"/>
      <c r="E45" s="8"/>
      <c r="F45" s="8"/>
      <c r="G45" s="8"/>
      <c r="H45" s="192"/>
      <c r="I45" s="137">
        <f>SUM(K45+M45+O45)</f>
        <v>0</v>
      </c>
      <c r="J45" s="126" t="str">
        <f>"(15)"</f>
        <v>(15)</v>
      </c>
      <c r="K45" s="59">
        <f>'kuni 2025 detsember tegevuskava'!W36</f>
        <v>0</v>
      </c>
      <c r="L45" s="126" t="str">
        <f>"(15)"</f>
        <v>(15)</v>
      </c>
      <c r="M45" s="59">
        <f>'kuni 2025 detsember tegevuskava'!Z36</f>
        <v>0</v>
      </c>
      <c r="N45" s="126" t="str">
        <f>"(15)"</f>
        <v>(15)</v>
      </c>
      <c r="O45" s="59">
        <f>'kuni 2025 detsember tegevuskava'!AC36</f>
        <v>0</v>
      </c>
      <c r="P45" s="67" t="str">
        <f>"(15)"</f>
        <v>(15)</v>
      </c>
    </row>
    <row r="46" spans="2:16" ht="17.25" x14ac:dyDescent="0.25">
      <c r="B46" s="145"/>
      <c r="C46" s="8"/>
      <c r="D46" s="8"/>
      <c r="E46" s="8"/>
      <c r="F46" s="8"/>
      <c r="G46" s="8"/>
      <c r="H46" s="192"/>
      <c r="I46" s="137">
        <f t="shared" ref="I46:I47" si="11">SUM(K46+M46+O46)</f>
        <v>0</v>
      </c>
      <c r="J46" s="126" t="str">
        <f>"(50)"</f>
        <v>(50)</v>
      </c>
      <c r="K46" s="59">
        <f>'kuni 2025 detsember tegevuskava'!X36</f>
        <v>0</v>
      </c>
      <c r="L46" s="126" t="str">
        <f>"(50)"</f>
        <v>(50)</v>
      </c>
      <c r="M46" s="59">
        <f>'kuni 2025 detsember tegevuskava'!AA36</f>
        <v>0</v>
      </c>
      <c r="N46" s="126" t="str">
        <f>"(50)"</f>
        <v>(50)</v>
      </c>
      <c r="O46" s="59">
        <f>'kuni 2025 detsember tegevuskava'!AD36</f>
        <v>0</v>
      </c>
      <c r="P46" s="67" t="str">
        <f>"(50)"</f>
        <v>(50)</v>
      </c>
    </row>
    <row r="47" spans="2:16" ht="17.25" x14ac:dyDescent="0.25">
      <c r="B47" s="145"/>
      <c r="C47" s="8"/>
      <c r="D47" s="8"/>
      <c r="E47" s="8"/>
      <c r="F47" s="8"/>
      <c r="G47" s="8"/>
      <c r="H47" s="192"/>
      <c r="I47" s="137">
        <f t="shared" si="11"/>
        <v>150000</v>
      </c>
      <c r="J47" s="60" t="str">
        <f>"(55)"</f>
        <v>(55)</v>
      </c>
      <c r="K47" s="61">
        <f>'kuni 2025 detsember tegevuskava'!Y36</f>
        <v>0</v>
      </c>
      <c r="L47" s="60" t="str">
        <f>"(55)"</f>
        <v>(55)</v>
      </c>
      <c r="M47" s="61">
        <f>'kuni 2025 detsember tegevuskava'!AB36</f>
        <v>75000</v>
      </c>
      <c r="N47" s="60" t="str">
        <f>"(55)"</f>
        <v>(55)</v>
      </c>
      <c r="O47" s="61">
        <f>'kuni 2025 detsember tegevuskava'!AE36</f>
        <v>75000</v>
      </c>
      <c r="P47" s="68" t="str">
        <f>"(55)"</f>
        <v>(55)</v>
      </c>
    </row>
    <row r="48" spans="2:16" ht="17.25" x14ac:dyDescent="0.25">
      <c r="B48" s="145"/>
      <c r="C48" s="8"/>
      <c r="D48" s="8"/>
      <c r="E48" s="8"/>
      <c r="F48" s="8"/>
      <c r="G48" s="8"/>
      <c r="H48" s="192"/>
      <c r="I48" s="163" t="s">
        <v>298</v>
      </c>
      <c r="J48" s="8"/>
      <c r="K48" s="8"/>
      <c r="L48" s="8"/>
      <c r="M48" s="8"/>
      <c r="N48" s="8"/>
      <c r="O48" s="8"/>
      <c r="P48" s="159"/>
    </row>
    <row r="49" spans="2:16" ht="17.25" x14ac:dyDescent="0.25">
      <c r="B49" s="145"/>
      <c r="C49" s="8"/>
      <c r="D49" s="8"/>
      <c r="E49" s="8"/>
      <c r="F49" s="8"/>
      <c r="G49" s="8"/>
      <c r="H49" s="192"/>
      <c r="I49" s="149">
        <f>SUM(I50:I52)</f>
        <v>183000</v>
      </c>
      <c r="J49" s="147"/>
      <c r="K49" s="149">
        <f>SUM(K50:K52)</f>
        <v>0</v>
      </c>
      <c r="L49" s="148"/>
      <c r="M49" s="149">
        <f>SUM(M50:M52)</f>
        <v>91500</v>
      </c>
      <c r="N49" s="107"/>
      <c r="O49" s="149">
        <f>SUM(O50:O52)</f>
        <v>91500</v>
      </c>
      <c r="P49" s="134"/>
    </row>
    <row r="50" spans="2:16" ht="17.25" x14ac:dyDescent="0.25">
      <c r="B50" s="145"/>
      <c r="C50" s="8"/>
      <c r="D50" s="8"/>
      <c r="E50" s="8"/>
      <c r="F50" s="8"/>
      <c r="G50" s="8"/>
      <c r="H50" s="192"/>
      <c r="I50" s="137">
        <f>SUM(K50+M50+O50)</f>
        <v>0</v>
      </c>
      <c r="J50" s="126" t="str">
        <f>"(15)"</f>
        <v>(15)</v>
      </c>
      <c r="K50" s="59">
        <f>SUM(K45*1.2)</f>
        <v>0</v>
      </c>
      <c r="L50" s="126" t="str">
        <f>"(15)"</f>
        <v>(15)</v>
      </c>
      <c r="M50" s="59">
        <f>SUM(M45*1.22)</f>
        <v>0</v>
      </c>
      <c r="N50" s="126" t="str">
        <f>"(15)"</f>
        <v>(15)</v>
      </c>
      <c r="O50" s="59">
        <f>SUM(O45*1.22)</f>
        <v>0</v>
      </c>
      <c r="P50" s="67" t="str">
        <f>"(15)"</f>
        <v>(15)</v>
      </c>
    </row>
    <row r="51" spans="2:16" ht="17.25" x14ac:dyDescent="0.25">
      <c r="B51" s="145"/>
      <c r="C51" s="8"/>
      <c r="D51" s="8"/>
      <c r="E51" s="8"/>
      <c r="F51" s="8"/>
      <c r="G51" s="8"/>
      <c r="H51" s="192"/>
      <c r="I51" s="137">
        <f t="shared" ref="I51:I52" si="12">SUM(K51+M51+O51)</f>
        <v>0</v>
      </c>
      <c r="J51" s="126" t="str">
        <f>"(50)"</f>
        <v>(50)</v>
      </c>
      <c r="K51" s="59">
        <f>K46</f>
        <v>0</v>
      </c>
      <c r="L51" s="126" t="str">
        <f>"(50)"</f>
        <v>(50)</v>
      </c>
      <c r="M51" s="59">
        <f>M46</f>
        <v>0</v>
      </c>
      <c r="N51" s="126" t="str">
        <f>"(50)"</f>
        <v>(50)</v>
      </c>
      <c r="O51" s="59">
        <f>O46</f>
        <v>0</v>
      </c>
      <c r="P51" s="67" t="str">
        <f>"(50)"</f>
        <v>(50)</v>
      </c>
    </row>
    <row r="52" spans="2:16" ht="18" thickBot="1" x14ac:dyDescent="0.3">
      <c r="B52" s="160"/>
      <c r="C52" s="161"/>
      <c r="D52" s="161"/>
      <c r="E52" s="161"/>
      <c r="F52" s="161"/>
      <c r="G52" s="161"/>
      <c r="H52" s="193"/>
      <c r="I52" s="137">
        <f t="shared" si="12"/>
        <v>183000</v>
      </c>
      <c r="J52" s="70" t="str">
        <f>"(55)"</f>
        <v>(55)</v>
      </c>
      <c r="K52" s="71">
        <f>SUM(K47*1.2)</f>
        <v>0</v>
      </c>
      <c r="L52" s="70" t="str">
        <f>"(55)"</f>
        <v>(55)</v>
      </c>
      <c r="M52" s="71">
        <f>SUM(M47*1.22)</f>
        <v>91500</v>
      </c>
      <c r="N52" s="70" t="str">
        <f>"(55)"</f>
        <v>(55)</v>
      </c>
      <c r="O52" s="71">
        <f>SUM(O47*1.22)</f>
        <v>91500</v>
      </c>
      <c r="P52" s="72" t="str">
        <f>"(55)"</f>
        <v>(55)</v>
      </c>
    </row>
    <row r="53" spans="2:16" ht="17.25" x14ac:dyDescent="0.25">
      <c r="B53" s="187" t="str">
        <f>'kuni 2025 detsember tegevuskava'!A37&amp;"/"&amp;'kuni 2025 detsember tegevuskava'!C37</f>
        <v>Regionaal- ja Põllumajandusministeerium/</v>
      </c>
      <c r="C53" s="156" t="str">
        <f>'kuni 2025 detsember tegevuskava'!I37</f>
        <v>Digipöörde elluviimiseks puuduvad vajalikud kompetentsid/oskused.</v>
      </c>
      <c r="D53" s="156" t="str">
        <f>'kuni 2025 detsember tegevuskava'!J37</f>
        <v>Valitsemisala kompetentside värbamine</v>
      </c>
      <c r="E53" s="156" t="str">
        <f>'kuni 2025 detsember tegevuskava'!K37</f>
        <v>Olulised positsioonid (sh andmed, arhitektuur) on täidetud ja valitsemisalas töötavad kompetentsed digipädevad ja digiteadlikud oma valdkonna eksperdid, kes juhivad/aitavad kaasa digipöörde elluviimisel</v>
      </c>
      <c r="F53" s="156" t="str">
        <f>'kuni 2025 detsember tegevuskava'!O37&amp;"/"</f>
        <v>SF 21-27 (taotletav raha)/</v>
      </c>
      <c r="G53" s="156" cm="1">
        <f t="array" ref="G53">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3</v>
      </c>
      <c r="H53" s="194" cm="1">
        <f t="array" ref="H53">_xlfn.IFS(OR('kuni 2025 detsember tegevuskava'!O37='kuni 2025 detsember tegevuskava'!$O$97,'kuni 2025 detsember tegevuskava'!O37='kuni 2025 detsember tegevuskava'!$O$99,'kuni 2025 detsember tegevuskava'!O37='kuni 2025 detsember tegevuskava'!$O$100,'kuni 2025 detsember tegevuskava'!O37='kuni 2025 detsember tegevuskava'!$O$101),1,'kuni 2025 detsember tegevuskava'!O37='kuni 2025 detsember tegevuskava'!$O$102,2,'kuni 2025 detsember tegevuskava'!O37='kuni 2025 detsember tegevuskava'!$O$103,2,'kuni 2025 detsember tegevuskava'!O37='kuni 2025 detsember tegevuskava'!$O$98,3)</f>
        <v>2</v>
      </c>
      <c r="I53" s="139">
        <f>SUM(I54:I56)</f>
        <v>306168</v>
      </c>
      <c r="J53" s="63"/>
      <c r="K53" s="62">
        <f>SUM(K54:K56)</f>
        <v>0</v>
      </c>
      <c r="L53" s="64"/>
      <c r="M53" s="62">
        <f>SUM(M54:M56)</f>
        <v>153084</v>
      </c>
      <c r="N53" s="65"/>
      <c r="O53" s="62">
        <f>SUM(O54:O56)</f>
        <v>153084</v>
      </c>
      <c r="P53" s="66"/>
    </row>
    <row r="54" spans="2:16" ht="17.25" x14ac:dyDescent="0.25">
      <c r="B54" s="145"/>
      <c r="C54" s="8"/>
      <c r="D54" s="8"/>
      <c r="E54" s="8"/>
      <c r="F54" s="8"/>
      <c r="G54" s="8"/>
      <c r="H54" s="192"/>
      <c r="I54" s="137">
        <f>SUM(K54+M54+O54)</f>
        <v>0</v>
      </c>
      <c r="J54" s="126" t="str">
        <f>"(15)"</f>
        <v>(15)</v>
      </c>
      <c r="K54" s="59">
        <f>'kuni 2025 detsember tegevuskava'!W37</f>
        <v>0</v>
      </c>
      <c r="L54" s="126" t="str">
        <f>"(15)"</f>
        <v>(15)</v>
      </c>
      <c r="M54" s="59">
        <f>'kuni 2025 detsember tegevuskava'!Z37</f>
        <v>0</v>
      </c>
      <c r="N54" s="126" t="str">
        <f>"(15)"</f>
        <v>(15)</v>
      </c>
      <c r="O54" s="59">
        <f>'kuni 2025 detsember tegevuskava'!AC37</f>
        <v>0</v>
      </c>
      <c r="P54" s="67" t="str">
        <f>"(15)"</f>
        <v>(15)</v>
      </c>
    </row>
    <row r="55" spans="2:16" ht="17.25" x14ac:dyDescent="0.25">
      <c r="B55" s="145"/>
      <c r="C55" s="8"/>
      <c r="D55" s="8"/>
      <c r="E55" s="8"/>
      <c r="F55" s="8"/>
      <c r="G55" s="8"/>
      <c r="H55" s="192"/>
      <c r="I55" s="137">
        <f t="shared" ref="I55:I56" si="13">SUM(K55+M55+O55)</f>
        <v>306168</v>
      </c>
      <c r="J55" s="126" t="str">
        <f>"(50)"</f>
        <v>(50)</v>
      </c>
      <c r="K55" s="59">
        <f>'kuni 2025 detsember tegevuskava'!X37</f>
        <v>0</v>
      </c>
      <c r="L55" s="126" t="str">
        <f>"(50)"</f>
        <v>(50)</v>
      </c>
      <c r="M55" s="59">
        <f>'kuni 2025 detsember tegevuskava'!AA37</f>
        <v>153084</v>
      </c>
      <c r="N55" s="126" t="str">
        <f>"(50)"</f>
        <v>(50)</v>
      </c>
      <c r="O55" s="59">
        <f>'kuni 2025 detsember tegevuskava'!AD37</f>
        <v>153084</v>
      </c>
      <c r="P55" s="67" t="str">
        <f>"(50)"</f>
        <v>(50)</v>
      </c>
    </row>
    <row r="56" spans="2:16" ht="17.25" x14ac:dyDescent="0.25">
      <c r="B56" s="145"/>
      <c r="C56" s="8"/>
      <c r="D56" s="8"/>
      <c r="E56" s="8"/>
      <c r="F56" s="8"/>
      <c r="G56" s="8"/>
      <c r="H56" s="192"/>
      <c r="I56" s="137">
        <f t="shared" si="13"/>
        <v>0</v>
      </c>
      <c r="J56" s="60" t="str">
        <f>"(55)"</f>
        <v>(55)</v>
      </c>
      <c r="K56" s="61">
        <f>'kuni 2025 detsember tegevuskava'!Y37</f>
        <v>0</v>
      </c>
      <c r="L56" s="60" t="str">
        <f>"(55)"</f>
        <v>(55)</v>
      </c>
      <c r="M56" s="61">
        <f>'kuni 2025 detsember tegevuskava'!AB37</f>
        <v>0</v>
      </c>
      <c r="N56" s="60" t="str">
        <f>"(55)"</f>
        <v>(55)</v>
      </c>
      <c r="O56" s="61">
        <f>'kuni 2025 detsember tegevuskava'!AE37</f>
        <v>0</v>
      </c>
      <c r="P56" s="68" t="str">
        <f>"(55)"</f>
        <v>(55)</v>
      </c>
    </row>
    <row r="57" spans="2:16" ht="17.25" x14ac:dyDescent="0.25">
      <c r="B57" s="145"/>
      <c r="C57" s="8"/>
      <c r="D57" s="8"/>
      <c r="E57" s="8"/>
      <c r="F57" s="8"/>
      <c r="G57" s="8"/>
      <c r="H57" s="192"/>
      <c r="I57" s="180" t="s">
        <v>298</v>
      </c>
      <c r="J57" s="8"/>
      <c r="K57" s="8"/>
      <c r="L57" s="8"/>
      <c r="M57" s="8"/>
      <c r="N57" s="8"/>
      <c r="O57" s="8"/>
      <c r="P57" s="159"/>
    </row>
    <row r="58" spans="2:16" ht="17.25" x14ac:dyDescent="0.25">
      <c r="B58" s="145"/>
      <c r="C58" s="8"/>
      <c r="D58" s="8"/>
      <c r="E58" s="8"/>
      <c r="F58" s="8"/>
      <c r="G58" s="8"/>
      <c r="H58" s="192"/>
      <c r="I58" s="170">
        <f>SUM(I59:I61)</f>
        <v>306168</v>
      </c>
      <c r="J58" s="57"/>
      <c r="K58" s="170">
        <f>SUM(K59:K61)</f>
        <v>0</v>
      </c>
      <c r="L58" s="58"/>
      <c r="M58" s="170">
        <f>SUM(M59:M61)</f>
        <v>153084</v>
      </c>
      <c r="N58" s="107"/>
      <c r="O58" s="149">
        <f>SUM(O59:O61)</f>
        <v>153084</v>
      </c>
      <c r="P58" s="134"/>
    </row>
    <row r="59" spans="2:16" ht="17.25" x14ac:dyDescent="0.25">
      <c r="B59" s="145"/>
      <c r="C59" s="8"/>
      <c r="D59" s="8"/>
      <c r="E59" s="8"/>
      <c r="F59" s="8"/>
      <c r="G59" s="8"/>
      <c r="H59" s="192"/>
      <c r="I59" s="137">
        <f>SUM(K59+M59+O59)</f>
        <v>0</v>
      </c>
      <c r="J59" s="126" t="str">
        <f>"(15)"</f>
        <v>(15)</v>
      </c>
      <c r="K59" s="59">
        <f>SUM(K54*1.2)</f>
        <v>0</v>
      </c>
      <c r="L59" s="126" t="str">
        <f>"(15)"</f>
        <v>(15)</v>
      </c>
      <c r="M59" s="59">
        <f>SUM(M54*1.22)</f>
        <v>0</v>
      </c>
      <c r="N59" s="126" t="str">
        <f>"(15)"</f>
        <v>(15)</v>
      </c>
      <c r="O59" s="59">
        <f>SUM(O54*1.22)</f>
        <v>0</v>
      </c>
      <c r="P59" s="67" t="str">
        <f>"(15)"</f>
        <v>(15)</v>
      </c>
    </row>
    <row r="60" spans="2:16" ht="17.25" x14ac:dyDescent="0.25">
      <c r="B60" s="145"/>
      <c r="C60" s="8"/>
      <c r="D60" s="8"/>
      <c r="E60" s="8"/>
      <c r="F60" s="8"/>
      <c r="G60" s="8"/>
      <c r="H60" s="192"/>
      <c r="I60" s="137">
        <f t="shared" ref="I60:I61" si="14">SUM(K60+M60+O60)</f>
        <v>306168</v>
      </c>
      <c r="J60" s="126" t="str">
        <f>"(50)"</f>
        <v>(50)</v>
      </c>
      <c r="K60" s="59">
        <f>K55</f>
        <v>0</v>
      </c>
      <c r="L60" s="126" t="str">
        <f>"(50)"</f>
        <v>(50)</v>
      </c>
      <c r="M60" s="59">
        <f>M55</f>
        <v>153084</v>
      </c>
      <c r="N60" s="126" t="str">
        <f>"(50)"</f>
        <v>(50)</v>
      </c>
      <c r="O60" s="59">
        <f>O55</f>
        <v>153084</v>
      </c>
      <c r="P60" s="67" t="str">
        <f>"(50)"</f>
        <v>(50)</v>
      </c>
    </row>
    <row r="61" spans="2:16" ht="18" thickBot="1" x14ac:dyDescent="0.3">
      <c r="B61" s="160"/>
      <c r="C61" s="161"/>
      <c r="D61" s="161"/>
      <c r="E61" s="161"/>
      <c r="F61" s="161"/>
      <c r="G61" s="161"/>
      <c r="H61" s="193"/>
      <c r="I61" s="137">
        <f t="shared" si="14"/>
        <v>0</v>
      </c>
      <c r="J61" s="70" t="str">
        <f>"(55)"</f>
        <v>(55)</v>
      </c>
      <c r="K61" s="59">
        <f>SUM(K56*1.2)</f>
        <v>0</v>
      </c>
      <c r="L61" s="70" t="str">
        <f>"(55)"</f>
        <v>(55)</v>
      </c>
      <c r="M61" s="59">
        <f>SUM(M56*1.22)</f>
        <v>0</v>
      </c>
      <c r="N61" s="70" t="str">
        <f>"(55)"</f>
        <v>(55)</v>
      </c>
      <c r="O61" s="71">
        <f>SUM(O56*1.22)</f>
        <v>0</v>
      </c>
      <c r="P61" s="72" t="str">
        <f>"(55)"</f>
        <v>(55)</v>
      </c>
    </row>
    <row r="62" spans="2:16" ht="17.25" x14ac:dyDescent="0.25">
      <c r="B62" s="187" t="str">
        <f>'kuni 2025 detsember tegevuskava'!A38&amp;"/"&amp;'kuni 2025 detsember tegevuskava'!C38</f>
        <v>Regionaal- ja Põllumajandusministeerium/</v>
      </c>
      <c r="C62" s="156" t="str">
        <f>'kuni 2025 detsember tegevuskava'!I38</f>
        <v>Digipöörde elluviimiseks puuduvad vajalikud kompetentsid/oskused.</v>
      </c>
      <c r="D62" s="156" t="str">
        <f>'kuni 2025 detsember tegevuskava'!J38</f>
        <v>Valitsemisala kompetentside värbamine</v>
      </c>
      <c r="E62" s="156" t="str">
        <f>'kuni 2025 detsember tegevuskava'!K38</f>
        <v>Teenusejuht positsioon on täidetud ja asutuses töötavad kompetentsed digipädevad ja digiteadlikud oma valdkonna eksperdid, kes juhivad/aitavad kaasa digipöörde elluviimisel</v>
      </c>
      <c r="F62" s="156" t="str">
        <f>'kuni 2025 detsember tegevuskava'!O38&amp;"/"</f>
        <v>SF 21-27 (taotletav raha)/</v>
      </c>
      <c r="G62" s="156" cm="1">
        <f t="array" ref="G62">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3</v>
      </c>
      <c r="H62" s="194" cm="1">
        <f t="array" ref="H62">_xlfn.IFS(OR('kuni 2025 detsember tegevuskava'!O38='kuni 2025 detsember tegevuskava'!$O$97,'kuni 2025 detsember tegevuskava'!O38='kuni 2025 detsember tegevuskava'!$O$99,'kuni 2025 detsember tegevuskava'!O38='kuni 2025 detsember tegevuskava'!$O$100,'kuni 2025 detsember tegevuskava'!O38='kuni 2025 detsember tegevuskava'!$O$101),1,'kuni 2025 detsember tegevuskava'!O38='kuni 2025 detsember tegevuskava'!$O$102,2,'kuni 2025 detsember tegevuskava'!O38='kuni 2025 detsember tegevuskava'!$O$103,2,'kuni 2025 detsember tegevuskava'!O38='kuni 2025 detsember tegevuskava'!$O$98,3)</f>
        <v>2</v>
      </c>
      <c r="I62" s="139">
        <f>SUM(I63:I65)</f>
        <v>120420</v>
      </c>
      <c r="J62" s="63"/>
      <c r="K62" s="139">
        <f>SUM(K63:K65)</f>
        <v>0</v>
      </c>
      <c r="L62" s="64"/>
      <c r="M62" s="139">
        <f>SUM(M63:M65)</f>
        <v>60210</v>
      </c>
      <c r="N62" s="65"/>
      <c r="O62" s="62">
        <f>SUM(O63:O65)</f>
        <v>60210</v>
      </c>
      <c r="P62" s="66"/>
    </row>
    <row r="63" spans="2:16" ht="17.25" x14ac:dyDescent="0.25">
      <c r="B63" s="145"/>
      <c r="C63" s="8"/>
      <c r="D63" s="8"/>
      <c r="E63" s="8"/>
      <c r="F63" s="8"/>
      <c r="G63" s="8"/>
      <c r="H63" s="192"/>
      <c r="I63" s="137">
        <f>SUM(K63+M63+O63)</f>
        <v>0</v>
      </c>
      <c r="J63" s="126" t="str">
        <f>"(15)"</f>
        <v>(15)</v>
      </c>
      <c r="K63" s="59">
        <f>'kuni 2025 detsember tegevuskava'!W38</f>
        <v>0</v>
      </c>
      <c r="L63" s="126" t="str">
        <f>"(15)"</f>
        <v>(15)</v>
      </c>
      <c r="M63" s="59">
        <f>'kuni 2025 detsember tegevuskava'!Z38</f>
        <v>0</v>
      </c>
      <c r="N63" s="126" t="str">
        <f>"(15)"</f>
        <v>(15)</v>
      </c>
      <c r="O63" s="59">
        <f>'kuni 2025 detsember tegevuskava'!AC38</f>
        <v>0</v>
      </c>
      <c r="P63" s="67" t="str">
        <f>"(15)"</f>
        <v>(15)</v>
      </c>
    </row>
    <row r="64" spans="2:16" ht="17.25" x14ac:dyDescent="0.25">
      <c r="B64" s="145"/>
      <c r="C64" s="8"/>
      <c r="D64" s="8"/>
      <c r="E64" s="8"/>
      <c r="F64" s="8"/>
      <c r="G64" s="8"/>
      <c r="H64" s="192"/>
      <c r="I64" s="137">
        <f t="shared" ref="I64:I65" si="15">SUM(K64+M64+O64)</f>
        <v>120420</v>
      </c>
      <c r="J64" s="126" t="str">
        <f>"(50)"</f>
        <v>(50)</v>
      </c>
      <c r="K64" s="59">
        <f>'kuni 2025 detsember tegevuskava'!X38</f>
        <v>0</v>
      </c>
      <c r="L64" s="126" t="str">
        <f>"(50)"</f>
        <v>(50)</v>
      </c>
      <c r="M64" s="59">
        <f>'kuni 2025 detsember tegevuskava'!AA38</f>
        <v>60210</v>
      </c>
      <c r="N64" s="126" t="str">
        <f>"(50)"</f>
        <v>(50)</v>
      </c>
      <c r="O64" s="59">
        <f>'kuni 2025 detsember tegevuskava'!AD38</f>
        <v>60210</v>
      </c>
      <c r="P64" s="67" t="str">
        <f>"(50)"</f>
        <v>(50)</v>
      </c>
    </row>
    <row r="65" spans="2:16" ht="17.25" x14ac:dyDescent="0.25">
      <c r="B65" s="145"/>
      <c r="C65" s="8"/>
      <c r="D65" s="8"/>
      <c r="E65" s="8"/>
      <c r="F65" s="8"/>
      <c r="G65" s="8"/>
      <c r="H65" s="192"/>
      <c r="I65" s="137">
        <f t="shared" si="15"/>
        <v>0</v>
      </c>
      <c r="J65" s="60" t="str">
        <f>"(55)"</f>
        <v>(55)</v>
      </c>
      <c r="K65" s="61">
        <f>'kuni 2025 detsember tegevuskava'!Y38</f>
        <v>0</v>
      </c>
      <c r="L65" s="60" t="str">
        <f>"(55)"</f>
        <v>(55)</v>
      </c>
      <c r="M65" s="61">
        <f>'kuni 2025 detsember tegevuskava'!AB38</f>
        <v>0</v>
      </c>
      <c r="N65" s="60" t="str">
        <f>"(55)"</f>
        <v>(55)</v>
      </c>
      <c r="O65" s="61">
        <f>'kuni 2025 detsember tegevuskava'!AE38</f>
        <v>0</v>
      </c>
      <c r="P65" s="68" t="str">
        <f>"(55)"</f>
        <v>(55)</v>
      </c>
    </row>
    <row r="66" spans="2:16" ht="17.25" x14ac:dyDescent="0.25">
      <c r="B66" s="145"/>
      <c r="C66" s="8"/>
      <c r="D66" s="8"/>
      <c r="E66" s="8"/>
      <c r="F66" s="8"/>
      <c r="G66" s="8"/>
      <c r="H66" s="192"/>
      <c r="I66" s="180" t="s">
        <v>298</v>
      </c>
      <c r="J66" s="8"/>
      <c r="K66" s="8"/>
      <c r="L66" s="8"/>
      <c r="M66" s="8"/>
      <c r="N66" s="8"/>
      <c r="O66" s="8"/>
      <c r="P66" s="159"/>
    </row>
    <row r="67" spans="2:16" ht="17.25" x14ac:dyDescent="0.25">
      <c r="B67" s="145"/>
      <c r="C67" s="8"/>
      <c r="D67" s="8"/>
      <c r="E67" s="8"/>
      <c r="F67" s="8"/>
      <c r="G67" s="8"/>
      <c r="H67" s="192"/>
      <c r="I67" s="170">
        <f>SUM(I68:I70)</f>
        <v>120420</v>
      </c>
      <c r="J67" s="57"/>
      <c r="K67" s="170">
        <f>SUM(K68:K70)</f>
        <v>0</v>
      </c>
      <c r="L67" s="58"/>
      <c r="M67" s="170">
        <f>SUM(M68:M70)</f>
        <v>60210</v>
      </c>
      <c r="N67" s="107"/>
      <c r="O67" s="170">
        <f>SUM(O68:O70)</f>
        <v>60210</v>
      </c>
      <c r="P67" s="134"/>
    </row>
    <row r="68" spans="2:16" ht="17.25" x14ac:dyDescent="0.25">
      <c r="B68" s="145"/>
      <c r="C68" s="8"/>
      <c r="D68" s="8"/>
      <c r="E68" s="8"/>
      <c r="F68" s="8"/>
      <c r="G68" s="8"/>
      <c r="H68" s="192"/>
      <c r="I68" s="137">
        <f>SUM(K68+M68+O68)</f>
        <v>0</v>
      </c>
      <c r="J68" s="126" t="str">
        <f>"(15)"</f>
        <v>(15)</v>
      </c>
      <c r="K68" s="59">
        <f>SUM(K63*1.2)</f>
        <v>0</v>
      </c>
      <c r="L68" s="126" t="str">
        <f>"(15)"</f>
        <v>(15)</v>
      </c>
      <c r="M68" s="59">
        <f>SUM(M63*1.22)</f>
        <v>0</v>
      </c>
      <c r="N68" s="126" t="str">
        <f>"(15)"</f>
        <v>(15)</v>
      </c>
      <c r="O68" s="59">
        <f>SUM(O63*1.22)</f>
        <v>0</v>
      </c>
      <c r="P68" s="67" t="str">
        <f>"(15)"</f>
        <v>(15)</v>
      </c>
    </row>
    <row r="69" spans="2:16" ht="17.25" x14ac:dyDescent="0.25">
      <c r="B69" s="145"/>
      <c r="C69" s="8"/>
      <c r="D69" s="8"/>
      <c r="E69" s="8"/>
      <c r="F69" s="8"/>
      <c r="G69" s="8"/>
      <c r="H69" s="192"/>
      <c r="I69" s="137">
        <f t="shared" ref="I69:I70" si="16">SUM(K69+M69+O69)</f>
        <v>120420</v>
      </c>
      <c r="J69" s="126" t="str">
        <f>"(50)"</f>
        <v>(50)</v>
      </c>
      <c r="K69" s="59">
        <f>K64</f>
        <v>0</v>
      </c>
      <c r="L69" s="126" t="str">
        <f>"(50)"</f>
        <v>(50)</v>
      </c>
      <c r="M69" s="59">
        <f>M64</f>
        <v>60210</v>
      </c>
      <c r="N69" s="126" t="str">
        <f>"(50)"</f>
        <v>(50)</v>
      </c>
      <c r="O69" s="59">
        <f>O64</f>
        <v>60210</v>
      </c>
      <c r="P69" s="67" t="str">
        <f>"(50)"</f>
        <v>(50)</v>
      </c>
    </row>
    <row r="70" spans="2:16" ht="18" thickBot="1" x14ac:dyDescent="0.3">
      <c r="B70" s="160"/>
      <c r="C70" s="161"/>
      <c r="D70" s="161"/>
      <c r="E70" s="161"/>
      <c r="F70" s="161"/>
      <c r="G70" s="161"/>
      <c r="H70" s="193"/>
      <c r="I70" s="137">
        <f t="shared" si="16"/>
        <v>0</v>
      </c>
      <c r="J70" s="126" t="str">
        <f>"(55)"</f>
        <v>(55)</v>
      </c>
      <c r="K70" s="71">
        <f>SUM(K65*1.2)</f>
        <v>0</v>
      </c>
      <c r="L70" s="126" t="str">
        <f>"(55)"</f>
        <v>(55)</v>
      </c>
      <c r="M70" s="71">
        <f>SUM(M65*1.22)</f>
        <v>0</v>
      </c>
      <c r="N70" s="70" t="str">
        <f>"(55)"</f>
        <v>(55)</v>
      </c>
      <c r="O70" s="71">
        <f>SUM(O65*1.22)</f>
        <v>0</v>
      </c>
      <c r="P70" s="72" t="str">
        <f>"(55)"</f>
        <v>(55)</v>
      </c>
    </row>
    <row r="71" spans="2:16" ht="17.25" x14ac:dyDescent="0.25">
      <c r="B71" s="187" t="str">
        <f>'kuni 2025 detsember tegevuskava'!A39&amp;"/"&amp;'kuni 2025 detsember tegevuskava'!C39</f>
        <v>Regionaal- ja Põllumajandusministeerium/</v>
      </c>
      <c r="C71" s="156" t="str">
        <f>'kuni 2025 detsember tegevuskava'!I39</f>
        <v>PTA-l puudub täna tervikpilt enda teenustest ja protsessidest, et teha teadlikke valikuid ühtsete põhimõtetega kasutajakesksete teenuste üles ehitamiseks.</v>
      </c>
      <c r="D71" s="156" t="str">
        <f>'kuni 2025 detsember tegevuskava'!J39</f>
        <v>PTA ärianalüüs</v>
      </c>
      <c r="E71" s="156" t="str">
        <f>'kuni 2025 detsember tegevuskava'!K39</f>
        <v>Eesmärk on kaardistada PTA olemasolevad teenused ja protsessid ja analüüsida, kuidas need saaks ühtlustada ja ühtsetele põhimõtetele viia, sh protsesside ümberkujundus. Ärianalüütiku koha loomisega on võimalik viia läbi ametis ärianalüüs 2024 aasta lõpuks. 2025 aasta alguseks on valmis arendajatele ette andmiseks analüüsi tulemused taskidena.</v>
      </c>
      <c r="F71" s="156" t="str">
        <f>'kuni 2025 detsember tegevuskava'!O39&amp;"/"</f>
        <v>SF 21-27 (taotletav raha)/</v>
      </c>
      <c r="G71" s="156" cm="1">
        <f t="array" ref="G71">_xlfn.IFS('kuni 2025 detsember tegevuskava'!G39='kuni 2025 detsember tegevuskava'!$G$97,1,'kuni 2025 detsember tegevuskava'!G39='kuni 2025 detsember tegevuskava'!$G$98,2,'kuni 2025 detsember tegevuskava'!G39='kuni 2025 detsember tegevuskava'!$G$99,3,'kuni 2025 detsember tegevuskava'!G39='kuni 2025 detsember tegevuskava'!$G$100,4)</f>
        <v>1</v>
      </c>
      <c r="H71" s="194" cm="1">
        <f t="array" ref="H71">_xlfn.IFS(OR('kuni 2025 detsember tegevuskava'!O39='kuni 2025 detsember tegevuskava'!$O$97,'kuni 2025 detsember tegevuskava'!O39='kuni 2025 detsember tegevuskava'!$O$99,'kuni 2025 detsember tegevuskava'!O39='kuni 2025 detsember tegevuskava'!$O$100,'kuni 2025 detsember tegevuskava'!O39='kuni 2025 detsember tegevuskava'!$O$101),1,'kuni 2025 detsember tegevuskava'!O39='kuni 2025 detsember tegevuskava'!$O$102,2,'kuni 2025 detsember tegevuskava'!O39='kuni 2025 detsember tegevuskava'!$O$103,2,'kuni 2025 detsember tegevuskava'!O39='kuni 2025 detsember tegevuskava'!$O$98,3)</f>
        <v>2</v>
      </c>
      <c r="I71" s="132">
        <f>SUM(I72:I74)</f>
        <v>50000</v>
      </c>
      <c r="J71" s="133"/>
      <c r="K71" s="81">
        <f>SUM(K72:K74)</f>
        <v>0</v>
      </c>
      <c r="L71" s="175"/>
      <c r="M71" s="81">
        <f>SUM(M72:M74)</f>
        <v>50000</v>
      </c>
      <c r="N71" s="84"/>
      <c r="O71" s="81">
        <f>SUM(O72:O74)</f>
        <v>0</v>
      </c>
      <c r="P71" s="85"/>
    </row>
    <row r="72" spans="2:16" ht="17.25" x14ac:dyDescent="0.25">
      <c r="B72" s="145"/>
      <c r="C72" s="8"/>
      <c r="D72" s="8"/>
      <c r="E72" s="8"/>
      <c r="F72" s="8"/>
      <c r="G72" s="8"/>
      <c r="H72" s="192"/>
      <c r="I72" s="102">
        <f>SUM(K72+M72+O72)</f>
        <v>50000</v>
      </c>
      <c r="J72" s="98" t="str">
        <f>"(15)"</f>
        <v>(15)</v>
      </c>
      <c r="K72" s="86">
        <f>'kuni 2025 detsember tegevuskava'!W39</f>
        <v>0</v>
      </c>
      <c r="L72" s="98" t="str">
        <f>"(15)"</f>
        <v>(15)</v>
      </c>
      <c r="M72" s="86">
        <f>'kuni 2025 detsember tegevuskava'!Z39</f>
        <v>50000</v>
      </c>
      <c r="N72" s="98" t="str">
        <f>"(15)"</f>
        <v>(15)</v>
      </c>
      <c r="O72" s="86">
        <f>'kuni 2025 detsember tegevuskava'!AC39</f>
        <v>0</v>
      </c>
      <c r="P72" s="87" t="str">
        <f>"(15)"</f>
        <v>(15)</v>
      </c>
    </row>
    <row r="73" spans="2:16" ht="17.25" x14ac:dyDescent="0.25">
      <c r="B73" s="145"/>
      <c r="C73" s="8"/>
      <c r="D73" s="8"/>
      <c r="E73" s="8"/>
      <c r="F73" s="8"/>
      <c r="G73" s="8"/>
      <c r="H73" s="192"/>
      <c r="I73" s="102">
        <f>SUM(K73+M73+O73)</f>
        <v>0</v>
      </c>
      <c r="J73" s="98" t="str">
        <f>"(50)"</f>
        <v>(50)</v>
      </c>
      <c r="K73" s="86">
        <f>'kuni 2025 detsember tegevuskava'!X39</f>
        <v>0</v>
      </c>
      <c r="L73" s="98" t="str">
        <f>"(50)"</f>
        <v>(50)</v>
      </c>
      <c r="M73" s="86">
        <f>'kuni 2025 detsember tegevuskava'!AA39</f>
        <v>0</v>
      </c>
      <c r="N73" s="98" t="str">
        <f>"(50)"</f>
        <v>(50)</v>
      </c>
      <c r="O73" s="86">
        <f>'kuni 2025 detsember tegevuskava'!AD39</f>
        <v>0</v>
      </c>
      <c r="P73" s="87" t="str">
        <f>"(50)"</f>
        <v>(50)</v>
      </c>
    </row>
    <row r="74" spans="2:16" ht="17.25" x14ac:dyDescent="0.25">
      <c r="B74" s="145"/>
      <c r="C74" s="8"/>
      <c r="D74" s="8"/>
      <c r="E74" s="8"/>
      <c r="F74" s="8"/>
      <c r="G74" s="8"/>
      <c r="H74" s="192"/>
      <c r="I74" s="102">
        <f>SUM(K74+M74+O74)</f>
        <v>0</v>
      </c>
      <c r="J74" s="88" t="str">
        <f>"(55)"</f>
        <v>(55)</v>
      </c>
      <c r="K74" s="89">
        <f>'kuni 2025 detsember tegevuskava'!Y39</f>
        <v>0</v>
      </c>
      <c r="L74" s="88" t="str">
        <f>"(55)"</f>
        <v>(55)</v>
      </c>
      <c r="M74" s="89">
        <f>'kuni 2025 detsember tegevuskava'!AB39</f>
        <v>0</v>
      </c>
      <c r="N74" s="88" t="str">
        <f>"(55)"</f>
        <v>(55)</v>
      </c>
      <c r="O74" s="89">
        <f>'kuni 2025 detsember tegevuskava'!AE39</f>
        <v>0</v>
      </c>
      <c r="P74" s="90" t="str">
        <f>"(55)"</f>
        <v>(55)</v>
      </c>
    </row>
    <row r="75" spans="2:16" ht="17.25" x14ac:dyDescent="0.25">
      <c r="B75" s="145"/>
      <c r="C75" s="8"/>
      <c r="D75" s="8"/>
      <c r="E75" s="8"/>
      <c r="F75" s="8"/>
      <c r="G75" s="8"/>
      <c r="H75" s="192"/>
      <c r="I75" s="180" t="s">
        <v>298</v>
      </c>
      <c r="J75" s="8"/>
      <c r="K75" s="8"/>
      <c r="L75" s="8"/>
      <c r="M75" s="8"/>
      <c r="N75" s="8"/>
      <c r="O75" s="8"/>
      <c r="P75" s="159"/>
    </row>
    <row r="76" spans="2:16" ht="17.25" x14ac:dyDescent="0.25">
      <c r="B76" s="145"/>
      <c r="C76" s="8"/>
      <c r="D76" s="8"/>
      <c r="E76" s="8"/>
      <c r="F76" s="8"/>
      <c r="G76" s="8"/>
      <c r="H76" s="192"/>
      <c r="I76" s="173">
        <f>SUM(I77:I79)</f>
        <v>61000</v>
      </c>
      <c r="J76" s="174"/>
      <c r="K76" s="91">
        <f>SUM(K77:K79)</f>
        <v>0</v>
      </c>
      <c r="L76" s="176"/>
      <c r="M76" s="91">
        <f>SUM(M77:M79)</f>
        <v>61000</v>
      </c>
      <c r="N76" s="107"/>
      <c r="O76" s="173">
        <f>SUM(O77:O79)</f>
        <v>0</v>
      </c>
      <c r="P76" s="134"/>
    </row>
    <row r="77" spans="2:16" ht="17.25" x14ac:dyDescent="0.25">
      <c r="B77" s="145"/>
      <c r="C77" s="8"/>
      <c r="D77" s="8"/>
      <c r="E77" s="8"/>
      <c r="F77" s="8"/>
      <c r="G77" s="8"/>
      <c r="H77" s="192"/>
      <c r="I77" s="102">
        <f>SUM(K77+M77+O77)</f>
        <v>61000</v>
      </c>
      <c r="J77" s="98" t="str">
        <f>"(15)"</f>
        <v>(15)</v>
      </c>
      <c r="K77" s="86">
        <f>SUM(K72*1.2)</f>
        <v>0</v>
      </c>
      <c r="L77" s="98" t="str">
        <f>"(15)"</f>
        <v>(15)</v>
      </c>
      <c r="M77" s="86">
        <f>SUM(M72*1.22)</f>
        <v>61000</v>
      </c>
      <c r="N77" s="98" t="str">
        <f>"(15)"</f>
        <v>(15)</v>
      </c>
      <c r="O77" s="86">
        <f>SUM(O72*1.22)</f>
        <v>0</v>
      </c>
      <c r="P77" s="87" t="str">
        <f>"(15)"</f>
        <v>(15)</v>
      </c>
    </row>
    <row r="78" spans="2:16" ht="17.25" x14ac:dyDescent="0.25">
      <c r="B78" s="145"/>
      <c r="C78" s="8"/>
      <c r="D78" s="8"/>
      <c r="E78" s="8"/>
      <c r="F78" s="8"/>
      <c r="G78" s="8"/>
      <c r="H78" s="192"/>
      <c r="I78" s="102">
        <f>SUM(K78+M78+O78)</f>
        <v>0</v>
      </c>
      <c r="J78" s="98" t="str">
        <f>"(50)"</f>
        <v>(50)</v>
      </c>
      <c r="K78" s="86">
        <f>K73</f>
        <v>0</v>
      </c>
      <c r="L78" s="98" t="str">
        <f>"(50)"</f>
        <v>(50)</v>
      </c>
      <c r="M78" s="86">
        <f>M73</f>
        <v>0</v>
      </c>
      <c r="N78" s="98" t="str">
        <f>"(50)"</f>
        <v>(50)</v>
      </c>
      <c r="O78" s="86">
        <f>O73</f>
        <v>0</v>
      </c>
      <c r="P78" s="87" t="str">
        <f>"(50)"</f>
        <v>(50)</v>
      </c>
    </row>
    <row r="79" spans="2:16" ht="18" thickBot="1" x14ac:dyDescent="0.3">
      <c r="B79" s="160"/>
      <c r="C79" s="161"/>
      <c r="D79" s="161"/>
      <c r="E79" s="161"/>
      <c r="F79" s="161"/>
      <c r="G79" s="161"/>
      <c r="H79" s="193"/>
      <c r="I79" s="102">
        <f>SUM(K79+M79+O79)</f>
        <v>0</v>
      </c>
      <c r="J79" s="94" t="str">
        <f>"(55)"</f>
        <v>(55)</v>
      </c>
      <c r="K79" s="86">
        <f>SUM(K74*1.2)</f>
        <v>0</v>
      </c>
      <c r="L79" s="94" t="str">
        <f>"(55)"</f>
        <v>(55)</v>
      </c>
      <c r="M79" s="86">
        <f>SUM(M74*1.22)</f>
        <v>0</v>
      </c>
      <c r="N79" s="94" t="str">
        <f>"(55)"</f>
        <v>(55)</v>
      </c>
      <c r="O79" s="95">
        <f>SUM(O74*1.22)</f>
        <v>0</v>
      </c>
      <c r="P79" s="96" t="str">
        <f>"(55)"</f>
        <v>(55)</v>
      </c>
    </row>
    <row r="80" spans="2:16" ht="17.25" x14ac:dyDescent="0.25">
      <c r="B80" s="187" t="str">
        <f>'kuni 2025 detsember tegevuskava'!A40&amp;"/"&amp;'kuni 2025 detsember tegevuskava'!C40</f>
        <v>Regionaal- ja Põllumajandusministeerium/</v>
      </c>
      <c r="C80" s="156" t="str">
        <f>'kuni 2025 detsember tegevuskava'!I40</f>
        <v>LABRISes on kasutusel analüüside registreerimiseks ja tulemuste sisestamiseks mitu erinevat süsteemi, millest üks on taakvara.</v>
      </c>
      <c r="D80" s="156" t="str">
        <f>'kuni 2025 detsember tegevuskava'!J40</f>
        <v>Ühendlabori infosüsteem</v>
      </c>
      <c r="E80" s="156" t="str">
        <f>'kuni 2025 detsember tegevuskava'!K40</f>
        <v xml:space="preserve">Labori analüüsid on digitaliseeritud ja toimib andmevahetus haldusala teiste süsteemidega. LABRISe teenuste protsessikirjeldus 2023, peale seda oleme valmis tegema kehtiva raamhanke raames analüüsi ning 2024 alustama arendustöödega. 
</v>
      </c>
      <c r="F80" s="156" t="str">
        <f>'kuni 2025 detsember tegevuskava'!O40&amp;"/"</f>
        <v>SF 21-27 (taotletav raha)/</v>
      </c>
      <c r="G80" s="156" cm="1">
        <f t="array" ref="G80">_xlfn.IFS('kuni 2025 detsember tegevuskava'!G40='kuni 2025 detsember tegevuskava'!$G$97,1,'kuni 2025 detsember tegevuskava'!G40='kuni 2025 detsember tegevuskava'!$G$98,2,'kuni 2025 detsember tegevuskava'!G40='kuni 2025 detsember tegevuskava'!$G$99,3,'kuni 2025 detsember tegevuskava'!G40='kuni 2025 detsember tegevuskava'!$G$100,4)</f>
        <v>1</v>
      </c>
      <c r="H80" s="194" cm="1">
        <f t="array" ref="H80">_xlfn.IFS(OR('kuni 2025 detsember tegevuskava'!O40='kuni 2025 detsember tegevuskava'!$O$97,'kuni 2025 detsember tegevuskava'!O40='kuni 2025 detsember tegevuskava'!$O$99,'kuni 2025 detsember tegevuskava'!O40='kuni 2025 detsember tegevuskava'!$O$100,'kuni 2025 detsember tegevuskava'!O40='kuni 2025 detsember tegevuskava'!$O$101),1,'kuni 2025 detsember tegevuskava'!O40='kuni 2025 detsember tegevuskava'!$O$102,2,'kuni 2025 detsember tegevuskava'!O40='kuni 2025 detsember tegevuskava'!$O$103,2,'kuni 2025 detsember tegevuskava'!O40='kuni 2025 detsember tegevuskava'!$O$98,3)</f>
        <v>2</v>
      </c>
      <c r="I80" s="132">
        <f>SUM(I81:I83)</f>
        <v>300000</v>
      </c>
      <c r="J80" s="82"/>
      <c r="K80" s="132">
        <f>SUM(K81:K83)</f>
        <v>0</v>
      </c>
      <c r="L80" s="83"/>
      <c r="M80" s="132">
        <f>SUM(M81:M83)</f>
        <v>300000</v>
      </c>
      <c r="N80" s="84"/>
      <c r="O80" s="81">
        <f>SUM(O81:O83)</f>
        <v>0</v>
      </c>
      <c r="P80" s="85"/>
    </row>
    <row r="81" spans="2:16" ht="17.25" x14ac:dyDescent="0.25">
      <c r="B81" s="145"/>
      <c r="C81" s="8"/>
      <c r="D81" s="8"/>
      <c r="E81" s="8"/>
      <c r="F81" s="8"/>
      <c r="G81" s="8"/>
      <c r="H81" s="192"/>
      <c r="I81" s="102">
        <f>SUM(K81+M81+O81)</f>
        <v>300000</v>
      </c>
      <c r="J81" s="98" t="str">
        <f>"(15)"</f>
        <v>(15)</v>
      </c>
      <c r="K81" s="86">
        <f>'kuni 2025 detsember tegevuskava'!W40</f>
        <v>0</v>
      </c>
      <c r="L81" s="98" t="str">
        <f>"(15)"</f>
        <v>(15)</v>
      </c>
      <c r="M81" s="86">
        <f>'kuni 2025 detsember tegevuskava'!Z40</f>
        <v>300000</v>
      </c>
      <c r="N81" s="98" t="str">
        <f>"(15)"</f>
        <v>(15)</v>
      </c>
      <c r="O81" s="86">
        <f>'kuni 2025 detsember tegevuskava'!AC40</f>
        <v>0</v>
      </c>
      <c r="P81" s="87" t="str">
        <f>"(15)"</f>
        <v>(15)</v>
      </c>
    </row>
    <row r="82" spans="2:16" ht="17.25" x14ac:dyDescent="0.25">
      <c r="B82" s="145"/>
      <c r="C82" s="8"/>
      <c r="D82" s="8"/>
      <c r="E82" s="8"/>
      <c r="F82" s="8"/>
      <c r="G82" s="8"/>
      <c r="H82" s="192"/>
      <c r="I82" s="102">
        <f>SUM(K82+M82+O82)</f>
        <v>0</v>
      </c>
      <c r="J82" s="98" t="str">
        <f>"(50)"</f>
        <v>(50)</v>
      </c>
      <c r="K82" s="86">
        <f>'kuni 2025 detsember tegevuskava'!X40</f>
        <v>0</v>
      </c>
      <c r="L82" s="98" t="str">
        <f>"(50)"</f>
        <v>(50)</v>
      </c>
      <c r="M82" s="86">
        <f>'kuni 2025 detsember tegevuskava'!AA40</f>
        <v>0</v>
      </c>
      <c r="N82" s="98" t="str">
        <f>"(50)"</f>
        <v>(50)</v>
      </c>
      <c r="O82" s="86">
        <f>'kuni 2025 detsember tegevuskava'!AD40</f>
        <v>0</v>
      </c>
      <c r="P82" s="87" t="str">
        <f>"(50)"</f>
        <v>(50)</v>
      </c>
    </row>
    <row r="83" spans="2:16" ht="17.25" x14ac:dyDescent="0.25">
      <c r="B83" s="145"/>
      <c r="C83" s="8"/>
      <c r="D83" s="8"/>
      <c r="E83" s="8"/>
      <c r="F83" s="8"/>
      <c r="G83" s="8"/>
      <c r="H83" s="192"/>
      <c r="I83" s="102">
        <f>SUM(K83+M83+O83)</f>
        <v>0</v>
      </c>
      <c r="J83" s="88" t="str">
        <f>"(55)"</f>
        <v>(55)</v>
      </c>
      <c r="K83" s="89">
        <f>'kuni 2025 detsember tegevuskava'!Y40</f>
        <v>0</v>
      </c>
      <c r="L83" s="88" t="str">
        <f>"(55)"</f>
        <v>(55)</v>
      </c>
      <c r="M83" s="89">
        <f>'kuni 2025 detsember tegevuskava'!AB40</f>
        <v>0</v>
      </c>
      <c r="N83" s="88" t="str">
        <f>"(55)"</f>
        <v>(55)</v>
      </c>
      <c r="O83" s="89">
        <f>'kuni 2025 detsember tegevuskava'!AE40</f>
        <v>0</v>
      </c>
      <c r="P83" s="90" t="str">
        <f>"(55)"</f>
        <v>(55)</v>
      </c>
    </row>
    <row r="84" spans="2:16" ht="17.25" x14ac:dyDescent="0.25">
      <c r="B84" s="145"/>
      <c r="C84" s="8"/>
      <c r="D84" s="8"/>
      <c r="E84" s="8"/>
      <c r="F84" s="8"/>
      <c r="G84" s="8"/>
      <c r="H84" s="192"/>
      <c r="I84" s="181" t="s">
        <v>298</v>
      </c>
      <c r="J84" s="8"/>
      <c r="K84" s="8"/>
      <c r="L84" s="8"/>
      <c r="M84" s="8"/>
      <c r="N84" s="8"/>
      <c r="O84" s="8"/>
      <c r="P84" s="159"/>
    </row>
    <row r="85" spans="2:16" ht="17.25" x14ac:dyDescent="0.25">
      <c r="B85" s="145"/>
      <c r="C85" s="8"/>
      <c r="D85" s="8"/>
      <c r="E85" s="8"/>
      <c r="F85" s="8"/>
      <c r="G85" s="8"/>
      <c r="H85" s="192"/>
      <c r="I85" s="179">
        <f>SUM(I86:I88)</f>
        <v>366000</v>
      </c>
      <c r="J85" s="174"/>
      <c r="K85" s="91">
        <f>SUM(K86:K88)</f>
        <v>0</v>
      </c>
      <c r="L85" s="92"/>
      <c r="M85" s="173">
        <f>SUM(M86:M88)</f>
        <v>366000</v>
      </c>
      <c r="N85" s="107"/>
      <c r="O85" s="173">
        <f>SUM(O86:O88)</f>
        <v>0</v>
      </c>
      <c r="P85" s="134"/>
    </row>
    <row r="86" spans="2:16" ht="17.25" x14ac:dyDescent="0.25">
      <c r="B86" s="145"/>
      <c r="C86" s="8"/>
      <c r="D86" s="8"/>
      <c r="E86" s="8"/>
      <c r="F86" s="8"/>
      <c r="G86" s="8"/>
      <c r="H86" s="192"/>
      <c r="I86" s="102">
        <f>SUM(K86+M86+O86)</f>
        <v>366000</v>
      </c>
      <c r="J86" s="98" t="str">
        <f>"(15)"</f>
        <v>(15)</v>
      </c>
      <c r="K86" s="86">
        <f>SUM(K81*1.2)</f>
        <v>0</v>
      </c>
      <c r="L86" s="98" t="str">
        <f>"(15)"</f>
        <v>(15)</v>
      </c>
      <c r="M86" s="86">
        <f>SUM(M81*1.22)</f>
        <v>366000</v>
      </c>
      <c r="N86" s="98" t="str">
        <f>"(15)"</f>
        <v>(15)</v>
      </c>
      <c r="O86" s="86">
        <f>SUM(O81*1.22)</f>
        <v>0</v>
      </c>
      <c r="P86" s="87" t="str">
        <f>"(15)"</f>
        <v>(15)</v>
      </c>
    </row>
    <row r="87" spans="2:16" ht="17.25" x14ac:dyDescent="0.25">
      <c r="B87" s="145"/>
      <c r="C87" s="8"/>
      <c r="D87" s="8"/>
      <c r="E87" s="8"/>
      <c r="F87" s="8"/>
      <c r="G87" s="8"/>
      <c r="H87" s="192"/>
      <c r="I87" s="102">
        <f>SUM(K87+M87+O87)</f>
        <v>0</v>
      </c>
      <c r="J87" s="98" t="str">
        <f>"(50)"</f>
        <v>(50)</v>
      </c>
      <c r="K87" s="86">
        <f>K82</f>
        <v>0</v>
      </c>
      <c r="L87" s="98" t="str">
        <f>"(50)"</f>
        <v>(50)</v>
      </c>
      <c r="M87" s="86">
        <f>M82</f>
        <v>0</v>
      </c>
      <c r="N87" s="98" t="str">
        <f>"(50)"</f>
        <v>(50)</v>
      </c>
      <c r="O87" s="86">
        <f>O82</f>
        <v>0</v>
      </c>
      <c r="P87" s="87" t="str">
        <f>"(50)"</f>
        <v>(50)</v>
      </c>
    </row>
    <row r="88" spans="2:16" ht="18" thickBot="1" x14ac:dyDescent="0.3">
      <c r="B88" s="160"/>
      <c r="C88" s="161"/>
      <c r="D88" s="161"/>
      <c r="E88" s="161"/>
      <c r="F88" s="161"/>
      <c r="G88" s="161"/>
      <c r="H88" s="193"/>
      <c r="I88" s="102">
        <f>SUM(K88+M88+O88)</f>
        <v>0</v>
      </c>
      <c r="J88" s="94" t="str">
        <f>"(55)"</f>
        <v>(55)</v>
      </c>
      <c r="K88" s="86">
        <f>SUM(K83*1.2)</f>
        <v>0</v>
      </c>
      <c r="L88" s="94" t="str">
        <f>"(55)"</f>
        <v>(55)</v>
      </c>
      <c r="M88" s="86">
        <f>SUM(M83*1.22)</f>
        <v>0</v>
      </c>
      <c r="N88" s="94" t="str">
        <f>"(55)"</f>
        <v>(55)</v>
      </c>
      <c r="O88" s="95">
        <f>SUM(O83*1.22)</f>
        <v>0</v>
      </c>
      <c r="P88" s="96" t="str">
        <f>"(55)"</f>
        <v>(55)</v>
      </c>
    </row>
    <row r="89" spans="2:16" ht="17.25" x14ac:dyDescent="0.25">
      <c r="B89" s="187" t="str">
        <f>'kuni 2025 detsember tegevuskava'!A41&amp;"/"&amp;'kuni 2025 detsember tegevuskava'!C41</f>
        <v>Regionaal- ja Põllumajandusministeerium/</v>
      </c>
      <c r="C89" s="156" t="str">
        <f>'kuni 2025 detsember tegevuskava'!I41</f>
        <v>Puudub ühtne portaal maaelu valdkonna teenuste pakkumiseks, mis on vajalik roheleppe eesmärkide täitmiseks ning toidujulgeoleku tagamiseks</v>
      </c>
      <c r="D89" s="156" t="str">
        <f>'kuni 2025 detsember tegevuskava'!J41</f>
        <v>Maavärava arendusprojekt</v>
      </c>
      <c r="E89" s="156" t="str">
        <f>'kuni 2025 detsember tegevuskava'!K41</f>
        <v xml:space="preserve">On loodud valitsemisala portaali üldine kujundus ja raamistik, sh töölaud (erinevatele sihtrühmadele). Enam kasutatavad (baseerudes eelanalüüsi tulemusele) olemasolevad teenused on integreeritud ühtsesse portaali. Loodud on vähemalt üks tervikteenus (nt PRIA-MES-pankade vaheline finantseerimise tervikteenus või statistiliste andmete liikumine haldusalas/riigis). 2023 a ettevalmistavad tööd SF taotluse esitamiseks/partneri leidmiseks, 2024 loodud portaali üldine kujundus ja raamistisk, 2025 a loodud vähemalt 1 tervikteenus.
</v>
      </c>
      <c r="F89" s="156" t="str">
        <f>'kuni 2025 detsember tegevuskava'!O41&amp;"/"</f>
        <v>SF 21-27 (taotletav raha)/</v>
      </c>
      <c r="G89" s="156" cm="1">
        <f t="array" ref="G89">_xlfn.IFS('kuni 2025 detsember tegevuskava'!G41='kuni 2025 detsember tegevuskava'!$G$97,1,'kuni 2025 detsember tegevuskava'!G41='kuni 2025 detsember tegevuskava'!$G$98,2,'kuni 2025 detsember tegevuskava'!G41='kuni 2025 detsember tegevuskava'!$G$99,3,'kuni 2025 detsember tegevuskava'!G41='kuni 2025 detsember tegevuskava'!$G$100,4)</f>
        <v>1</v>
      </c>
      <c r="H89" s="194" cm="1">
        <f t="array" ref="H89">_xlfn.IFS(OR('kuni 2025 detsember tegevuskava'!O41='kuni 2025 detsember tegevuskava'!$O$97,'kuni 2025 detsember tegevuskava'!O41='kuni 2025 detsember tegevuskava'!$O$99,'kuni 2025 detsember tegevuskava'!O41='kuni 2025 detsember tegevuskava'!$O$100,'kuni 2025 detsember tegevuskava'!O41='kuni 2025 detsember tegevuskava'!$O$101),1,'kuni 2025 detsember tegevuskava'!O41='kuni 2025 detsember tegevuskava'!$O$102,2,'kuni 2025 detsember tegevuskava'!O41='kuni 2025 detsember tegevuskava'!$O$103,2,'kuni 2025 detsember tegevuskava'!O41='kuni 2025 detsember tegevuskava'!$O$98,3)</f>
        <v>2</v>
      </c>
      <c r="I89" s="132">
        <f>SUM(I90:I92)</f>
        <v>499896</v>
      </c>
      <c r="J89" s="82"/>
      <c r="K89" s="132">
        <f>SUM(K90:K92)</f>
        <v>0</v>
      </c>
      <c r="L89" s="83"/>
      <c r="M89" s="132">
        <f>SUM(M90:M92)</f>
        <v>0</v>
      </c>
      <c r="N89" s="84"/>
      <c r="O89" s="81">
        <f>SUM(O90:O92)</f>
        <v>0</v>
      </c>
      <c r="P89" s="85"/>
    </row>
    <row r="90" spans="2:16" ht="17.25" x14ac:dyDescent="0.25">
      <c r="B90" s="145"/>
      <c r="C90" s="8"/>
      <c r="D90" s="8"/>
      <c r="E90" s="8"/>
      <c r="F90" s="8"/>
      <c r="G90" s="8"/>
      <c r="H90" s="192"/>
      <c r="I90" s="102">
        <f>SUM(K90+M90+O90)</f>
        <v>499896</v>
      </c>
      <c r="J90" s="98" t="str">
        <f>"(15)"</f>
        <v>(15)</v>
      </c>
      <c r="K90" s="86">
        <f>'kuni 2025 detsember tegevuskava'!W41</f>
        <v>0</v>
      </c>
      <c r="L90" s="98" t="str">
        <f>"(15)"</f>
        <v>(15)</v>
      </c>
      <c r="M90" s="86" t="str">
        <f>'kuni 2025 detsember tegevuskava'!Z41</f>
        <v>499896</v>
      </c>
      <c r="N90" s="98" t="str">
        <f>"(15)"</f>
        <v>(15)</v>
      </c>
      <c r="O90" s="86">
        <f>'kuni 2025 detsember tegevuskava'!AC41</f>
        <v>0</v>
      </c>
      <c r="P90" s="87" t="str">
        <f>"(15)"</f>
        <v>(15)</v>
      </c>
    </row>
    <row r="91" spans="2:16" ht="17.25" x14ac:dyDescent="0.25">
      <c r="B91" s="145"/>
      <c r="C91" s="8"/>
      <c r="D91" s="8"/>
      <c r="E91" s="8"/>
      <c r="F91" s="8"/>
      <c r="G91" s="8"/>
      <c r="H91" s="192"/>
      <c r="I91" s="102">
        <f>SUM(K91+M91+O91)</f>
        <v>0</v>
      </c>
      <c r="J91" s="98" t="str">
        <f>"(50)"</f>
        <v>(50)</v>
      </c>
      <c r="K91" s="86">
        <f>'kuni 2025 detsember tegevuskava'!X41</f>
        <v>0</v>
      </c>
      <c r="L91" s="98" t="str">
        <f>"(50)"</f>
        <v>(50)</v>
      </c>
      <c r="M91" s="86">
        <f>'kuni 2025 detsember tegevuskava'!AA41</f>
        <v>0</v>
      </c>
      <c r="N91" s="98" t="str">
        <f>"(50)"</f>
        <v>(50)</v>
      </c>
      <c r="O91" s="86">
        <f>'kuni 2025 detsember tegevuskava'!AD41</f>
        <v>0</v>
      </c>
      <c r="P91" s="87" t="str">
        <f>"(50)"</f>
        <v>(50)</v>
      </c>
    </row>
    <row r="92" spans="2:16" ht="17.25" x14ac:dyDescent="0.25">
      <c r="B92" s="145"/>
      <c r="C92" s="8"/>
      <c r="D92" s="8"/>
      <c r="E92" s="8"/>
      <c r="F92" s="8"/>
      <c r="G92" s="8"/>
      <c r="H92" s="192"/>
      <c r="I92" s="104">
        <f>SUM(K92+M92+O92)</f>
        <v>0</v>
      </c>
      <c r="J92" s="88" t="str">
        <f>"(55)"</f>
        <v>(55)</v>
      </c>
      <c r="K92" s="89">
        <f>'kuni 2025 detsember tegevuskava'!Y41</f>
        <v>0</v>
      </c>
      <c r="L92" s="88" t="str">
        <f>"(55)"</f>
        <v>(55)</v>
      </c>
      <c r="M92" s="89">
        <f>'kuni 2025 detsember tegevuskava'!AB41</f>
        <v>0</v>
      </c>
      <c r="N92" s="88" t="str">
        <f>"(55)"</f>
        <v>(55)</v>
      </c>
      <c r="O92" s="89">
        <f>'kuni 2025 detsember tegevuskava'!AE41</f>
        <v>0</v>
      </c>
      <c r="P92" s="90" t="str">
        <f>"(55)"</f>
        <v>(55)</v>
      </c>
    </row>
    <row r="93" spans="2:16" ht="17.25" x14ac:dyDescent="0.25">
      <c r="B93" s="145"/>
      <c r="C93" s="8"/>
      <c r="D93" s="8"/>
      <c r="E93" s="8"/>
      <c r="F93" s="8"/>
      <c r="G93" s="8"/>
      <c r="H93" s="192"/>
      <c r="I93" s="152" t="s">
        <v>298</v>
      </c>
      <c r="J93" s="8"/>
      <c r="K93" s="8"/>
      <c r="L93" s="8"/>
      <c r="M93" s="8"/>
      <c r="N93" s="8"/>
      <c r="O93" s="8"/>
      <c r="P93" s="159"/>
    </row>
    <row r="94" spans="2:16" ht="17.25" x14ac:dyDescent="0.25">
      <c r="B94" s="145"/>
      <c r="C94" s="8"/>
      <c r="D94" s="8"/>
      <c r="E94" s="8"/>
      <c r="F94" s="8"/>
      <c r="G94" s="8"/>
      <c r="H94" s="192"/>
      <c r="I94" s="179">
        <f>SUM(I95:I97)</f>
        <v>609873.12</v>
      </c>
      <c r="J94" s="108"/>
      <c r="K94" s="100">
        <f>SUM(K95:K97)</f>
        <v>0</v>
      </c>
      <c r="L94" s="109"/>
      <c r="M94" s="91">
        <f>SUM(M95:M97)</f>
        <v>609873.12</v>
      </c>
      <c r="N94" s="107"/>
      <c r="O94" s="173">
        <f>SUM(O95:O97)</f>
        <v>0</v>
      </c>
      <c r="P94" s="134"/>
    </row>
    <row r="95" spans="2:16" ht="17.25" x14ac:dyDescent="0.25">
      <c r="B95" s="145"/>
      <c r="C95" s="8"/>
      <c r="D95" s="8"/>
      <c r="E95" s="8"/>
      <c r="F95" s="8"/>
      <c r="G95" s="8"/>
      <c r="H95" s="192"/>
      <c r="I95" s="102">
        <f>SUM(K95+M95+O95)</f>
        <v>609873.12</v>
      </c>
      <c r="J95" s="98" t="str">
        <f>"(15)"</f>
        <v>(15)</v>
      </c>
      <c r="K95" s="102">
        <f>SUM(K90*1.2)</f>
        <v>0</v>
      </c>
      <c r="L95" s="103" t="str">
        <f>"(15)"</f>
        <v>(15)</v>
      </c>
      <c r="M95" s="97">
        <f>SUM(M90*1.22)</f>
        <v>609873.12</v>
      </c>
      <c r="N95" s="98" t="str">
        <f>"(15)"</f>
        <v>(15)</v>
      </c>
      <c r="O95" s="86">
        <f>SUM(O90*1.22)</f>
        <v>0</v>
      </c>
      <c r="P95" s="87" t="str">
        <f>"(15)"</f>
        <v>(15)</v>
      </c>
    </row>
    <row r="96" spans="2:16" ht="17.25" x14ac:dyDescent="0.25">
      <c r="B96" s="145"/>
      <c r="C96" s="8"/>
      <c r="D96" s="8"/>
      <c r="E96" s="8"/>
      <c r="F96" s="8"/>
      <c r="G96" s="8"/>
      <c r="H96" s="192"/>
      <c r="I96" s="102">
        <f>SUM(K96+M96+O96)</f>
        <v>0</v>
      </c>
      <c r="J96" s="98" t="str">
        <f>"(50)"</f>
        <v>(50)</v>
      </c>
      <c r="K96" s="102">
        <f>K91</f>
        <v>0</v>
      </c>
      <c r="L96" s="103" t="str">
        <f>"(50)"</f>
        <v>(50)</v>
      </c>
      <c r="M96" s="97">
        <f>M91</f>
        <v>0</v>
      </c>
      <c r="N96" s="98" t="str">
        <f>"(50)"</f>
        <v>(50)</v>
      </c>
      <c r="O96" s="86">
        <f>O91</f>
        <v>0</v>
      </c>
      <c r="P96" s="87" t="str">
        <f>"(50)"</f>
        <v>(50)</v>
      </c>
    </row>
    <row r="97" spans="2:16" ht="18" thickBot="1" x14ac:dyDescent="0.3">
      <c r="B97" s="160"/>
      <c r="C97" s="161"/>
      <c r="D97" s="161"/>
      <c r="E97" s="161"/>
      <c r="F97" s="161"/>
      <c r="G97" s="161"/>
      <c r="H97" s="193"/>
      <c r="I97" s="130">
        <f>SUM(K97+M97+O97)</f>
        <v>0</v>
      </c>
      <c r="J97" s="94" t="str">
        <f>"(55)"</f>
        <v>(55)</v>
      </c>
      <c r="K97" s="130">
        <f>SUM(K92*1.2)</f>
        <v>0</v>
      </c>
      <c r="L97" s="131" t="str">
        <f>"(55)"</f>
        <v>(55)</v>
      </c>
      <c r="M97" s="93">
        <f>SUM(M92*1.22)</f>
        <v>0</v>
      </c>
      <c r="N97" s="94" t="str">
        <f>"(55)"</f>
        <v>(55)</v>
      </c>
      <c r="O97" s="95">
        <f>SUM(O92*1.22)</f>
        <v>0</v>
      </c>
      <c r="P97" s="96" t="str">
        <f>"(55)"</f>
        <v>(55)</v>
      </c>
    </row>
    <row r="98" spans="2:16" ht="17.25" x14ac:dyDescent="0.25">
      <c r="B98" s="187" t="str">
        <f>'kuni 2025 detsember tegevuskava'!A42&amp;"/"&amp;'kuni 2025 detsember tegevuskava'!C42</f>
        <v>Regionaal- ja Põllumajandusministeerium/</v>
      </c>
      <c r="C98" s="156" t="str">
        <f>'kuni 2025 detsember tegevuskava'!I42</f>
        <v>Maavärava projekti kommunikatsiooni- ja hoolduskulud on katmata</v>
      </c>
      <c r="D98" s="156" t="str">
        <f>'kuni 2025 detsember tegevuskava'!J42</f>
        <v xml:space="preserve">Maavärava arendamiseks vajalikud kommunikatsioonitegevused ning hooldutööd </v>
      </c>
      <c r="E98" s="156" t="str">
        <f>'kuni 2025 detsember tegevuskava'!K42</f>
        <v>On loodud valitsemisala portaali üldine kujundus ja raamistik, mille kaudu jõuavad klientideni vajalkud tervikteenused</v>
      </c>
      <c r="F98" s="156" t="str">
        <f>'kuni 2025 detsember tegevuskava'!O42&amp;"/"</f>
        <v>RES IKT (vaja juurde taotleda)/</v>
      </c>
      <c r="G98" s="156" cm="1">
        <f t="array" ref="G98">_xlfn.IFS('kuni 2025 detsember tegevuskava'!G42='kuni 2025 detsember tegevuskava'!$G$97,1,'kuni 2025 detsember tegevuskava'!G42='kuni 2025 detsember tegevuskava'!$G$98,2,'kuni 2025 detsember tegevuskava'!G42='kuni 2025 detsember tegevuskava'!$G$99,3,'kuni 2025 detsember tegevuskava'!G42='kuni 2025 detsember tegevuskava'!$G$100,4)</f>
        <v>1</v>
      </c>
      <c r="H98" s="194" cm="1">
        <f t="array" ref="H98">_xlfn.IFS(OR('kuni 2025 detsember tegevuskava'!O42='kuni 2025 detsember tegevuskava'!$O$97,'kuni 2025 detsember tegevuskava'!O42='kuni 2025 detsember tegevuskava'!$O$99,'kuni 2025 detsember tegevuskava'!O42='kuni 2025 detsember tegevuskava'!$O$100,'kuni 2025 detsember tegevuskava'!O42='kuni 2025 detsember tegevuskava'!$O$101),1,'kuni 2025 detsember tegevuskava'!O42='kuni 2025 detsember tegevuskava'!$O$102,2,'kuni 2025 detsember tegevuskava'!O42='kuni 2025 detsember tegevuskava'!$O$103,2,'kuni 2025 detsember tegevuskava'!O42='kuni 2025 detsember tegevuskava'!$O$98,3)</f>
        <v>1</v>
      </c>
      <c r="I98" s="132">
        <f>SUM(I99:I101)</f>
        <v>90000</v>
      </c>
      <c r="J98" s="133"/>
      <c r="K98" s="81">
        <f>SUM(K99:K101)</f>
        <v>0</v>
      </c>
      <c r="L98" s="83"/>
      <c r="M98" s="132">
        <f>SUM(M99:M101)</f>
        <v>0</v>
      </c>
      <c r="N98" s="133"/>
      <c r="O98" s="81">
        <f>SUM(O99:O101)</f>
        <v>0</v>
      </c>
      <c r="P98" s="85"/>
    </row>
    <row r="99" spans="2:16" ht="17.25" x14ac:dyDescent="0.25">
      <c r="B99" s="145"/>
      <c r="C99" s="8"/>
      <c r="D99" s="8"/>
      <c r="E99" s="8"/>
      <c r="F99" s="8"/>
      <c r="G99" s="8"/>
      <c r="H99" s="192"/>
      <c r="I99" s="102">
        <f>SUM(K99+M99+O99)</f>
        <v>0</v>
      </c>
      <c r="J99" s="103" t="str">
        <f>"(15)"</f>
        <v>(15)</v>
      </c>
      <c r="K99" s="97">
        <f>'kuni 2025 detsember tegevuskava'!W42</f>
        <v>0</v>
      </c>
      <c r="L99" s="98" t="str">
        <f>"(15)"</f>
        <v>(15)</v>
      </c>
      <c r="M99" s="102">
        <f>'kuni 2025 detsember tegevuskava'!Z42</f>
        <v>0</v>
      </c>
      <c r="N99" s="103" t="str">
        <f>"(15)"</f>
        <v>(15)</v>
      </c>
      <c r="O99" s="97">
        <f>'kuni 2025 detsember tegevuskava'!AC42</f>
        <v>0</v>
      </c>
      <c r="P99" s="87" t="str">
        <f>"(15)"</f>
        <v>(15)</v>
      </c>
    </row>
    <row r="100" spans="2:16" ht="17.25" x14ac:dyDescent="0.25">
      <c r="B100" s="145"/>
      <c r="C100" s="8"/>
      <c r="D100" s="8"/>
      <c r="E100" s="8"/>
      <c r="F100" s="8"/>
      <c r="G100" s="8"/>
      <c r="H100" s="192"/>
      <c r="I100" s="102">
        <f>SUM(K100+M100+O100)</f>
        <v>0</v>
      </c>
      <c r="J100" s="103" t="str">
        <f>"(50)"</f>
        <v>(50)</v>
      </c>
      <c r="K100" s="97">
        <f>'kuni 2025 detsember tegevuskava'!X42</f>
        <v>0</v>
      </c>
      <c r="L100" s="98" t="str">
        <f>"(50)"</f>
        <v>(50)</v>
      </c>
      <c r="M100" s="102">
        <f>'kuni 2025 detsember tegevuskava'!AA42</f>
        <v>0</v>
      </c>
      <c r="N100" s="103" t="str">
        <f>"(50)"</f>
        <v>(50)</v>
      </c>
      <c r="O100" s="97">
        <f>'kuni 2025 detsember tegevuskava'!AD42</f>
        <v>0</v>
      </c>
      <c r="P100" s="87" t="str">
        <f>"(50)"</f>
        <v>(50)</v>
      </c>
    </row>
    <row r="101" spans="2:16" ht="17.25" x14ac:dyDescent="0.25">
      <c r="B101" s="145"/>
      <c r="C101" s="8"/>
      <c r="D101" s="8"/>
      <c r="E101" s="8"/>
      <c r="F101" s="8"/>
      <c r="G101" s="8"/>
      <c r="H101" s="192"/>
      <c r="I101" s="104">
        <f>SUM(K101+M101+O101)</f>
        <v>90000</v>
      </c>
      <c r="J101" s="105" t="str">
        <f>"(55)"</f>
        <v>(55)</v>
      </c>
      <c r="K101" s="99">
        <f>'kuni 2025 detsember tegevuskava'!Y42</f>
        <v>0</v>
      </c>
      <c r="L101" s="88" t="str">
        <f>"(55)"</f>
        <v>(55)</v>
      </c>
      <c r="M101" s="104" t="str">
        <f>'kuni 2025 detsember tegevuskava'!AB42</f>
        <v>15000</v>
      </c>
      <c r="N101" s="105" t="str">
        <f>"(55)"</f>
        <v>(55)</v>
      </c>
      <c r="O101" s="99" t="str">
        <f>'kuni 2025 detsember tegevuskava'!AE42</f>
        <v>75000</v>
      </c>
      <c r="P101" s="90" t="str">
        <f>"(55)"</f>
        <v>(55)</v>
      </c>
    </row>
    <row r="102" spans="2:16" ht="17.25" x14ac:dyDescent="0.25">
      <c r="B102" s="145"/>
      <c r="C102" s="8"/>
      <c r="D102" s="8"/>
      <c r="E102" s="8"/>
      <c r="F102" s="8"/>
      <c r="G102" s="8"/>
      <c r="H102" s="192"/>
      <c r="I102" s="136" t="s">
        <v>298</v>
      </c>
      <c r="J102" s="8"/>
      <c r="K102" s="8"/>
      <c r="L102" s="8"/>
      <c r="M102" s="8"/>
      <c r="N102" s="8"/>
      <c r="O102" s="8"/>
      <c r="P102" s="159"/>
    </row>
    <row r="103" spans="2:16" ht="17.25" x14ac:dyDescent="0.25">
      <c r="B103" s="145"/>
      <c r="C103" s="8"/>
      <c r="D103" s="8"/>
      <c r="E103" s="8"/>
      <c r="F103" s="8"/>
      <c r="G103" s="8"/>
      <c r="H103" s="192"/>
      <c r="I103" s="100">
        <f>SUM(I104:I106)</f>
        <v>109800</v>
      </c>
      <c r="J103" s="101"/>
      <c r="K103" s="91">
        <f>SUM(K104:K106)</f>
        <v>0</v>
      </c>
      <c r="L103" s="92"/>
      <c r="M103" s="100">
        <f>SUM(M104:M106)</f>
        <v>18300</v>
      </c>
      <c r="N103" s="107"/>
      <c r="O103" s="100">
        <f>SUM(O104:O106)</f>
        <v>91500</v>
      </c>
      <c r="P103" s="134"/>
    </row>
    <row r="104" spans="2:16" ht="17.25" x14ac:dyDescent="0.25">
      <c r="B104" s="145"/>
      <c r="C104" s="8"/>
      <c r="D104" s="8"/>
      <c r="E104" s="8"/>
      <c r="F104" s="8"/>
      <c r="G104" s="8"/>
      <c r="H104" s="192"/>
      <c r="I104" s="102">
        <f>SUM(K104+M104+O104)</f>
        <v>0</v>
      </c>
      <c r="J104" s="103" t="str">
        <f>"(15)"</f>
        <v>(15)</v>
      </c>
      <c r="K104" s="97">
        <f>SUM(K99*1.2)</f>
        <v>0</v>
      </c>
      <c r="L104" s="98" t="str">
        <f>"(15)"</f>
        <v>(15)</v>
      </c>
      <c r="M104" s="102">
        <f>SUM(M99*1.22)</f>
        <v>0</v>
      </c>
      <c r="N104" s="98" t="str">
        <f>"(15)"</f>
        <v>(15)</v>
      </c>
      <c r="O104" s="102">
        <f>SUM(O99*1.22)</f>
        <v>0</v>
      </c>
      <c r="P104" s="87" t="str">
        <f>"(15)"</f>
        <v>(15)</v>
      </c>
    </row>
    <row r="105" spans="2:16" ht="17.25" x14ac:dyDescent="0.25">
      <c r="B105" s="145"/>
      <c r="C105" s="8"/>
      <c r="D105" s="8"/>
      <c r="E105" s="8"/>
      <c r="F105" s="8"/>
      <c r="G105" s="8"/>
      <c r="H105" s="192"/>
      <c r="I105" s="102">
        <f>SUM(K105+M105+O105)</f>
        <v>0</v>
      </c>
      <c r="J105" s="103" t="str">
        <f>"(50)"</f>
        <v>(50)</v>
      </c>
      <c r="K105" s="97">
        <f>K100</f>
        <v>0</v>
      </c>
      <c r="L105" s="98" t="str">
        <f>"(50)"</f>
        <v>(50)</v>
      </c>
      <c r="M105" s="102">
        <f>M100</f>
        <v>0</v>
      </c>
      <c r="N105" s="98" t="str">
        <f>"(50)"</f>
        <v>(50)</v>
      </c>
      <c r="O105" s="102">
        <f>O100</f>
        <v>0</v>
      </c>
      <c r="P105" s="87" t="str">
        <f>"(50)"</f>
        <v>(50)</v>
      </c>
    </row>
    <row r="106" spans="2:16" ht="18" thickBot="1" x14ac:dyDescent="0.3">
      <c r="B106" s="160"/>
      <c r="C106" s="161"/>
      <c r="D106" s="161"/>
      <c r="E106" s="161"/>
      <c r="F106" s="161"/>
      <c r="G106" s="161"/>
      <c r="H106" s="193"/>
      <c r="I106" s="130">
        <f>SUM(K106+M106+O106)</f>
        <v>109800</v>
      </c>
      <c r="J106" s="131" t="str">
        <f>"(55)"</f>
        <v>(55)</v>
      </c>
      <c r="K106" s="93">
        <f>SUM(K101*1.2)</f>
        <v>0</v>
      </c>
      <c r="L106" s="94" t="str">
        <f>"(55)"</f>
        <v>(55)</v>
      </c>
      <c r="M106" s="130">
        <f>SUM(M101*1.22)</f>
        <v>18300</v>
      </c>
      <c r="N106" s="94" t="str">
        <f>"(55)"</f>
        <v>(55)</v>
      </c>
      <c r="O106" s="130">
        <f>SUM(O101*1.22)</f>
        <v>91500</v>
      </c>
      <c r="P106" s="96" t="str">
        <f>"(55)"</f>
        <v>(55)</v>
      </c>
    </row>
    <row r="107" spans="2:16" ht="17.25" x14ac:dyDescent="0.25">
      <c r="B107" s="187" t="str">
        <f>'kuni 2025 detsember tegevuskava'!A43&amp;"/"&amp;'kuni 2025 detsember tegevuskava'!C43</f>
        <v>Regionaal- ja Põllumajandusministeerium/</v>
      </c>
      <c r="C107" s="156" t="str">
        <f>'kuni 2025 detsember tegevuskava'!I43</f>
        <v>Teadmuspõhine sisend maaelu ettevõtete tegevus- ja arendusotsuste langetamiseks on killustatud ning puudub võimekus andmeid analüüsida, see teadmine aga toetab Eesti toiduga varustatust ning keskkonna säilimist</v>
      </c>
      <c r="D107" s="156" t="str">
        <f>'kuni 2025 detsember tegevuskava'!J43</f>
        <v>Teadmusteenuste arendusprojekt (sh e-põlluraamatu edasiarendused)</v>
      </c>
      <c r="E107" s="156" t="str">
        <f>'kuni 2025 detsember tegevuskava'!K43</f>
        <v>Välja on kujunenud maaelu teadmusteenuste kompetentsikeskus, mis pakub tootjatele, avalikkusele ning poliitikakujundajatele vajalikke teadmusteenuseid. 2023 a ettevalmistavad tööd SF taotluse esitamiseks/partneri leidmiseks, 2024 loodud vajalikud integratsioonid e-põlluraamatu ja suurandmete projekti vahel,  2025 a loodud projekti juhtrühma poolt kokkulepitud prioriteetide alusel kõige vajalikumad personaliseeritud teadmusteenused, mis on kättesaadavaks tehtud põldude haldamise teenuse kaudu (samas kohas ka e-põlluraamat).</v>
      </c>
      <c r="F107" s="156" t="str">
        <f>'kuni 2025 detsember tegevuskava'!O43&amp;"/"</f>
        <v>SF 21-27 (taotletav raha)/</v>
      </c>
      <c r="G107" s="156" cm="1">
        <f t="array" ref="G107">_xlfn.IFS('kuni 2025 detsember tegevuskava'!G43='kuni 2025 detsember tegevuskava'!$G$97,1,'kuni 2025 detsember tegevuskava'!G43='kuni 2025 detsember tegevuskava'!$G$98,2,'kuni 2025 detsember tegevuskava'!G43='kuni 2025 detsember tegevuskava'!$G$99,3,'kuni 2025 detsember tegevuskava'!G43='kuni 2025 detsember tegevuskava'!$G$100,4)</f>
        <v>1</v>
      </c>
      <c r="H107" s="194" cm="1">
        <f t="array" ref="H107">_xlfn.IFS(OR('kuni 2025 detsember tegevuskava'!O43='kuni 2025 detsember tegevuskava'!$O$97,'kuni 2025 detsember tegevuskava'!O43='kuni 2025 detsember tegevuskava'!$O$99,'kuni 2025 detsember tegevuskava'!O43='kuni 2025 detsember tegevuskava'!$O$100,'kuni 2025 detsember tegevuskava'!O43='kuni 2025 detsember tegevuskava'!$O$101),1,'kuni 2025 detsember tegevuskava'!O43='kuni 2025 detsember tegevuskava'!$O$102,2,'kuni 2025 detsember tegevuskava'!O43='kuni 2025 detsember tegevuskava'!$O$103,2,'kuni 2025 detsember tegevuskava'!O43='kuni 2025 detsember tegevuskava'!$O$98,3)</f>
        <v>2</v>
      </c>
      <c r="I107" s="132">
        <f>SUM(I108:I110)</f>
        <v>236008.7</v>
      </c>
      <c r="J107" s="133"/>
      <c r="K107" s="81">
        <f>SUM(K108:K110)</f>
        <v>0</v>
      </c>
      <c r="L107" s="83"/>
      <c r="M107" s="132">
        <f>SUM(M108:M110)</f>
        <v>32563</v>
      </c>
      <c r="N107" s="133"/>
      <c r="O107" s="81">
        <f>SUM(O108:O110)</f>
        <v>203445.7</v>
      </c>
      <c r="P107" s="85"/>
    </row>
    <row r="108" spans="2:16" ht="17.25" x14ac:dyDescent="0.25">
      <c r="B108" s="145"/>
      <c r="C108" s="8"/>
      <c r="D108" s="8"/>
      <c r="E108" s="8"/>
      <c r="F108" s="8"/>
      <c r="G108" s="8"/>
      <c r="H108" s="192"/>
      <c r="I108" s="102">
        <f>SUM(K108+M108+O108)</f>
        <v>133000</v>
      </c>
      <c r="J108" s="103" t="str">
        <f>"(15)"</f>
        <v>(15)</v>
      </c>
      <c r="K108" s="102">
        <f>'kuni 2025 detsember tegevuskava'!W43</f>
        <v>0</v>
      </c>
      <c r="L108" s="98" t="str">
        <f>"(15)"</f>
        <v>(15)</v>
      </c>
      <c r="M108" s="102">
        <f>'kuni 2025 detsember tegevuskava'!Z43</f>
        <v>0</v>
      </c>
      <c r="N108" s="103" t="str">
        <f>"(15)"</f>
        <v>(15)</v>
      </c>
      <c r="O108" s="97">
        <f>'kuni 2025 detsember tegevuskava'!AC43</f>
        <v>133000</v>
      </c>
      <c r="P108" s="87" t="str">
        <f>"(15)"</f>
        <v>(15)</v>
      </c>
    </row>
    <row r="109" spans="2:16" ht="17.25" x14ac:dyDescent="0.25">
      <c r="B109" s="145"/>
      <c r="C109" s="8"/>
      <c r="D109" s="8"/>
      <c r="E109" s="8"/>
      <c r="F109" s="8"/>
      <c r="G109" s="8"/>
      <c r="H109" s="192"/>
      <c r="I109" s="102">
        <f>SUM(K109+M109+O109)</f>
        <v>88508.700000000012</v>
      </c>
      <c r="J109" s="103" t="str">
        <f>"(50)"</f>
        <v>(50)</v>
      </c>
      <c r="K109" s="102">
        <f>'kuni 2025 detsember tegevuskava'!X43</f>
        <v>0</v>
      </c>
      <c r="L109" s="98" t="str">
        <f>"(50)"</f>
        <v>(50)</v>
      </c>
      <c r="M109" s="102">
        <f>'kuni 2025 detsember tegevuskava'!AA43</f>
        <v>18063</v>
      </c>
      <c r="N109" s="103" t="str">
        <f>"(50)"</f>
        <v>(50)</v>
      </c>
      <c r="O109" s="97">
        <f>'kuni 2025 detsember tegevuskava'!AD43</f>
        <v>70445.700000000012</v>
      </c>
      <c r="P109" s="87" t="str">
        <f>"(50)"</f>
        <v>(50)</v>
      </c>
    </row>
    <row r="110" spans="2:16" ht="17.25" x14ac:dyDescent="0.25">
      <c r="B110" s="145"/>
      <c r="C110" s="8"/>
      <c r="D110" s="8"/>
      <c r="E110" s="8"/>
      <c r="F110" s="8"/>
      <c r="G110" s="8"/>
      <c r="H110" s="192"/>
      <c r="I110" s="102">
        <f>SUM(K110+M110+O110)</f>
        <v>14500</v>
      </c>
      <c r="J110" s="103" t="str">
        <f>"(55)"</f>
        <v>(55)</v>
      </c>
      <c r="K110" s="102">
        <f>'kuni 2025 detsember tegevuskava'!Y43</f>
        <v>0</v>
      </c>
      <c r="L110" s="88" t="str">
        <f>"(55)"</f>
        <v>(55)</v>
      </c>
      <c r="M110" s="102">
        <f>'kuni 2025 detsember tegevuskava'!AB43</f>
        <v>14500</v>
      </c>
      <c r="N110" s="103" t="str">
        <f>"(55)"</f>
        <v>(55)</v>
      </c>
      <c r="O110" s="99">
        <f>'kuni 2025 detsember tegevuskava'!AE43</f>
        <v>0</v>
      </c>
      <c r="P110" s="90" t="str">
        <f>"(55)"</f>
        <v>(55)</v>
      </c>
    </row>
    <row r="111" spans="2:16" ht="17.25" x14ac:dyDescent="0.25">
      <c r="B111" s="145"/>
      <c r="C111" s="8"/>
      <c r="D111" s="8"/>
      <c r="E111" s="8"/>
      <c r="F111" s="8"/>
      <c r="G111" s="8"/>
      <c r="H111" s="192"/>
      <c r="I111" s="390" t="s">
        <v>298</v>
      </c>
      <c r="J111" s="391"/>
      <c r="K111" s="181"/>
      <c r="L111" s="8"/>
      <c r="M111" s="183"/>
      <c r="N111" s="392"/>
      <c r="O111" s="8"/>
      <c r="P111" s="159"/>
    </row>
    <row r="112" spans="2:16" ht="17.25" x14ac:dyDescent="0.25">
      <c r="B112" s="145"/>
      <c r="C112" s="8"/>
      <c r="D112" s="8"/>
      <c r="E112" s="8"/>
      <c r="F112" s="8"/>
      <c r="G112" s="8"/>
      <c r="H112" s="192"/>
      <c r="I112" s="179">
        <f>SUM(I113:I115)</f>
        <v>268458.7</v>
      </c>
      <c r="J112" s="103"/>
      <c r="K112" s="172">
        <f>SUM(K113:K115)</f>
        <v>0</v>
      </c>
      <c r="L112" s="92"/>
      <c r="M112" s="179">
        <f>SUM(M113:M115)</f>
        <v>35753</v>
      </c>
      <c r="N112" s="168"/>
      <c r="O112" s="100">
        <f>SUM(O113:O115)</f>
        <v>232705.7</v>
      </c>
      <c r="P112" s="134"/>
    </row>
    <row r="113" spans="2:16" ht="17.25" x14ac:dyDescent="0.25">
      <c r="B113" s="145"/>
      <c r="C113" s="8"/>
      <c r="D113" s="8"/>
      <c r="E113" s="8"/>
      <c r="F113" s="8"/>
      <c r="G113" s="8"/>
      <c r="H113" s="192"/>
      <c r="I113" s="102">
        <f>SUM(K113+M113+O113)</f>
        <v>162260</v>
      </c>
      <c r="J113" s="103" t="str">
        <f>"(15)"</f>
        <v>(15)</v>
      </c>
      <c r="K113" s="97">
        <f>SUM(K108*1.2)</f>
        <v>0</v>
      </c>
      <c r="L113" s="98" t="str">
        <f>"(15)"</f>
        <v>(15)</v>
      </c>
      <c r="M113" s="102">
        <f>SUM(M108*1.22)</f>
        <v>0</v>
      </c>
      <c r="N113" s="103" t="str">
        <f>"(15)"</f>
        <v>(15)</v>
      </c>
      <c r="O113" s="102">
        <f>SUM(O108*1.22)</f>
        <v>162260</v>
      </c>
      <c r="P113" s="87" t="str">
        <f>"(15)"</f>
        <v>(15)</v>
      </c>
    </row>
    <row r="114" spans="2:16" ht="17.25" x14ac:dyDescent="0.25">
      <c r="B114" s="145"/>
      <c r="C114" s="8"/>
      <c r="D114" s="8"/>
      <c r="E114" s="8"/>
      <c r="F114" s="8"/>
      <c r="G114" s="8"/>
      <c r="H114" s="192"/>
      <c r="I114" s="102">
        <f>SUM(K114+M114+O114)</f>
        <v>88508.700000000012</v>
      </c>
      <c r="J114" s="103" t="str">
        <f>"(50)"</f>
        <v>(50)</v>
      </c>
      <c r="K114" s="97">
        <f>K109</f>
        <v>0</v>
      </c>
      <c r="L114" s="98" t="str">
        <f>"(50)"</f>
        <v>(50)</v>
      </c>
      <c r="M114" s="102">
        <f>M109</f>
        <v>18063</v>
      </c>
      <c r="N114" s="103" t="str">
        <f>"(50)"</f>
        <v>(50)</v>
      </c>
      <c r="O114" s="102">
        <f>O109</f>
        <v>70445.700000000012</v>
      </c>
      <c r="P114" s="87" t="str">
        <f>"(50)"</f>
        <v>(50)</v>
      </c>
    </row>
    <row r="115" spans="2:16" ht="18" thickBot="1" x14ac:dyDescent="0.3">
      <c r="B115" s="160"/>
      <c r="C115" s="161"/>
      <c r="D115" s="161"/>
      <c r="E115" s="161"/>
      <c r="F115" s="161"/>
      <c r="G115" s="161"/>
      <c r="H115" s="193"/>
      <c r="I115" s="130">
        <f>SUM(K115+M115+O115)</f>
        <v>17690</v>
      </c>
      <c r="J115" s="131" t="str">
        <f>"(55)"</f>
        <v>(55)</v>
      </c>
      <c r="K115" s="93">
        <f>SUM(K110*1.2)</f>
        <v>0</v>
      </c>
      <c r="L115" s="94" t="str">
        <f>"(55)"</f>
        <v>(55)</v>
      </c>
      <c r="M115" s="130">
        <f>SUM(M110*1.22)</f>
        <v>17690</v>
      </c>
      <c r="N115" s="131" t="str">
        <f>"(55)"</f>
        <v>(55)</v>
      </c>
      <c r="O115" s="130">
        <f>SUM(O110*1.22)</f>
        <v>0</v>
      </c>
      <c r="P115" s="96" t="str">
        <f>"(55)"</f>
        <v>(55)</v>
      </c>
    </row>
    <row r="116" spans="2:16" ht="17.25" x14ac:dyDescent="0.25">
      <c r="B116" s="187" t="str">
        <f>'kuni 2025 detsember tegevuskava'!A44&amp;"/"&amp;'kuni 2025 detsember tegevuskava'!C44</f>
        <v>Regionaal- ja Põllumajandusministeerium/</v>
      </c>
      <c r="C116" s="156" t="str">
        <f>'kuni 2025 detsember tegevuskava'!I44</f>
        <v>Põllumajandusloomade registri e-teenuste tehniline taristu on vananenud (arendatud aastal 2007). Loomade registri teenused on killustatud erinevate süsteemide vahel nii kliendi kui PRIA vaates.</v>
      </c>
      <c r="D116" s="156" t="str">
        <f>'kuni 2025 detsember tegevuskava'!J44</f>
        <v>Loomade registri e-teenuste viimine uuele tehnoloogilisele platvormile</v>
      </c>
      <c r="E116" s="156" t="str">
        <f>'kuni 2025 detsember tegevuskava'!K44</f>
        <v>Põllumajandusloomade registri kõik e-teenused on viidud PRIA uude e-teenuste keskkonda. 2023 a ettevalmistavad tööd SF taotluse esitamiseks/partneri leidmiseks, 2024 kõik loomade registri teenused viidud üle uuele tehnoloogilisele platvormile.</v>
      </c>
      <c r="F116" s="156" t="str">
        <f>'kuni 2025 detsember tegevuskava'!O44&amp;"/"</f>
        <v>SF 21-27 (taotletav raha)/</v>
      </c>
      <c r="G116" s="156" cm="1">
        <f t="array" ref="G116">_xlfn.IFS('kuni 2025 detsember tegevuskava'!G44='kuni 2025 detsember tegevuskava'!$G$97,1,'kuni 2025 detsember tegevuskava'!G44='kuni 2025 detsember tegevuskava'!$G$98,2,'kuni 2025 detsember tegevuskava'!G44='kuni 2025 detsember tegevuskava'!$G$99,3,'kuni 2025 detsember tegevuskava'!G44='kuni 2025 detsember tegevuskava'!$G$100,4)</f>
        <v>1</v>
      </c>
      <c r="H116" s="194" cm="1">
        <f t="array" ref="H116">_xlfn.IFS(OR('kuni 2025 detsember tegevuskava'!O44='kuni 2025 detsember tegevuskava'!$O$97,'kuni 2025 detsember tegevuskava'!O44='kuni 2025 detsember tegevuskava'!$O$99,'kuni 2025 detsember tegevuskava'!O44='kuni 2025 detsember tegevuskava'!$O$100,'kuni 2025 detsember tegevuskava'!O44='kuni 2025 detsember tegevuskava'!$O$101),1,'kuni 2025 detsember tegevuskava'!O44='kuni 2025 detsember tegevuskava'!$O$102,2,'kuni 2025 detsember tegevuskava'!O44='kuni 2025 detsember tegevuskava'!$O$103,2,'kuni 2025 detsember tegevuskava'!O44='kuni 2025 detsember tegevuskava'!$O$98,3)</f>
        <v>2</v>
      </c>
      <c r="I116" s="132">
        <f>SUM(I117:I119)</f>
        <v>252960</v>
      </c>
      <c r="J116" s="133"/>
      <c r="K116" s="81">
        <f>SUM(K117:K119)</f>
        <v>0</v>
      </c>
      <c r="L116" s="83"/>
      <c r="M116" s="132">
        <f>SUM(M117:M119)</f>
        <v>84320</v>
      </c>
      <c r="N116" s="133"/>
      <c r="O116" s="81">
        <f>SUM(O117:O119)</f>
        <v>168640</v>
      </c>
      <c r="P116" s="85"/>
    </row>
    <row r="117" spans="2:16" ht="17.25" x14ac:dyDescent="0.25">
      <c r="B117" s="145"/>
      <c r="C117" s="8"/>
      <c r="D117" s="8"/>
      <c r="E117" s="8"/>
      <c r="F117" s="8"/>
      <c r="G117" s="8"/>
      <c r="H117" s="192"/>
      <c r="I117" s="102">
        <f>SUM(K117+M117+O117)</f>
        <v>252960</v>
      </c>
      <c r="J117" s="103" t="str">
        <f>"(15)"</f>
        <v>(15)</v>
      </c>
      <c r="K117" s="97">
        <f>'kuni 2025 detsember tegevuskava'!W44</f>
        <v>0</v>
      </c>
      <c r="L117" s="98" t="str">
        <f>"(15)"</f>
        <v>(15)</v>
      </c>
      <c r="M117" s="102">
        <f>'kuni 2025 detsember tegevuskava'!Z44</f>
        <v>84320</v>
      </c>
      <c r="N117" s="103" t="str">
        <f>"(15)"</f>
        <v>(15)</v>
      </c>
      <c r="O117" s="97">
        <f>'kuni 2025 detsember tegevuskava'!AC44</f>
        <v>168640</v>
      </c>
      <c r="P117" s="87" t="str">
        <f>"(15)"</f>
        <v>(15)</v>
      </c>
    </row>
    <row r="118" spans="2:16" ht="17.25" x14ac:dyDescent="0.25">
      <c r="B118" s="145"/>
      <c r="C118" s="8"/>
      <c r="D118" s="8"/>
      <c r="E118" s="8"/>
      <c r="F118" s="8"/>
      <c r="G118" s="8"/>
      <c r="H118" s="192"/>
      <c r="I118" s="102">
        <f>SUM(K118+M118+O118)</f>
        <v>0</v>
      </c>
      <c r="J118" s="103" t="str">
        <f>"(50)"</f>
        <v>(50)</v>
      </c>
      <c r="K118" s="97">
        <f>'kuni 2025 detsember tegevuskava'!X44</f>
        <v>0</v>
      </c>
      <c r="L118" s="98" t="str">
        <f>"(50)"</f>
        <v>(50)</v>
      </c>
      <c r="M118" s="102">
        <f>'kuni 2025 detsember tegevuskava'!AA44</f>
        <v>0</v>
      </c>
      <c r="N118" s="103" t="str">
        <f>"(50)"</f>
        <v>(50)</v>
      </c>
      <c r="O118" s="97">
        <f>'kuni 2025 detsember tegevuskava'!AD44</f>
        <v>0</v>
      </c>
      <c r="P118" s="87" t="str">
        <f>"(50)"</f>
        <v>(50)</v>
      </c>
    </row>
    <row r="119" spans="2:16" ht="17.25" x14ac:dyDescent="0.25">
      <c r="B119" s="145"/>
      <c r="C119" s="8"/>
      <c r="D119" s="8"/>
      <c r="E119" s="8"/>
      <c r="F119" s="8"/>
      <c r="G119" s="8"/>
      <c r="H119" s="192"/>
      <c r="I119" s="102">
        <f>SUM(K119+M119+O119)</f>
        <v>0</v>
      </c>
      <c r="J119" s="105" t="str">
        <f>"(55)"</f>
        <v>(55)</v>
      </c>
      <c r="K119" s="99">
        <f>'kuni 2025 detsember tegevuskava'!Y44</f>
        <v>0</v>
      </c>
      <c r="L119" s="88" t="str">
        <f>"(55)"</f>
        <v>(55)</v>
      </c>
      <c r="M119" s="104">
        <f>'kuni 2025 detsember tegevuskava'!AB44</f>
        <v>0</v>
      </c>
      <c r="N119" s="105" t="str">
        <f>"(55)"</f>
        <v>(55)</v>
      </c>
      <c r="O119" s="99">
        <f>'kuni 2025 detsember tegevuskava'!AE44</f>
        <v>0</v>
      </c>
      <c r="P119" s="90" t="str">
        <f>"(55)"</f>
        <v>(55)</v>
      </c>
    </row>
    <row r="120" spans="2:16" ht="17.25" x14ac:dyDescent="0.25">
      <c r="B120" s="145"/>
      <c r="C120" s="8"/>
      <c r="D120" s="8"/>
      <c r="E120" s="8"/>
      <c r="F120" s="8"/>
      <c r="G120" s="8"/>
      <c r="H120" s="192"/>
      <c r="I120" s="183" t="s">
        <v>298</v>
      </c>
      <c r="J120" s="8"/>
      <c r="K120" s="8"/>
      <c r="L120" s="8"/>
      <c r="M120" s="8"/>
      <c r="N120" s="8"/>
      <c r="O120" s="8"/>
      <c r="P120" s="159"/>
    </row>
    <row r="121" spans="2:16" ht="17.25" x14ac:dyDescent="0.25">
      <c r="B121" s="145"/>
      <c r="C121" s="8"/>
      <c r="D121" s="8"/>
      <c r="E121" s="8"/>
      <c r="F121" s="8"/>
      <c r="G121" s="8"/>
      <c r="H121" s="192"/>
      <c r="I121" s="179">
        <f>SUM(I122:I124)</f>
        <v>308611.19999999995</v>
      </c>
      <c r="J121" s="101"/>
      <c r="K121" s="91">
        <f>SUM(K122:K124)</f>
        <v>0</v>
      </c>
      <c r="L121" s="92"/>
      <c r="M121" s="100">
        <f>SUM(M122:M124)</f>
        <v>102870.39999999999</v>
      </c>
      <c r="N121" s="106"/>
      <c r="O121" s="100">
        <f>SUM(O122:O124)</f>
        <v>205740.79999999999</v>
      </c>
      <c r="P121" s="134"/>
    </row>
    <row r="122" spans="2:16" ht="17.25" x14ac:dyDescent="0.25">
      <c r="B122" s="145"/>
      <c r="C122" s="8"/>
      <c r="D122" s="8"/>
      <c r="E122" s="8"/>
      <c r="F122" s="8"/>
      <c r="G122" s="8"/>
      <c r="H122" s="192"/>
      <c r="I122" s="102">
        <f>SUM(K122+M122+O122)</f>
        <v>308611.19999999995</v>
      </c>
      <c r="J122" s="103" t="str">
        <f>"(15)"</f>
        <v>(15)</v>
      </c>
      <c r="K122" s="97">
        <f>SUM(K117*1.2)</f>
        <v>0</v>
      </c>
      <c r="L122" s="98" t="str">
        <f>"(15)"</f>
        <v>(15)</v>
      </c>
      <c r="M122" s="102">
        <f>SUM(M117*1.22)</f>
        <v>102870.39999999999</v>
      </c>
      <c r="N122" s="103" t="str">
        <f>"(15)"</f>
        <v>(15)</v>
      </c>
      <c r="O122" s="102">
        <f>SUM(O117*1.22)</f>
        <v>205740.79999999999</v>
      </c>
      <c r="P122" s="87" t="str">
        <f>"(15)"</f>
        <v>(15)</v>
      </c>
    </row>
    <row r="123" spans="2:16" ht="17.25" x14ac:dyDescent="0.25">
      <c r="B123" s="145"/>
      <c r="C123" s="8"/>
      <c r="D123" s="8"/>
      <c r="E123" s="8"/>
      <c r="F123" s="8"/>
      <c r="G123" s="8"/>
      <c r="H123" s="192"/>
      <c r="I123" s="102">
        <f>SUM(K123+M123+O123)</f>
        <v>0</v>
      </c>
      <c r="J123" s="103" t="str">
        <f>"(50)"</f>
        <v>(50)</v>
      </c>
      <c r="K123" s="97">
        <f>K118</f>
        <v>0</v>
      </c>
      <c r="L123" s="98" t="str">
        <f>"(50)"</f>
        <v>(50)</v>
      </c>
      <c r="M123" s="102">
        <f>M118</f>
        <v>0</v>
      </c>
      <c r="N123" s="103" t="str">
        <f>"(50)"</f>
        <v>(50)</v>
      </c>
      <c r="O123" s="102">
        <f>O118</f>
        <v>0</v>
      </c>
      <c r="P123" s="87" t="str">
        <f>"(50)"</f>
        <v>(50)</v>
      </c>
    </row>
    <row r="124" spans="2:16" ht="18" thickBot="1" x14ac:dyDescent="0.3">
      <c r="B124" s="160"/>
      <c r="C124" s="161"/>
      <c r="D124" s="161"/>
      <c r="E124" s="161"/>
      <c r="F124" s="161"/>
      <c r="G124" s="161"/>
      <c r="H124" s="193"/>
      <c r="I124" s="130">
        <f>SUM(K124+M124+O124)</f>
        <v>0</v>
      </c>
      <c r="J124" s="131" t="str">
        <f>"(55)"</f>
        <v>(55)</v>
      </c>
      <c r="K124" s="93">
        <f>SUM(K119*1.2)</f>
        <v>0</v>
      </c>
      <c r="L124" s="94" t="str">
        <f>"(55)"</f>
        <v>(55)</v>
      </c>
      <c r="M124" s="130">
        <f>SUM(M119*1.22)</f>
        <v>0</v>
      </c>
      <c r="N124" s="131" t="str">
        <f>"(55)"</f>
        <v>(55)</v>
      </c>
      <c r="O124" s="130">
        <f>SUM(O119*1.22)</f>
        <v>0</v>
      </c>
      <c r="P124" s="96" t="str">
        <f>"(55)"</f>
        <v>(55)</v>
      </c>
    </row>
    <row r="125" spans="2:16" ht="17.25" x14ac:dyDescent="0.25">
      <c r="B125" s="187" t="str">
        <f>'kuni 2025 detsember tegevuskava'!A45&amp;"/"&amp;'kuni 2025 detsember tegevuskava'!C45</f>
        <v>Regionaal- ja Põllumajandusministeerium/</v>
      </c>
      <c r="C125" s="156" t="str">
        <f>'kuni 2025 detsember tegevuskava'!I45</f>
        <v>Digipöörde elluviimiseks puuduvad vajalikud kompetentsid/oskused</v>
      </c>
      <c r="D125" s="156" t="str">
        <f>'kuni 2025 detsember tegevuskava'!J45</f>
        <v xml:space="preserve">Töötajate kompententside arendamine. </v>
      </c>
      <c r="E125" s="156" t="str">
        <f>'kuni 2025 detsember tegevuskava'!K45</f>
        <v xml:space="preserve">Digi- ja rohepööret toetavate teenuste pakkumine nõuab meie töötajate kompetentsides üldist digipädevuse ja -teadlikkuse tõstmist. Sellekohane koolituste süsteem vajab väljatöötamist, tõhusat juurutamist ja järjepidevust. Suurimad rõhuasetused on: targa tellija, ärianalüütiku ja testija rollid, nende olemus ja olulisus arendusprotsessis, nimetatud rollide vahelised seosed ja ajakohase teavitustöö vajalikkus.  Aastal 2024 peame alustama 150 inimese (peamiselt Toetuste menetlejate tööpere tasemed 1-4) ning juhtide koolitamisega. Järgmistel aastatel laieneb koolitus teistele tööperedele ning samuti ka vahetunud meeskonnaliikmetele.
</v>
      </c>
      <c r="F125" s="156" t="str">
        <f>'kuni 2025 detsember tegevuskava'!O45&amp;"/"</f>
        <v>SF 21-27 (taotletav raha)/</v>
      </c>
      <c r="G125" s="156" cm="1">
        <f t="array" ref="G125">_xlfn.IFS('kuni 2025 detsember tegevuskava'!G45='kuni 2025 detsember tegevuskava'!$G$97,1,'kuni 2025 detsember tegevuskava'!G45='kuni 2025 detsember tegevuskava'!$G$98,2,'kuni 2025 detsember tegevuskava'!G45='kuni 2025 detsember tegevuskava'!$G$99,3,'kuni 2025 detsember tegevuskava'!G45='kuni 2025 detsember tegevuskava'!$G$100,4)</f>
        <v>3</v>
      </c>
      <c r="H125" s="194" cm="1">
        <f t="array" ref="H125">_xlfn.IFS(OR('kuni 2025 detsember tegevuskava'!O45='kuni 2025 detsember tegevuskava'!$O$97,'kuni 2025 detsember tegevuskava'!O45='kuni 2025 detsember tegevuskava'!$O$99,'kuni 2025 detsember tegevuskava'!O45='kuni 2025 detsember tegevuskava'!$O$100,'kuni 2025 detsember tegevuskava'!O45='kuni 2025 detsember tegevuskava'!$O$101),1,'kuni 2025 detsember tegevuskava'!O45='kuni 2025 detsember tegevuskava'!$O$102,2,'kuni 2025 detsember tegevuskava'!O45='kuni 2025 detsember tegevuskava'!$O$103,2,'kuni 2025 detsember tegevuskava'!O45='kuni 2025 detsember tegevuskava'!$O$98,3)</f>
        <v>2</v>
      </c>
      <c r="I125" s="132">
        <f>SUM(I126:I128)</f>
        <v>0</v>
      </c>
      <c r="J125" s="133"/>
      <c r="K125" s="81">
        <f>SUM(K126:K128)</f>
        <v>0</v>
      </c>
      <c r="L125" s="83"/>
      <c r="M125" s="132">
        <f>SUM(M126:M128)</f>
        <v>0</v>
      </c>
      <c r="N125" s="133"/>
      <c r="O125" s="81">
        <f>SUM(O126:O128)</f>
        <v>0</v>
      </c>
      <c r="P125" s="85"/>
    </row>
    <row r="126" spans="2:16" ht="17.25" x14ac:dyDescent="0.25">
      <c r="B126" s="145"/>
      <c r="C126" s="8"/>
      <c r="D126" s="8"/>
      <c r="E126" s="8"/>
      <c r="F126" s="8"/>
      <c r="G126" s="8"/>
      <c r="H126" s="192"/>
      <c r="I126" s="102">
        <f>SUM(K126+M126+O126)</f>
        <v>0</v>
      </c>
      <c r="J126" s="103" t="str">
        <f>"(15)"</f>
        <v>(15)</v>
      </c>
      <c r="K126" s="97">
        <f>'kuni 2025 detsember tegevuskava'!W45</f>
        <v>0</v>
      </c>
      <c r="L126" s="98" t="str">
        <f>"(15)"</f>
        <v>(15)</v>
      </c>
      <c r="M126" s="102">
        <f>'kuni 2025 detsember tegevuskava'!Z45</f>
        <v>0</v>
      </c>
      <c r="N126" s="103" t="str">
        <f>"(15)"</f>
        <v>(15)</v>
      </c>
      <c r="O126" s="97">
        <f>'kuni 2025 detsember tegevuskava'!AC45</f>
        <v>0</v>
      </c>
      <c r="P126" s="87" t="str">
        <f>"(15)"</f>
        <v>(15)</v>
      </c>
    </row>
    <row r="127" spans="2:16" ht="17.25" x14ac:dyDescent="0.25">
      <c r="B127" s="145"/>
      <c r="C127" s="8"/>
      <c r="D127" s="8"/>
      <c r="E127" s="8"/>
      <c r="F127" s="8"/>
      <c r="G127" s="8"/>
      <c r="H127" s="192"/>
      <c r="I127" s="102">
        <f>SUM(K127+M127+O127)</f>
        <v>0</v>
      </c>
      <c r="J127" s="103" t="str">
        <f>"(50)"</f>
        <v>(50)</v>
      </c>
      <c r="K127" s="97">
        <f>'kuni 2025 detsember tegevuskava'!X45</f>
        <v>0</v>
      </c>
      <c r="L127" s="98" t="str">
        <f>"(50)"</f>
        <v>(50)</v>
      </c>
      <c r="M127" s="102">
        <f>'kuni 2025 detsember tegevuskava'!AA45</f>
        <v>0</v>
      </c>
      <c r="N127" s="103" t="str">
        <f>"(50)"</f>
        <v>(50)</v>
      </c>
      <c r="O127" s="97">
        <f>'kuni 2025 detsember tegevuskava'!AD45</f>
        <v>0</v>
      </c>
      <c r="P127" s="87" t="str">
        <f>"(50)"</f>
        <v>(50)</v>
      </c>
    </row>
    <row r="128" spans="2:16" ht="17.25" x14ac:dyDescent="0.25">
      <c r="B128" s="145"/>
      <c r="C128" s="8"/>
      <c r="D128" s="8"/>
      <c r="E128" s="8"/>
      <c r="F128" s="8"/>
      <c r="G128" s="8"/>
      <c r="H128" s="192"/>
      <c r="I128" s="102">
        <f>SUM(K128+M128+O128)</f>
        <v>0</v>
      </c>
      <c r="J128" s="105" t="str">
        <f>"(55)"</f>
        <v>(55)</v>
      </c>
      <c r="K128" s="99">
        <f>'kuni 2025 detsember tegevuskava'!Y45</f>
        <v>0</v>
      </c>
      <c r="L128" s="88" t="str">
        <f>"(55)"</f>
        <v>(55)</v>
      </c>
      <c r="M128" s="104">
        <f>'kuni 2025 detsember tegevuskava'!AB45</f>
        <v>0</v>
      </c>
      <c r="N128" s="105" t="str">
        <f>"(55)"</f>
        <v>(55)</v>
      </c>
      <c r="O128" s="99">
        <f>'kuni 2025 detsember tegevuskava'!AE45</f>
        <v>0</v>
      </c>
      <c r="P128" s="90" t="str">
        <f>"(55)"</f>
        <v>(55)</v>
      </c>
    </row>
    <row r="129" spans="2:16" ht="17.25" x14ac:dyDescent="0.25">
      <c r="B129" s="145"/>
      <c r="C129" s="8"/>
      <c r="D129" s="8"/>
      <c r="E129" s="8"/>
      <c r="F129" s="8"/>
      <c r="G129" s="8"/>
      <c r="H129" s="192"/>
      <c r="I129" s="183" t="s">
        <v>298</v>
      </c>
      <c r="J129" s="8"/>
      <c r="K129" s="8"/>
      <c r="L129" s="8"/>
      <c r="M129" s="8"/>
      <c r="N129" s="8"/>
      <c r="O129" s="8"/>
      <c r="P129" s="159"/>
    </row>
    <row r="130" spans="2:16" ht="17.25" x14ac:dyDescent="0.25">
      <c r="B130" s="145"/>
      <c r="C130" s="8"/>
      <c r="D130" s="8"/>
      <c r="E130" s="8"/>
      <c r="F130" s="8"/>
      <c r="G130" s="8"/>
      <c r="H130" s="192"/>
      <c r="I130" s="179">
        <f>SUM(I131:I133)</f>
        <v>0</v>
      </c>
      <c r="J130" s="101"/>
      <c r="K130" s="91">
        <f>SUM(K131:K133)</f>
        <v>0</v>
      </c>
      <c r="L130" s="92"/>
      <c r="M130" s="100">
        <f>SUM(M131:M133)</f>
        <v>0</v>
      </c>
      <c r="N130" s="106"/>
      <c r="O130" s="100">
        <f>SUM(O131:O133)</f>
        <v>0</v>
      </c>
      <c r="P130" s="134"/>
    </row>
    <row r="131" spans="2:16" ht="17.25" x14ac:dyDescent="0.25">
      <c r="B131" s="145"/>
      <c r="C131" s="8"/>
      <c r="D131" s="8"/>
      <c r="E131" s="8"/>
      <c r="F131" s="8"/>
      <c r="G131" s="8"/>
      <c r="H131" s="192"/>
      <c r="I131" s="102">
        <f>SUM(K131+M131+O131)</f>
        <v>0</v>
      </c>
      <c r="J131" s="103" t="str">
        <f>"(15)"</f>
        <v>(15)</v>
      </c>
      <c r="K131" s="97">
        <f>SUM(K126*1.2)</f>
        <v>0</v>
      </c>
      <c r="L131" s="98" t="str">
        <f>"(15)"</f>
        <v>(15)</v>
      </c>
      <c r="M131" s="102">
        <f>SUM(M126*1.22)</f>
        <v>0</v>
      </c>
      <c r="N131" s="103" t="str">
        <f>"(15)"</f>
        <v>(15)</v>
      </c>
      <c r="O131" s="102">
        <f>SUM(O126*1.22)</f>
        <v>0</v>
      </c>
      <c r="P131" s="87" t="str">
        <f>"(15)"</f>
        <v>(15)</v>
      </c>
    </row>
    <row r="132" spans="2:16" ht="17.25" x14ac:dyDescent="0.25">
      <c r="B132" s="145"/>
      <c r="C132" s="8"/>
      <c r="D132" s="8"/>
      <c r="E132" s="8"/>
      <c r="F132" s="8"/>
      <c r="G132" s="8"/>
      <c r="H132" s="192"/>
      <c r="I132" s="102">
        <f>SUM(K132+M132+O132)</f>
        <v>0</v>
      </c>
      <c r="J132" s="103" t="str">
        <f>"(50)"</f>
        <v>(50)</v>
      </c>
      <c r="K132" s="97">
        <f>K127</f>
        <v>0</v>
      </c>
      <c r="L132" s="98" t="str">
        <f>"(50)"</f>
        <v>(50)</v>
      </c>
      <c r="M132" s="102">
        <f>M127</f>
        <v>0</v>
      </c>
      <c r="N132" s="103" t="str">
        <f>"(50)"</f>
        <v>(50)</v>
      </c>
      <c r="O132" s="102">
        <f>O127</f>
        <v>0</v>
      </c>
      <c r="P132" s="87" t="str">
        <f>"(50)"</f>
        <v>(50)</v>
      </c>
    </row>
    <row r="133" spans="2:16" ht="18" thickBot="1" x14ac:dyDescent="0.3">
      <c r="B133" s="160"/>
      <c r="C133" s="161"/>
      <c r="D133" s="161"/>
      <c r="E133" s="161"/>
      <c r="F133" s="161"/>
      <c r="G133" s="161"/>
      <c r="H133" s="193"/>
      <c r="I133" s="130">
        <f>SUM(K133+M133+O133)</f>
        <v>0</v>
      </c>
      <c r="J133" s="131" t="str">
        <f>"(55)"</f>
        <v>(55)</v>
      </c>
      <c r="K133" s="93">
        <f>SUM(K128*1.2)</f>
        <v>0</v>
      </c>
      <c r="L133" s="94" t="str">
        <f>"(55)"</f>
        <v>(55)</v>
      </c>
      <c r="M133" s="130">
        <f>SUM(M128*1.22)</f>
        <v>0</v>
      </c>
      <c r="N133" s="131" t="str">
        <f>"(55)"</f>
        <v>(55)</v>
      </c>
      <c r="O133" s="130">
        <f>SUM(O128*1.22)</f>
        <v>0</v>
      </c>
      <c r="P133" s="96" t="str">
        <f>"(55)"</f>
        <v>(55)</v>
      </c>
    </row>
    <row r="134" spans="2:16" ht="17.25" x14ac:dyDescent="0.25">
      <c r="B134" s="187" t="str">
        <f>'kuni 2025 detsember tegevuskava'!A46&amp;"/"&amp;'kuni 2025 detsember tegevuskava'!C46</f>
        <v>Regionaal- ja Põllumajandusministeerium/</v>
      </c>
      <c r="C134" s="156" t="str">
        <f>'kuni 2025 detsember tegevuskava'!I46</f>
        <v>Taakvarastuse hulk (&gt;20%) ja küberturbe võimelüngad on ajas kumuleerunud</v>
      </c>
      <c r="D134" s="156" t="str">
        <f>'kuni 2025 detsember tegevuskava'!J46</f>
        <v>Taakvara ja küberturve võimelünkade vähendamine</v>
      </c>
      <c r="E134" s="156" t="str">
        <f>'kuni 2025 detsember tegevuskava'!K46</f>
        <v>Taakvara hulk on oluliselt vähenenud ning küberturbe võimelüngad minimeeritud, ISO nõuded täidetud</v>
      </c>
      <c r="F134" s="156" t="str">
        <f>'kuni 2025 detsember tegevuskava'!O46&amp;"/"</f>
        <v>RES IKT (vaja juurde taotleda)/</v>
      </c>
      <c r="G134" s="156" cm="1">
        <f t="array" ref="G134">_xlfn.IFS('kuni 2025 detsember tegevuskava'!G46='kuni 2025 detsember tegevuskava'!$G$97,1,'kuni 2025 detsember tegevuskava'!G46='kuni 2025 detsember tegevuskava'!$G$98,2,'kuni 2025 detsember tegevuskava'!G46='kuni 2025 detsember tegevuskava'!$G$99,3,'kuni 2025 detsember tegevuskava'!G46='kuni 2025 detsember tegevuskava'!$G$100,4)</f>
        <v>2</v>
      </c>
      <c r="H134" s="194" cm="1">
        <f t="array" ref="H134">_xlfn.IFS(OR('kuni 2025 detsember tegevuskava'!O46='kuni 2025 detsember tegevuskava'!$O$97,'kuni 2025 detsember tegevuskava'!O46='kuni 2025 detsember tegevuskava'!$O$99,'kuni 2025 detsember tegevuskava'!O46='kuni 2025 detsember tegevuskava'!$O$100,'kuni 2025 detsember tegevuskava'!O46='kuni 2025 detsember tegevuskava'!$O$101),1,'kuni 2025 detsember tegevuskava'!O46='kuni 2025 detsember tegevuskava'!$O$102,2,'kuni 2025 detsember tegevuskava'!O46='kuni 2025 detsember tegevuskava'!$O$103,2,'kuni 2025 detsember tegevuskava'!O46='kuni 2025 detsember tegevuskava'!$O$98,3)</f>
        <v>1</v>
      </c>
      <c r="I134" s="132">
        <f>SUM(I135:I137)</f>
        <v>585697.48</v>
      </c>
      <c r="J134" s="133"/>
      <c r="K134" s="81">
        <f>SUM(K135:K137)</f>
        <v>0</v>
      </c>
      <c r="L134" s="83"/>
      <c r="M134" s="132">
        <f>SUM(M135:M137)</f>
        <v>221196</v>
      </c>
      <c r="N134" s="133"/>
      <c r="O134" s="81">
        <f>SUM(O135:O137)</f>
        <v>364501.48</v>
      </c>
      <c r="P134" s="85"/>
    </row>
    <row r="135" spans="2:16" ht="17.25" x14ac:dyDescent="0.25">
      <c r="B135" s="145"/>
      <c r="C135" s="8"/>
      <c r="D135" s="8"/>
      <c r="E135" s="8"/>
      <c r="F135" s="8"/>
      <c r="G135" s="8"/>
      <c r="H135" s="192"/>
      <c r="I135" s="102">
        <f>SUM(K135+M135+O135)</f>
        <v>0</v>
      </c>
      <c r="J135" s="103" t="str">
        <f>"(15)"</f>
        <v>(15)</v>
      </c>
      <c r="K135" s="97">
        <f>'kuni 2025 detsember tegevuskava'!W46</f>
        <v>0</v>
      </c>
      <c r="L135" s="98" t="str">
        <f>"(15)"</f>
        <v>(15)</v>
      </c>
      <c r="M135" s="102">
        <f>'kuni 2025 detsember tegevuskava'!Z46</f>
        <v>0</v>
      </c>
      <c r="N135" s="103" t="str">
        <f>"(15)"</f>
        <v>(15)</v>
      </c>
      <c r="O135" s="97">
        <f>'kuni 2025 detsember tegevuskava'!AC46</f>
        <v>0</v>
      </c>
      <c r="P135" s="87" t="str">
        <f>"(15)"</f>
        <v>(15)</v>
      </c>
    </row>
    <row r="136" spans="2:16" ht="17.25" x14ac:dyDescent="0.25">
      <c r="B136" s="145"/>
      <c r="C136" s="8"/>
      <c r="D136" s="8"/>
      <c r="E136" s="8"/>
      <c r="F136" s="8"/>
      <c r="G136" s="8"/>
      <c r="H136" s="192"/>
      <c r="I136" s="102">
        <f>SUM(K136+M136+O136)</f>
        <v>119697.48</v>
      </c>
      <c r="J136" s="103" t="str">
        <f>"(50)"</f>
        <v>(50)</v>
      </c>
      <c r="K136" s="97">
        <f>'kuni 2025 detsember tegevuskava'!X46</f>
        <v>0</v>
      </c>
      <c r="L136" s="98" t="str">
        <f>"(50)"</f>
        <v>(50)</v>
      </c>
      <c r="M136" s="102">
        <f>'kuni 2025 detsember tegevuskava'!AA46</f>
        <v>56196</v>
      </c>
      <c r="N136" s="103" t="str">
        <f>"(50)"</f>
        <v>(50)</v>
      </c>
      <c r="O136" s="97">
        <f>'kuni 2025 detsember tegevuskava'!AD46</f>
        <v>63501.479999999996</v>
      </c>
      <c r="P136" s="87" t="str">
        <f>"(50)"</f>
        <v>(50)</v>
      </c>
    </row>
    <row r="137" spans="2:16" ht="17.25" x14ac:dyDescent="0.25">
      <c r="B137" s="145"/>
      <c r="C137" s="8"/>
      <c r="D137" s="8"/>
      <c r="E137" s="8"/>
      <c r="F137" s="8"/>
      <c r="G137" s="8"/>
      <c r="H137" s="192"/>
      <c r="I137" s="102">
        <f>SUM(K137+M137+O137)</f>
        <v>466000</v>
      </c>
      <c r="J137" s="105" t="str">
        <f>"(55)"</f>
        <v>(55)</v>
      </c>
      <c r="K137" s="99">
        <f>'kuni 2025 detsember tegevuskava'!Y46</f>
        <v>0</v>
      </c>
      <c r="L137" s="88" t="str">
        <f>"(55)"</f>
        <v>(55)</v>
      </c>
      <c r="M137" s="104">
        <f>'kuni 2025 detsember tegevuskava'!AB46</f>
        <v>165000</v>
      </c>
      <c r="N137" s="105" t="str">
        <f>"(55)"</f>
        <v>(55)</v>
      </c>
      <c r="O137" s="99">
        <f>'kuni 2025 detsember tegevuskava'!AE46</f>
        <v>301000</v>
      </c>
      <c r="P137" s="90" t="str">
        <f>"(55)"</f>
        <v>(55)</v>
      </c>
    </row>
    <row r="138" spans="2:16" ht="17.25" x14ac:dyDescent="0.25">
      <c r="B138" s="145"/>
      <c r="C138" s="8"/>
      <c r="D138" s="8"/>
      <c r="E138" s="8"/>
      <c r="F138" s="8"/>
      <c r="G138" s="8"/>
      <c r="H138" s="192"/>
      <c r="I138" s="183" t="s">
        <v>298</v>
      </c>
      <c r="J138" s="8"/>
      <c r="K138" s="8"/>
      <c r="L138" s="8"/>
      <c r="M138" s="8"/>
      <c r="N138" s="8"/>
      <c r="O138" s="8"/>
      <c r="P138" s="159"/>
    </row>
    <row r="139" spans="2:16" ht="17.25" x14ac:dyDescent="0.25">
      <c r="B139" s="145"/>
      <c r="C139" s="8"/>
      <c r="D139" s="8"/>
      <c r="E139" s="8"/>
      <c r="F139" s="8"/>
      <c r="G139" s="8"/>
      <c r="H139" s="192"/>
      <c r="I139" s="179">
        <f>SUM(I140:I142)</f>
        <v>688217.48</v>
      </c>
      <c r="J139" s="101"/>
      <c r="K139" s="91">
        <f>SUM(K140:K142)</f>
        <v>0</v>
      </c>
      <c r="L139" s="92"/>
      <c r="M139" s="100">
        <f>SUM(M140:M142)</f>
        <v>257496</v>
      </c>
      <c r="N139" s="106"/>
      <c r="O139" s="100">
        <f>SUM(O140:O142)</f>
        <v>430721.48</v>
      </c>
      <c r="P139" s="134"/>
    </row>
    <row r="140" spans="2:16" ht="17.25" x14ac:dyDescent="0.25">
      <c r="B140" s="145"/>
      <c r="C140" s="8"/>
      <c r="D140" s="8"/>
      <c r="E140" s="8"/>
      <c r="F140" s="8"/>
      <c r="G140" s="8"/>
      <c r="H140" s="192"/>
      <c r="I140" s="102">
        <f>SUM(K140+M140+O140)</f>
        <v>0</v>
      </c>
      <c r="J140" s="103" t="str">
        <f>"(15)"</f>
        <v>(15)</v>
      </c>
      <c r="K140" s="97">
        <f>SUM(K135*1.2)</f>
        <v>0</v>
      </c>
      <c r="L140" s="98" t="str">
        <f>"(15)"</f>
        <v>(15)</v>
      </c>
      <c r="M140" s="102">
        <f>SUM(M135*1.22)</f>
        <v>0</v>
      </c>
      <c r="N140" s="103" t="str">
        <f>"(15)"</f>
        <v>(15)</v>
      </c>
      <c r="O140" s="102">
        <f>SUM(O135*1.22)</f>
        <v>0</v>
      </c>
      <c r="P140" s="87" t="str">
        <f>"(15)"</f>
        <v>(15)</v>
      </c>
    </row>
    <row r="141" spans="2:16" ht="17.25" x14ac:dyDescent="0.25">
      <c r="B141" s="145"/>
      <c r="C141" s="8"/>
      <c r="D141" s="8"/>
      <c r="E141" s="8"/>
      <c r="F141" s="8"/>
      <c r="G141" s="8"/>
      <c r="H141" s="192"/>
      <c r="I141" s="102">
        <f>SUM(K141+M141+O141)</f>
        <v>119697.48</v>
      </c>
      <c r="J141" s="103" t="str">
        <f>"(50)"</f>
        <v>(50)</v>
      </c>
      <c r="K141" s="97">
        <f>K136</f>
        <v>0</v>
      </c>
      <c r="L141" s="98" t="str">
        <f>"(50)"</f>
        <v>(50)</v>
      </c>
      <c r="M141" s="102">
        <f>M136</f>
        <v>56196</v>
      </c>
      <c r="N141" s="103" t="str">
        <f>"(50)"</f>
        <v>(50)</v>
      </c>
      <c r="O141" s="102">
        <f>O136</f>
        <v>63501.479999999996</v>
      </c>
      <c r="P141" s="87" t="str">
        <f>"(50)"</f>
        <v>(50)</v>
      </c>
    </row>
    <row r="142" spans="2:16" ht="18" thickBot="1" x14ac:dyDescent="0.3">
      <c r="B142" s="145"/>
      <c r="C142" s="8"/>
      <c r="D142" s="8"/>
      <c r="E142" s="8"/>
      <c r="F142" s="8"/>
      <c r="G142" s="8"/>
      <c r="H142" s="192"/>
      <c r="I142" s="130">
        <f>SUM(K142+M142+O142)</f>
        <v>568520</v>
      </c>
      <c r="J142" s="131" t="str">
        <f>"(55)"</f>
        <v>(55)</v>
      </c>
      <c r="K142" s="93">
        <f>SUM(K137*1.2)</f>
        <v>0</v>
      </c>
      <c r="L142" s="94" t="str">
        <f>"(55)"</f>
        <v>(55)</v>
      </c>
      <c r="M142" s="130">
        <f>SUM(M137*1.22)</f>
        <v>201300</v>
      </c>
      <c r="N142" s="131" t="str">
        <f>"(55)"</f>
        <v>(55)</v>
      </c>
      <c r="O142" s="130">
        <f>SUM(O137*1.22)</f>
        <v>367220</v>
      </c>
      <c r="P142" s="96" t="str">
        <f>"(55)"</f>
        <v>(55)</v>
      </c>
    </row>
    <row r="143" spans="2:16" ht="17.25" x14ac:dyDescent="0.25">
      <c r="B143" s="187" t="str">
        <f>'kuni 2025 detsember tegevuskava'!A47&amp;"/"&amp;'kuni 2025 detsember tegevuskava'!C47</f>
        <v>Regionaal- ja Põllumajandusministeerium/</v>
      </c>
      <c r="C143" s="156" t="str">
        <f>'kuni 2025 detsember tegevuskava'!I47</f>
        <v>Taakvaralisuse hulk ja küberturbe võimelüngad on ajas kumleerivad. Taakvaralised lahendused ei võimalda laialdast pilvelahenduste kasutuselevõttu.</v>
      </c>
      <c r="D143" s="156">
        <f>'kuni 2025 detsember tegevuskava'!J47</f>
        <v>0</v>
      </c>
      <c r="E143" s="156" t="str">
        <f>'kuni 2025 detsember tegevuskava'!K47</f>
        <v xml:space="preserve">Infosüsteemide seire on tõhustatud ja rakendatud viisil, mis võimaldab teenuseid reaalajas jälgida ning proaktiivseid ja reaktiivseid rikketeateid edastada. Logide halduses on kasutusel logide automaatne analüüs.
</v>
      </c>
      <c r="F143" s="156" t="str">
        <f>'kuni 2025 detsember tegevuskava'!O47&amp;"/"</f>
        <v>RES IKT (vaja juurde taotleda)/</v>
      </c>
      <c r="G143" s="156" cm="1">
        <f t="array" ref="G143">_xlfn.IFS('kuni 2025 detsember tegevuskava'!G47='kuni 2025 detsember tegevuskava'!$G$97,1,'kuni 2025 detsember tegevuskava'!G47='kuni 2025 detsember tegevuskava'!$G$98,2,'kuni 2025 detsember tegevuskava'!G47='kuni 2025 detsember tegevuskava'!$G$99,3,'kuni 2025 detsember tegevuskava'!G47='kuni 2025 detsember tegevuskava'!$G$100,4)</f>
        <v>2</v>
      </c>
      <c r="H143" s="194" cm="1">
        <f t="array" ref="H143">_xlfn.IFS(OR('kuni 2025 detsember tegevuskava'!O47='kuni 2025 detsember tegevuskava'!$O$97,'kuni 2025 detsember tegevuskava'!O47='kuni 2025 detsember tegevuskava'!$O$99,'kuni 2025 detsember tegevuskava'!O47='kuni 2025 detsember tegevuskava'!$O$100,'kuni 2025 detsember tegevuskava'!O47='kuni 2025 detsember tegevuskava'!$O$101),1,'kuni 2025 detsember tegevuskava'!O47='kuni 2025 detsember tegevuskava'!$O$102,2,'kuni 2025 detsember tegevuskava'!O47='kuni 2025 detsember tegevuskava'!$O$103,2,'kuni 2025 detsember tegevuskava'!O47='kuni 2025 detsember tegevuskava'!$O$98,3)</f>
        <v>1</v>
      </c>
      <c r="I143" s="132">
        <f>SUM(I144:I146)</f>
        <v>1832250</v>
      </c>
      <c r="J143" s="133"/>
      <c r="K143" s="81">
        <f>SUM(K144:K146)</f>
        <v>660750</v>
      </c>
      <c r="L143" s="83"/>
      <c r="M143" s="132">
        <f>SUM(M144:M146)</f>
        <v>585750</v>
      </c>
      <c r="N143" s="133"/>
      <c r="O143" s="81">
        <f>SUM(O144:O146)</f>
        <v>585750</v>
      </c>
      <c r="P143" s="85"/>
    </row>
    <row r="144" spans="2:16" ht="17.25" x14ac:dyDescent="0.25">
      <c r="B144" s="145"/>
      <c r="C144" s="8"/>
      <c r="D144" s="8"/>
      <c r="E144" s="8"/>
      <c r="F144" s="8"/>
      <c r="G144" s="8"/>
      <c r="H144" s="192"/>
      <c r="I144" s="102">
        <f>SUM(K144+M144+O144)</f>
        <v>685000</v>
      </c>
      <c r="J144" s="103" t="str">
        <f>"(15)"</f>
        <v>(15)</v>
      </c>
      <c r="K144" s="97">
        <f>'kuni 2025 detsember tegevuskava'!W47</f>
        <v>235000</v>
      </c>
      <c r="L144" s="98" t="str">
        <f>"(15)"</f>
        <v>(15)</v>
      </c>
      <c r="M144" s="102">
        <f>'kuni 2025 detsember tegevuskava'!Z47</f>
        <v>200000</v>
      </c>
      <c r="N144" s="103" t="str">
        <f>"(15)"</f>
        <v>(15)</v>
      </c>
      <c r="O144" s="97">
        <f>'kuni 2025 detsember tegevuskava'!AC47</f>
        <v>250000</v>
      </c>
      <c r="P144" s="87" t="str">
        <f>"(15)"</f>
        <v>(15)</v>
      </c>
    </row>
    <row r="145" spans="2:16" ht="17.25" x14ac:dyDescent="0.25">
      <c r="B145" s="145"/>
      <c r="C145" s="8"/>
      <c r="D145" s="8"/>
      <c r="E145" s="8"/>
      <c r="F145" s="8"/>
      <c r="G145" s="8"/>
      <c r="H145" s="192"/>
      <c r="I145" s="102">
        <f>SUM(K145+M145+O145)</f>
        <v>206250</v>
      </c>
      <c r="J145" s="103" t="str">
        <f>"(50)"</f>
        <v>(50)</v>
      </c>
      <c r="K145" s="97">
        <f>'kuni 2025 detsember tegevuskava'!X47</f>
        <v>68750</v>
      </c>
      <c r="L145" s="98" t="str">
        <f>"(50)"</f>
        <v>(50)</v>
      </c>
      <c r="M145" s="102">
        <f>'kuni 2025 detsember tegevuskava'!AA47</f>
        <v>68750</v>
      </c>
      <c r="N145" s="103" t="str">
        <f>"(50)"</f>
        <v>(50)</v>
      </c>
      <c r="O145" s="97">
        <f>'kuni 2025 detsember tegevuskava'!AD47</f>
        <v>68750</v>
      </c>
      <c r="P145" s="87" t="str">
        <f>"(50)"</f>
        <v>(50)</v>
      </c>
    </row>
    <row r="146" spans="2:16" ht="17.25" x14ac:dyDescent="0.25">
      <c r="B146" s="145"/>
      <c r="C146" s="8"/>
      <c r="D146" s="8"/>
      <c r="E146" s="8"/>
      <c r="F146" s="8"/>
      <c r="G146" s="8"/>
      <c r="H146" s="192"/>
      <c r="I146" s="102">
        <f>SUM(K146+M146+O146)</f>
        <v>941000</v>
      </c>
      <c r="J146" s="105" t="str">
        <f>"(55)"</f>
        <v>(55)</v>
      </c>
      <c r="K146" s="99">
        <f>'kuni 2025 detsember tegevuskava'!Y47</f>
        <v>357000</v>
      </c>
      <c r="L146" s="88" t="str">
        <f>"(55)"</f>
        <v>(55)</v>
      </c>
      <c r="M146" s="104">
        <f>'kuni 2025 detsember tegevuskava'!AB47</f>
        <v>317000</v>
      </c>
      <c r="N146" s="105" t="str">
        <f>"(55)"</f>
        <v>(55)</v>
      </c>
      <c r="O146" s="99">
        <f>'kuni 2025 detsember tegevuskava'!AE47</f>
        <v>267000</v>
      </c>
      <c r="P146" s="90" t="str">
        <f>"(55)"</f>
        <v>(55)</v>
      </c>
    </row>
    <row r="147" spans="2:16" ht="17.25" x14ac:dyDescent="0.25">
      <c r="B147" s="145"/>
      <c r="C147" s="8"/>
      <c r="D147" s="8"/>
      <c r="E147" s="8"/>
      <c r="F147" s="8"/>
      <c r="G147" s="8"/>
      <c r="H147" s="192"/>
      <c r="I147" s="183" t="s">
        <v>298</v>
      </c>
      <c r="J147" s="8"/>
      <c r="K147" s="8"/>
      <c r="L147" s="8"/>
      <c r="M147" s="8"/>
      <c r="N147" s="8"/>
      <c r="O147" s="8"/>
      <c r="P147" s="159"/>
    </row>
    <row r="148" spans="2:16" ht="17.25" x14ac:dyDescent="0.25">
      <c r="B148" s="145"/>
      <c r="C148" s="8"/>
      <c r="D148" s="8"/>
      <c r="E148" s="8"/>
      <c r="F148" s="8"/>
      <c r="G148" s="8"/>
      <c r="H148" s="192"/>
      <c r="I148" s="179">
        <f>SUM(I149:I151)</f>
        <v>2178130</v>
      </c>
      <c r="J148" s="101"/>
      <c r="K148" s="91">
        <f>SUM(K149:K151)</f>
        <v>779150</v>
      </c>
      <c r="L148" s="92"/>
      <c r="M148" s="100">
        <f>SUM(M149:M151)</f>
        <v>699490</v>
      </c>
      <c r="N148" s="106"/>
      <c r="O148" s="100">
        <f>SUM(O149:O151)</f>
        <v>699490</v>
      </c>
      <c r="P148" s="134"/>
    </row>
    <row r="149" spans="2:16" ht="17.25" x14ac:dyDescent="0.25">
      <c r="B149" s="145"/>
      <c r="C149" s="8"/>
      <c r="D149" s="8"/>
      <c r="E149" s="8"/>
      <c r="F149" s="8"/>
      <c r="G149" s="8"/>
      <c r="H149" s="192"/>
      <c r="I149" s="102">
        <f>SUM(K149+M149+O149)</f>
        <v>831000</v>
      </c>
      <c r="J149" s="103" t="str">
        <f>"(15)"</f>
        <v>(15)</v>
      </c>
      <c r="K149" s="97">
        <f>SUM(K144*1.2)</f>
        <v>282000</v>
      </c>
      <c r="L149" s="98" t="str">
        <f>"(15)"</f>
        <v>(15)</v>
      </c>
      <c r="M149" s="102">
        <f>SUM(M144*1.22)</f>
        <v>244000</v>
      </c>
      <c r="N149" s="103" t="str">
        <f>"(15)"</f>
        <v>(15)</v>
      </c>
      <c r="O149" s="102">
        <f>SUM(O144*1.22)</f>
        <v>305000</v>
      </c>
      <c r="P149" s="87" t="str">
        <f>"(15)"</f>
        <v>(15)</v>
      </c>
    </row>
    <row r="150" spans="2:16" ht="17.25" x14ac:dyDescent="0.25">
      <c r="B150" s="145"/>
      <c r="C150" s="8"/>
      <c r="D150" s="8"/>
      <c r="E150" s="8"/>
      <c r="F150" s="8"/>
      <c r="G150" s="8"/>
      <c r="H150" s="192"/>
      <c r="I150" s="102">
        <f>SUM(K150+M150+O150)</f>
        <v>206250</v>
      </c>
      <c r="J150" s="103" t="str">
        <f>"(50)"</f>
        <v>(50)</v>
      </c>
      <c r="K150" s="97">
        <f>K145</f>
        <v>68750</v>
      </c>
      <c r="L150" s="98" t="str">
        <f>"(50)"</f>
        <v>(50)</v>
      </c>
      <c r="M150" s="102">
        <f>M145</f>
        <v>68750</v>
      </c>
      <c r="N150" s="103" t="str">
        <f>"(50)"</f>
        <v>(50)</v>
      </c>
      <c r="O150" s="102">
        <f>O145</f>
        <v>68750</v>
      </c>
      <c r="P150" s="87" t="str">
        <f>"(50)"</f>
        <v>(50)</v>
      </c>
    </row>
    <row r="151" spans="2:16" ht="18" thickBot="1" x14ac:dyDescent="0.3">
      <c r="B151" s="160"/>
      <c r="C151" s="161"/>
      <c r="D151" s="161"/>
      <c r="E151" s="161"/>
      <c r="F151" s="161"/>
      <c r="G151" s="161"/>
      <c r="H151" s="193"/>
      <c r="I151" s="130">
        <f>SUM(K151+M151+O151)</f>
        <v>1140880</v>
      </c>
      <c r="J151" s="131" t="str">
        <f>"(55)"</f>
        <v>(55)</v>
      </c>
      <c r="K151" s="93">
        <f>SUM(K146*1.2)</f>
        <v>428400</v>
      </c>
      <c r="L151" s="94" t="str">
        <f>"(55)"</f>
        <v>(55)</v>
      </c>
      <c r="M151" s="130">
        <f>SUM(M146*1.22)</f>
        <v>386740</v>
      </c>
      <c r="N151" s="131" t="str">
        <f>"(55)"</f>
        <v>(55)</v>
      </c>
      <c r="O151" s="130">
        <f>SUM(O146*1.22)</f>
        <v>325740</v>
      </c>
      <c r="P151" s="96" t="str">
        <f>"(55)"</f>
        <v>(55)</v>
      </c>
    </row>
    <row r="152" spans="2:16" ht="17.25" x14ac:dyDescent="0.25">
      <c r="B152" s="187" t="str">
        <f>'kuni 2025 detsember tegevuskava'!A48&amp;"/"&amp;'kuni 2025 detsember tegevuskava'!C48</f>
        <v>/</v>
      </c>
      <c r="C152" s="156">
        <f>'kuni 2025 detsember tegevuskava'!I48</f>
        <v>0</v>
      </c>
      <c r="D152" s="156">
        <f>'kuni 2025 detsember tegevuskava'!J48</f>
        <v>0</v>
      </c>
      <c r="E152" s="156">
        <f>'kuni 2025 detsember tegevuskava'!K48</f>
        <v>0</v>
      </c>
      <c r="F152" s="156" t="str">
        <f>'kuni 2025 detsember tegevuskava'!O48&amp;"/"</f>
        <v>/</v>
      </c>
      <c r="G152" s="156" t="e" cm="1">
        <f t="array" ref="G152">_xlfn.IFS('kuni 2025 detsember tegevuskava'!G48='kuni 2025 detsember tegevuskava'!$G$97,1,'kuni 2025 detsember tegevuskava'!G48='kuni 2025 detsember tegevuskava'!$G$98,2,'kuni 2025 detsember tegevuskava'!G48='kuni 2025 detsember tegevuskava'!$G$99,3,'kuni 2025 detsember tegevuskava'!G48='kuni 2025 detsember tegevuskava'!$G$100,4)</f>
        <v>#N/A</v>
      </c>
      <c r="H152" s="194" t="e" cm="1">
        <f t="array" ref="H152">_xlfn.IFS(OR('kuni 2025 detsember tegevuskava'!O48='kuni 2025 detsember tegevuskava'!$O$97,'kuni 2025 detsember tegevuskava'!O48='kuni 2025 detsember tegevuskava'!$O$99,'kuni 2025 detsember tegevuskava'!O48='kuni 2025 detsember tegevuskava'!$O$100,'kuni 2025 detsember tegevuskava'!O48='kuni 2025 detsember tegevuskava'!$O$101),1,'kuni 2025 detsember tegevuskava'!O48='kuni 2025 detsember tegevuskava'!$O$102,2,'kuni 2025 detsember tegevuskava'!O48='kuni 2025 detsember tegevuskava'!$O$103,2,'kuni 2025 detsember tegevuskava'!O48='kuni 2025 detsember tegevuskava'!$O$98,3)</f>
        <v>#N/A</v>
      </c>
      <c r="I152" s="132">
        <f>SUM(I153:I155)</f>
        <v>0</v>
      </c>
      <c r="J152" s="133"/>
      <c r="K152" s="81">
        <f>SUM(K153:K155)</f>
        <v>0</v>
      </c>
      <c r="L152" s="83"/>
      <c r="M152" s="132">
        <f>SUM(M153:M155)</f>
        <v>0</v>
      </c>
      <c r="N152" s="133"/>
      <c r="O152" s="81">
        <f>SUM(O153:O155)</f>
        <v>0</v>
      </c>
      <c r="P152" s="85"/>
    </row>
    <row r="153" spans="2:16" ht="17.25" x14ac:dyDescent="0.25">
      <c r="B153" s="145"/>
      <c r="C153" s="8"/>
      <c r="D153" s="8"/>
      <c r="E153" s="8"/>
      <c r="F153" s="8"/>
      <c r="G153" s="8"/>
      <c r="H153" s="192"/>
      <c r="I153" s="102">
        <f>SUM(K153+M153+O153)</f>
        <v>0</v>
      </c>
      <c r="J153" s="103" t="str">
        <f>"(15)"</f>
        <v>(15)</v>
      </c>
      <c r="K153" s="97">
        <f>'kuni 2025 detsember tegevuskava'!W48</f>
        <v>0</v>
      </c>
      <c r="L153" s="98" t="str">
        <f>"(15)"</f>
        <v>(15)</v>
      </c>
      <c r="M153" s="102">
        <f>'kuni 2025 detsember tegevuskava'!Z48</f>
        <v>0</v>
      </c>
      <c r="N153" s="103" t="str">
        <f>"(15)"</f>
        <v>(15)</v>
      </c>
      <c r="O153" s="97">
        <f>'kuni 2025 detsember tegevuskava'!AC48</f>
        <v>0</v>
      </c>
      <c r="P153" s="87" t="str">
        <f>"(15)"</f>
        <v>(15)</v>
      </c>
    </row>
    <row r="154" spans="2:16" ht="17.25" x14ac:dyDescent="0.25">
      <c r="B154" s="145"/>
      <c r="C154" s="8"/>
      <c r="D154" s="8"/>
      <c r="E154" s="8"/>
      <c r="F154" s="8"/>
      <c r="G154" s="8"/>
      <c r="H154" s="192"/>
      <c r="I154" s="102">
        <f>SUM(K154+M154+O154)</f>
        <v>0</v>
      </c>
      <c r="J154" s="103" t="str">
        <f>"(50)"</f>
        <v>(50)</v>
      </c>
      <c r="K154" s="97">
        <f>'kuni 2025 detsember tegevuskava'!X48</f>
        <v>0</v>
      </c>
      <c r="L154" s="98" t="str">
        <f>"(50)"</f>
        <v>(50)</v>
      </c>
      <c r="M154" s="102">
        <f>'kuni 2025 detsember tegevuskava'!AA48</f>
        <v>0</v>
      </c>
      <c r="N154" s="103" t="str">
        <f>"(50)"</f>
        <v>(50)</v>
      </c>
      <c r="O154" s="97">
        <f>'kuni 2025 detsember tegevuskava'!AD48</f>
        <v>0</v>
      </c>
      <c r="P154" s="87" t="str">
        <f>"(50)"</f>
        <v>(50)</v>
      </c>
    </row>
    <row r="155" spans="2:16" ht="17.25" x14ac:dyDescent="0.25">
      <c r="B155" s="145"/>
      <c r="C155" s="8"/>
      <c r="D155" s="8"/>
      <c r="E155" s="8"/>
      <c r="F155" s="8"/>
      <c r="G155" s="8"/>
      <c r="H155" s="192"/>
      <c r="I155" s="102">
        <f>SUM(K155+M155+O155)</f>
        <v>0</v>
      </c>
      <c r="J155" s="105" t="str">
        <f>"(55)"</f>
        <v>(55)</v>
      </c>
      <c r="K155" s="99">
        <f>'kuni 2025 detsember tegevuskava'!Y48</f>
        <v>0</v>
      </c>
      <c r="L155" s="88" t="str">
        <f>"(55)"</f>
        <v>(55)</v>
      </c>
      <c r="M155" s="104">
        <f>'kuni 2025 detsember tegevuskava'!AB48</f>
        <v>0</v>
      </c>
      <c r="N155" s="105" t="str">
        <f>"(55)"</f>
        <v>(55)</v>
      </c>
      <c r="O155" s="99">
        <f>'kuni 2025 detsember tegevuskava'!AE48</f>
        <v>0</v>
      </c>
      <c r="P155" s="90" t="str">
        <f>"(55)"</f>
        <v>(55)</v>
      </c>
    </row>
    <row r="156" spans="2:16" ht="17.25" x14ac:dyDescent="0.25">
      <c r="B156" s="145"/>
      <c r="C156" s="8"/>
      <c r="D156" s="8"/>
      <c r="E156" s="8"/>
      <c r="F156" s="8"/>
      <c r="G156" s="8"/>
      <c r="H156" s="192"/>
      <c r="I156" s="183" t="s">
        <v>298</v>
      </c>
      <c r="J156" s="8"/>
      <c r="K156" s="8"/>
      <c r="L156" s="8"/>
      <c r="M156" s="8"/>
      <c r="N156" s="8"/>
      <c r="O156" s="8"/>
      <c r="P156" s="159"/>
    </row>
    <row r="157" spans="2:16" ht="17.25" x14ac:dyDescent="0.25">
      <c r="B157" s="145"/>
      <c r="C157" s="8"/>
      <c r="D157" s="8"/>
      <c r="E157" s="8"/>
      <c r="F157" s="8"/>
      <c r="G157" s="8"/>
      <c r="H157" s="192"/>
      <c r="I157" s="179">
        <f>SUM(I158:I160)</f>
        <v>0</v>
      </c>
      <c r="J157" s="101"/>
      <c r="K157" s="91">
        <f>SUM(K158:K160)</f>
        <v>0</v>
      </c>
      <c r="L157" s="92"/>
      <c r="M157" s="100">
        <f>SUM(M158:M160)</f>
        <v>0</v>
      </c>
      <c r="N157" s="106"/>
      <c r="O157" s="100">
        <f>SUM(O158:O160)</f>
        <v>0</v>
      </c>
      <c r="P157" s="134"/>
    </row>
    <row r="158" spans="2:16" ht="17.25" x14ac:dyDescent="0.25">
      <c r="B158" s="145"/>
      <c r="C158" s="8"/>
      <c r="D158" s="8"/>
      <c r="E158" s="8"/>
      <c r="F158" s="8"/>
      <c r="G158" s="8"/>
      <c r="H158" s="192"/>
      <c r="I158" s="102">
        <f>SUM(K158+M158+O158)</f>
        <v>0</v>
      </c>
      <c r="J158" s="103" t="str">
        <f>"(15)"</f>
        <v>(15)</v>
      </c>
      <c r="K158" s="97">
        <f>SUM(K153*1.2)</f>
        <v>0</v>
      </c>
      <c r="L158" s="98" t="str">
        <f>"(15)"</f>
        <v>(15)</v>
      </c>
      <c r="M158" s="102">
        <f>SUM(M153*1.22)</f>
        <v>0</v>
      </c>
      <c r="N158" s="103" t="str">
        <f>"(15)"</f>
        <v>(15)</v>
      </c>
      <c r="O158" s="102">
        <f>SUM(O153*1.22)</f>
        <v>0</v>
      </c>
      <c r="P158" s="87" t="str">
        <f>"(15)"</f>
        <v>(15)</v>
      </c>
    </row>
    <row r="159" spans="2:16" ht="17.25" x14ac:dyDescent="0.25">
      <c r="B159" s="145"/>
      <c r="C159" s="8"/>
      <c r="D159" s="8"/>
      <c r="E159" s="8"/>
      <c r="F159" s="8"/>
      <c r="G159" s="8"/>
      <c r="H159" s="192"/>
      <c r="I159" s="102">
        <f>SUM(K159+M159+O159)</f>
        <v>0</v>
      </c>
      <c r="J159" s="103" t="str">
        <f>"(50)"</f>
        <v>(50)</v>
      </c>
      <c r="K159" s="97">
        <f>K154</f>
        <v>0</v>
      </c>
      <c r="L159" s="98" t="str">
        <f>"(50)"</f>
        <v>(50)</v>
      </c>
      <c r="M159" s="102">
        <f>M154</f>
        <v>0</v>
      </c>
      <c r="N159" s="103" t="str">
        <f>"(50)"</f>
        <v>(50)</v>
      </c>
      <c r="O159" s="102">
        <f>O154</f>
        <v>0</v>
      </c>
      <c r="P159" s="87" t="str">
        <f>"(50)"</f>
        <v>(50)</v>
      </c>
    </row>
    <row r="160" spans="2:16" ht="18" thickBot="1" x14ac:dyDescent="0.3">
      <c r="B160" s="160"/>
      <c r="C160" s="161"/>
      <c r="D160" s="161"/>
      <c r="E160" s="161"/>
      <c r="F160" s="161"/>
      <c r="G160" s="161"/>
      <c r="H160" s="193"/>
      <c r="I160" s="130">
        <f>SUM(K160+M160+O160)</f>
        <v>0</v>
      </c>
      <c r="J160" s="131" t="str">
        <f>"(55)"</f>
        <v>(55)</v>
      </c>
      <c r="K160" s="93">
        <f>SUM(K155*1.2)</f>
        <v>0</v>
      </c>
      <c r="L160" s="94" t="str">
        <f>"(55)"</f>
        <v>(55)</v>
      </c>
      <c r="M160" s="130">
        <f>SUM(M155*1.22)</f>
        <v>0</v>
      </c>
      <c r="N160" s="131" t="str">
        <f>"(55)"</f>
        <v>(55)</v>
      </c>
      <c r="O160" s="130">
        <f>SUM(O155*1.22)</f>
        <v>0</v>
      </c>
      <c r="P160" s="96" t="str">
        <f>"(55)"</f>
        <v>(55)</v>
      </c>
    </row>
    <row r="161" spans="2:16" ht="17.25" x14ac:dyDescent="0.25">
      <c r="B161" s="187" t="str">
        <f>'kuni 2025 detsember tegevuskava'!A49&amp;"/"&amp;'kuni 2025 detsember tegevuskava'!C49</f>
        <v>/</v>
      </c>
      <c r="C161" s="156">
        <f>'kuni 2025 detsember tegevuskava'!I49</f>
        <v>0</v>
      </c>
      <c r="D161" s="156">
        <f>'kuni 2025 detsember tegevuskava'!J49</f>
        <v>0</v>
      </c>
      <c r="E161" s="156">
        <f>'kuni 2025 detsember tegevuskava'!K49</f>
        <v>0</v>
      </c>
      <c r="F161" s="156" t="str">
        <f>'kuni 2025 detsember tegevuskava'!O49&amp;"/"</f>
        <v>/</v>
      </c>
      <c r="G161" s="156" t="e" cm="1">
        <f t="array" ref="G161">_xlfn.IFS('kuni 2025 detsember tegevuskava'!G49='kuni 2025 detsember tegevuskava'!$G$97,1,'kuni 2025 detsember tegevuskava'!G49='kuni 2025 detsember tegevuskava'!$G$98,2,'kuni 2025 detsember tegevuskava'!G49='kuni 2025 detsember tegevuskava'!$G$99,3,'kuni 2025 detsember tegevuskava'!G49='kuni 2025 detsember tegevuskava'!$G$100,4)</f>
        <v>#N/A</v>
      </c>
      <c r="H161" s="194" t="e" cm="1">
        <f t="array" ref="H161">_xlfn.IFS(OR('kuni 2025 detsember tegevuskava'!O49='kuni 2025 detsember tegevuskava'!$O$97,'kuni 2025 detsember tegevuskava'!O49='kuni 2025 detsember tegevuskava'!$O$99,'kuni 2025 detsember tegevuskava'!O49='kuni 2025 detsember tegevuskava'!$O$100,'kuni 2025 detsember tegevuskava'!O49='kuni 2025 detsember tegevuskava'!$O$101),1,'kuni 2025 detsember tegevuskava'!O49='kuni 2025 detsember tegevuskava'!$O$102,2,'kuni 2025 detsember tegevuskava'!O49='kuni 2025 detsember tegevuskava'!$O$103,2,'kuni 2025 detsember tegevuskava'!O49='kuni 2025 detsember tegevuskava'!$O$98,3)</f>
        <v>#N/A</v>
      </c>
      <c r="I161" s="132">
        <f>SUM(I162:I164)</f>
        <v>0</v>
      </c>
      <c r="J161" s="133"/>
      <c r="K161" s="81">
        <f>SUM(K162:K164)</f>
        <v>0</v>
      </c>
      <c r="L161" s="83"/>
      <c r="M161" s="132">
        <f>SUM(M162:M164)</f>
        <v>0</v>
      </c>
      <c r="N161" s="133"/>
      <c r="O161" s="81">
        <f>SUM(O162:O164)</f>
        <v>0</v>
      </c>
      <c r="P161" s="85"/>
    </row>
    <row r="162" spans="2:16" ht="17.25" x14ac:dyDescent="0.25">
      <c r="B162" s="145"/>
      <c r="C162" s="8"/>
      <c r="D162" s="8"/>
      <c r="E162" s="8"/>
      <c r="F162" s="8"/>
      <c r="G162" s="8"/>
      <c r="H162" s="192"/>
      <c r="I162" s="102">
        <f>SUM(K162+M162+O162)</f>
        <v>0</v>
      </c>
      <c r="J162" s="103" t="str">
        <f>"(15)"</f>
        <v>(15)</v>
      </c>
      <c r="K162" s="97">
        <f>'kuni 2025 detsember tegevuskava'!W49</f>
        <v>0</v>
      </c>
      <c r="L162" s="98" t="str">
        <f>"(15)"</f>
        <v>(15)</v>
      </c>
      <c r="M162" s="102">
        <f>'kuni 2025 detsember tegevuskava'!Z49</f>
        <v>0</v>
      </c>
      <c r="N162" s="103" t="str">
        <f>"(15)"</f>
        <v>(15)</v>
      </c>
      <c r="O162" s="97">
        <f>'kuni 2025 detsember tegevuskava'!AC49</f>
        <v>0</v>
      </c>
      <c r="P162" s="87" t="str">
        <f>"(15)"</f>
        <v>(15)</v>
      </c>
    </row>
    <row r="163" spans="2:16" ht="17.25" x14ac:dyDescent="0.25">
      <c r="B163" s="145"/>
      <c r="C163" s="8"/>
      <c r="D163" s="8"/>
      <c r="E163" s="8"/>
      <c r="F163" s="8"/>
      <c r="G163" s="8"/>
      <c r="H163" s="192"/>
      <c r="I163" s="102">
        <f>SUM(K163+M163+O163)</f>
        <v>0</v>
      </c>
      <c r="J163" s="103" t="str">
        <f>"(50)"</f>
        <v>(50)</v>
      </c>
      <c r="K163" s="97">
        <f>'kuni 2025 detsember tegevuskava'!X49</f>
        <v>0</v>
      </c>
      <c r="L163" s="98" t="str">
        <f>"(50)"</f>
        <v>(50)</v>
      </c>
      <c r="M163" s="102">
        <f>'kuni 2025 detsember tegevuskava'!AA49</f>
        <v>0</v>
      </c>
      <c r="N163" s="103" t="str">
        <f>"(50)"</f>
        <v>(50)</v>
      </c>
      <c r="O163" s="97">
        <f>'kuni 2025 detsember tegevuskava'!AD49</f>
        <v>0</v>
      </c>
      <c r="P163" s="87" t="str">
        <f>"(50)"</f>
        <v>(50)</v>
      </c>
    </row>
    <row r="164" spans="2:16" ht="17.25" x14ac:dyDescent="0.25">
      <c r="B164" s="145"/>
      <c r="C164" s="8"/>
      <c r="D164" s="8"/>
      <c r="E164" s="8"/>
      <c r="F164" s="8"/>
      <c r="G164" s="8"/>
      <c r="H164" s="192"/>
      <c r="I164" s="102">
        <f>SUM(K164+M164+O164)</f>
        <v>0</v>
      </c>
      <c r="J164" s="105" t="str">
        <f>"(55)"</f>
        <v>(55)</v>
      </c>
      <c r="K164" s="99">
        <f>'kuni 2025 detsember tegevuskava'!Y49</f>
        <v>0</v>
      </c>
      <c r="L164" s="88" t="str">
        <f>"(55)"</f>
        <v>(55)</v>
      </c>
      <c r="M164" s="104">
        <f>'kuni 2025 detsember tegevuskava'!AB48</f>
        <v>0</v>
      </c>
      <c r="N164" s="105" t="str">
        <f>"(55)"</f>
        <v>(55)</v>
      </c>
      <c r="O164" s="99">
        <f>'kuni 2025 detsember tegevuskava'!AE49</f>
        <v>0</v>
      </c>
      <c r="P164" s="90" t="str">
        <f>"(55)"</f>
        <v>(55)</v>
      </c>
    </row>
    <row r="165" spans="2:16" ht="17.25" x14ac:dyDescent="0.25">
      <c r="B165" s="145"/>
      <c r="C165" s="8"/>
      <c r="D165" s="8"/>
      <c r="E165" s="8"/>
      <c r="F165" s="8"/>
      <c r="G165" s="8"/>
      <c r="H165" s="192"/>
      <c r="I165" s="183" t="s">
        <v>298</v>
      </c>
      <c r="J165" s="8"/>
      <c r="K165" s="8"/>
      <c r="L165" s="8"/>
      <c r="M165" s="8"/>
      <c r="N165" s="8"/>
      <c r="O165" s="8"/>
      <c r="P165" s="159"/>
    </row>
    <row r="166" spans="2:16" ht="17.25" x14ac:dyDescent="0.25">
      <c r="B166" s="145"/>
      <c r="C166" s="8"/>
      <c r="D166" s="8"/>
      <c r="E166" s="8"/>
      <c r="F166" s="8"/>
      <c r="G166" s="8"/>
      <c r="H166" s="192"/>
      <c r="I166" s="179">
        <f>SUM(I167:I169)</f>
        <v>0</v>
      </c>
      <c r="J166" s="101"/>
      <c r="K166" s="91">
        <f>SUM(K167:K169)</f>
        <v>0</v>
      </c>
      <c r="L166" s="92"/>
      <c r="M166" s="100">
        <f>SUM(M167:M169)</f>
        <v>0</v>
      </c>
      <c r="N166" s="106"/>
      <c r="O166" s="100">
        <f>SUM(O167:O169)</f>
        <v>0</v>
      </c>
      <c r="P166" s="134"/>
    </row>
    <row r="167" spans="2:16" ht="17.25" x14ac:dyDescent="0.25">
      <c r="B167" s="145"/>
      <c r="C167" s="8"/>
      <c r="D167" s="8"/>
      <c r="E167" s="8"/>
      <c r="F167" s="8"/>
      <c r="G167" s="8"/>
      <c r="H167" s="192"/>
      <c r="I167" s="102">
        <f>SUM(K167+M167+O167)</f>
        <v>0</v>
      </c>
      <c r="J167" s="103" t="str">
        <f>"(15)"</f>
        <v>(15)</v>
      </c>
      <c r="K167" s="97">
        <f>SUM(K162*1.2)</f>
        <v>0</v>
      </c>
      <c r="L167" s="98" t="str">
        <f>"(15)"</f>
        <v>(15)</v>
      </c>
      <c r="M167" s="102">
        <f>SUM(M162*1.22)</f>
        <v>0</v>
      </c>
      <c r="N167" s="103" t="str">
        <f>"(15)"</f>
        <v>(15)</v>
      </c>
      <c r="O167" s="102">
        <f>SUM(O162*1.22)</f>
        <v>0</v>
      </c>
      <c r="P167" s="87" t="str">
        <f>"(15)"</f>
        <v>(15)</v>
      </c>
    </row>
    <row r="168" spans="2:16" ht="17.25" x14ac:dyDescent="0.25">
      <c r="B168" s="145"/>
      <c r="C168" s="8"/>
      <c r="D168" s="8"/>
      <c r="E168" s="8"/>
      <c r="F168" s="8"/>
      <c r="G168" s="8"/>
      <c r="H168" s="192"/>
      <c r="I168" s="102">
        <f>SUM(K168+M168+O168)</f>
        <v>0</v>
      </c>
      <c r="J168" s="103" t="str">
        <f>"(50)"</f>
        <v>(50)</v>
      </c>
      <c r="K168" s="97">
        <f>K163</f>
        <v>0</v>
      </c>
      <c r="L168" s="98" t="str">
        <f>"(50)"</f>
        <v>(50)</v>
      </c>
      <c r="M168" s="102">
        <f>M163</f>
        <v>0</v>
      </c>
      <c r="N168" s="103" t="str">
        <f>"(50)"</f>
        <v>(50)</v>
      </c>
      <c r="O168" s="102">
        <f>O163</f>
        <v>0</v>
      </c>
      <c r="P168" s="87" t="str">
        <f>"(50)"</f>
        <v>(50)</v>
      </c>
    </row>
    <row r="169" spans="2:16" ht="18" thickBot="1" x14ac:dyDescent="0.3">
      <c r="B169" s="160"/>
      <c r="C169" s="161"/>
      <c r="D169" s="161"/>
      <c r="E169" s="161"/>
      <c r="F169" s="161"/>
      <c r="G169" s="161"/>
      <c r="H169" s="193"/>
      <c r="I169" s="130">
        <f>SUM(K169+M169+O169)</f>
        <v>0</v>
      </c>
      <c r="J169" s="131" t="str">
        <f>"(55)"</f>
        <v>(55)</v>
      </c>
      <c r="K169" s="93">
        <f>SUM(K164*1.2)</f>
        <v>0</v>
      </c>
      <c r="L169" s="94" t="str">
        <f>"(55)"</f>
        <v>(55)</v>
      </c>
      <c r="M169" s="130">
        <f>SUM(M164*1.22)</f>
        <v>0</v>
      </c>
      <c r="N169" s="131" t="str">
        <f>"(55)"</f>
        <v>(55)</v>
      </c>
      <c r="O169" s="130">
        <f>SUM(O164*1.22)</f>
        <v>0</v>
      </c>
      <c r="P169" s="96" t="str">
        <f>"(55)"</f>
        <v>(55)</v>
      </c>
    </row>
    <row r="170" spans="2:16" ht="17.25" x14ac:dyDescent="0.25">
      <c r="B170" s="187" t="str">
        <f>'kuni 2025 detsember tegevuskava'!A50&amp;"/"&amp;'kuni 2025 detsember tegevuskava'!C50</f>
        <v>Regionaal- ja Põllumajandusministeerium/</v>
      </c>
      <c r="C170" s="156" t="str">
        <f>'kuni 2025 detsember tegevuskava'!I50</f>
        <v xml:space="preserve">Seiresüsteemi arendamiseks värvatud lisapersonali kulud on aastani 2024 kaetud MAK TA vahenditest, kuid alates 2025. aastast MAK TA vahendid lõppevad ning vajadus on katta püsikulud ning edasised arendused RES eelarvest. Olemasolevate vahendite (2023 ja 2024) info toodud järgmisel real, kuna on erinev rahastuallikas.
Antud õigusaktidest tulenevad nõuded pinnaseiresüsteemi kui pindalameetmete administreerimise kohustusliku komponendi rakendamisele, sh nõuete seiratavus, kvaliteedikontroll, nõuete hindamine tehisintellekti abil. Komisjoni poolsed õigusaktid on vastu võetud, kuid töödokument, mis detailsel tasemel nõudeid kirjeldab, on pidevalt  muutumas. Pinnaseiresüsteemi rakendamine on suurim muutus pindalatoetuste administreerimise ajaloos, mille tulemusel tuleb senise 5% kontrollimäära asemel kontrollida 100% põllumajandusmaast (~1M ha) ning mis on seetõttu väga suure halduskoorumusega muudatus (arvestades nii uue süsteemi arendus- kui ka rakenduskulusid (tulenevad peamiselt kohustuslikust kvaliteedikontrollist). </v>
      </c>
      <c r="D170" s="156" t="str">
        <f>'kuni 2025 detsember tegevuskava'!J50</f>
        <v xml:space="preserve">Seiresüsteemi ja AI aredamine ja rakendamine
</v>
      </c>
      <c r="E170" s="156" t="str">
        <f>'kuni 2025 detsember tegevuskava'!K50</f>
        <v>On juurutatud õigusaktidest tulenevad nõuded pinnaseiresüsteemi kui pindalameetmete administreerimise kohustusliku komponendi rakendamisele, sh nõuete seiratavus, kvaliteedikontroll, nõuete hindamine tehisintellekti abil.</v>
      </c>
      <c r="F170" s="156" t="str">
        <f>'kuni 2025 detsember tegevuskava'!O50&amp;"/"</f>
        <v>RES IKT (vaja juurde taotleda)/</v>
      </c>
      <c r="G170" s="156" cm="1">
        <f t="array" ref="G170">_xlfn.IFS('kuni 2025 detsember tegevuskava'!G50='kuni 2025 detsember tegevuskava'!$G$97,1,'kuni 2025 detsember tegevuskava'!G50='kuni 2025 detsember tegevuskava'!$G$98,2,'kuni 2025 detsember tegevuskava'!G50='kuni 2025 detsember tegevuskava'!$G$99,3,'kuni 2025 detsember tegevuskava'!G50='kuni 2025 detsember tegevuskava'!$G$100,4)</f>
        <v>1</v>
      </c>
      <c r="H170" s="194" cm="1">
        <f t="array" ref="H170">_xlfn.IFS(OR('kuni 2025 detsember tegevuskava'!O50='kuni 2025 detsember tegevuskava'!$O$97,'kuni 2025 detsember tegevuskava'!O50='kuni 2025 detsember tegevuskava'!$O$99,'kuni 2025 detsember tegevuskava'!O50='kuni 2025 detsember tegevuskava'!$O$100,'kuni 2025 detsember tegevuskava'!O50='kuni 2025 detsember tegevuskava'!$O$101),1,'kuni 2025 detsember tegevuskava'!O50='kuni 2025 detsember tegevuskava'!$O$102,2,'kuni 2025 detsember tegevuskava'!O50='kuni 2025 detsember tegevuskava'!$O$103,2,'kuni 2025 detsember tegevuskava'!O50='kuni 2025 detsember tegevuskava'!$O$98,3)</f>
        <v>1</v>
      </c>
      <c r="I170" s="132">
        <f>SUM(I171:I173)</f>
        <v>1434052</v>
      </c>
      <c r="J170" s="133"/>
      <c r="K170" s="81">
        <f>SUM(K171:K173)</f>
        <v>0</v>
      </c>
      <c r="L170" s="83"/>
      <c r="M170" s="132">
        <f>SUM(M171:M173)</f>
        <v>0</v>
      </c>
      <c r="N170" s="133"/>
      <c r="O170" s="81">
        <f>SUM(O171:O173)</f>
        <v>1434052</v>
      </c>
      <c r="P170" s="85"/>
    </row>
    <row r="171" spans="2:16" ht="17.25" x14ac:dyDescent="0.25">
      <c r="B171" s="145"/>
      <c r="C171" s="8"/>
      <c r="D171" s="8"/>
      <c r="E171" s="8"/>
      <c r="F171" s="8"/>
      <c r="G171" s="8"/>
      <c r="H171" s="192"/>
      <c r="I171" s="102">
        <f>SUM(K171+M171+O171)</f>
        <v>750000</v>
      </c>
      <c r="J171" s="103" t="str">
        <f>"(15)"</f>
        <v>(15)</v>
      </c>
      <c r="K171" s="97">
        <f>'kuni 2025 detsember tegevuskava'!W50</f>
        <v>0</v>
      </c>
      <c r="L171" s="98" t="str">
        <f>"(15)"</f>
        <v>(15)</v>
      </c>
      <c r="M171" s="102">
        <f>'kuni 2025 detsember tegevuskava'!Z50</f>
        <v>0</v>
      </c>
      <c r="N171" s="103" t="str">
        <f>"(15)"</f>
        <v>(15)</v>
      </c>
      <c r="O171" s="97">
        <f>'kuni 2025 detsember tegevuskava'!AC50</f>
        <v>750000</v>
      </c>
      <c r="P171" s="87" t="str">
        <f>"(15)"</f>
        <v>(15)</v>
      </c>
    </row>
    <row r="172" spans="2:16" ht="17.25" x14ac:dyDescent="0.25">
      <c r="B172" s="145"/>
      <c r="C172" s="8"/>
      <c r="D172" s="8"/>
      <c r="E172" s="8"/>
      <c r="F172" s="8"/>
      <c r="G172" s="8"/>
      <c r="H172" s="192"/>
      <c r="I172" s="102">
        <f>SUM(K172+M172+O172)</f>
        <v>244052</v>
      </c>
      <c r="J172" s="103" t="str">
        <f>"(50)"</f>
        <v>(50)</v>
      </c>
      <c r="K172" s="97">
        <f>'kuni 2025 detsember tegevuskava'!X50</f>
        <v>0</v>
      </c>
      <c r="L172" s="98" t="str">
        <f>"(50)"</f>
        <v>(50)</v>
      </c>
      <c r="M172" s="102">
        <f>'kuni 2025 detsember tegevuskava'!AA50</f>
        <v>0</v>
      </c>
      <c r="N172" s="103" t="str">
        <f>"(50)"</f>
        <v>(50)</v>
      </c>
      <c r="O172" s="97">
        <f>'kuni 2025 detsember tegevuskava'!AD50</f>
        <v>244052</v>
      </c>
      <c r="P172" s="87" t="str">
        <f>"(50)"</f>
        <v>(50)</v>
      </c>
    </row>
    <row r="173" spans="2:16" ht="17.25" x14ac:dyDescent="0.25">
      <c r="B173" s="145"/>
      <c r="C173" s="8"/>
      <c r="D173" s="8"/>
      <c r="E173" s="8"/>
      <c r="F173" s="8"/>
      <c r="G173" s="8"/>
      <c r="H173" s="192"/>
      <c r="I173" s="102">
        <f>SUM(K173+M173+O173)</f>
        <v>440000</v>
      </c>
      <c r="J173" s="105" t="str">
        <f>"(55)"</f>
        <v>(55)</v>
      </c>
      <c r="K173" s="99">
        <f>'kuni 2025 detsember tegevuskava'!Y50</f>
        <v>0</v>
      </c>
      <c r="L173" s="88" t="str">
        <f>"(55)"</f>
        <v>(55)</v>
      </c>
      <c r="M173" s="104">
        <f>'kuni 2025 detsember tegevuskava'!AB50</f>
        <v>0</v>
      </c>
      <c r="N173" s="105" t="str">
        <f>"(55)"</f>
        <v>(55)</v>
      </c>
      <c r="O173" s="99">
        <f>'kuni 2025 detsember tegevuskava'!AE50</f>
        <v>440000</v>
      </c>
      <c r="P173" s="90" t="str">
        <f>"(55)"</f>
        <v>(55)</v>
      </c>
    </row>
    <row r="174" spans="2:16" ht="17.25" x14ac:dyDescent="0.25">
      <c r="B174" s="145"/>
      <c r="C174" s="8"/>
      <c r="D174" s="8"/>
      <c r="E174" s="8"/>
      <c r="F174" s="8"/>
      <c r="G174" s="8"/>
      <c r="H174" s="192"/>
      <c r="I174" s="183" t="s">
        <v>298</v>
      </c>
      <c r="J174" s="8"/>
      <c r="K174" s="8"/>
      <c r="L174" s="8"/>
      <c r="M174" s="8"/>
      <c r="N174" s="8"/>
      <c r="O174" s="8"/>
      <c r="P174" s="159"/>
    </row>
    <row r="175" spans="2:16" ht="17.25" x14ac:dyDescent="0.25">
      <c r="B175" s="145"/>
      <c r="C175" s="8"/>
      <c r="D175" s="8"/>
      <c r="E175" s="8"/>
      <c r="F175" s="8"/>
      <c r="G175" s="8"/>
      <c r="H175" s="192"/>
      <c r="I175" s="179">
        <f>SUM(I176:I178)</f>
        <v>1695852</v>
      </c>
      <c r="J175" s="101"/>
      <c r="K175" s="91">
        <f>SUM(K176:K178)</f>
        <v>0</v>
      </c>
      <c r="L175" s="92"/>
      <c r="M175" s="100">
        <f>SUM(M176:M178)</f>
        <v>0</v>
      </c>
      <c r="N175" s="106"/>
      <c r="O175" s="100">
        <f>SUM(O176:O178)</f>
        <v>1695852</v>
      </c>
      <c r="P175" s="134"/>
    </row>
    <row r="176" spans="2:16" ht="17.25" x14ac:dyDescent="0.25">
      <c r="B176" s="145"/>
      <c r="C176" s="8"/>
      <c r="D176" s="8"/>
      <c r="E176" s="8"/>
      <c r="F176" s="8"/>
      <c r="G176" s="8"/>
      <c r="H176" s="192"/>
      <c r="I176" s="102">
        <f>SUM(K176+M176+O176)</f>
        <v>915000</v>
      </c>
      <c r="J176" s="103" t="str">
        <f>"(15)"</f>
        <v>(15)</v>
      </c>
      <c r="K176" s="97">
        <f>SUM(K171*1.2)</f>
        <v>0</v>
      </c>
      <c r="L176" s="98" t="str">
        <f>"(15)"</f>
        <v>(15)</v>
      </c>
      <c r="M176" s="102">
        <f>SUM(M171*1.22)</f>
        <v>0</v>
      </c>
      <c r="N176" s="103" t="str">
        <f>"(15)"</f>
        <v>(15)</v>
      </c>
      <c r="O176" s="102">
        <f>SUM(O171*1.22)</f>
        <v>915000</v>
      </c>
      <c r="P176" s="87" t="str">
        <f>"(15)"</f>
        <v>(15)</v>
      </c>
    </row>
    <row r="177" spans="2:16" ht="17.25" x14ac:dyDescent="0.25">
      <c r="B177" s="145"/>
      <c r="C177" s="8"/>
      <c r="D177" s="8"/>
      <c r="E177" s="8"/>
      <c r="F177" s="8"/>
      <c r="G177" s="8"/>
      <c r="H177" s="192"/>
      <c r="I177" s="102">
        <f>SUM(K177+M177+O177)</f>
        <v>244052</v>
      </c>
      <c r="J177" s="103" t="str">
        <f>"(50)"</f>
        <v>(50)</v>
      </c>
      <c r="K177" s="97">
        <f>K172</f>
        <v>0</v>
      </c>
      <c r="L177" s="98" t="str">
        <f>"(50)"</f>
        <v>(50)</v>
      </c>
      <c r="M177" s="102">
        <f>M172</f>
        <v>0</v>
      </c>
      <c r="N177" s="103" t="str">
        <f>"(50)"</f>
        <v>(50)</v>
      </c>
      <c r="O177" s="102">
        <f>O172</f>
        <v>244052</v>
      </c>
      <c r="P177" s="87" t="str">
        <f>"(50)"</f>
        <v>(50)</v>
      </c>
    </row>
    <row r="178" spans="2:16" ht="18" thickBot="1" x14ac:dyDescent="0.3">
      <c r="B178" s="145"/>
      <c r="C178" s="8"/>
      <c r="D178" s="8"/>
      <c r="E178" s="8"/>
      <c r="F178" s="8"/>
      <c r="G178" s="8"/>
      <c r="H178" s="192"/>
      <c r="I178" s="102">
        <f>SUM(K178+M178+O178)</f>
        <v>536800</v>
      </c>
      <c r="J178" s="103" t="str">
        <f>"(55)"</f>
        <v>(55)</v>
      </c>
      <c r="K178" s="97">
        <f>SUM(K173*1.2)</f>
        <v>0</v>
      </c>
      <c r="L178" s="98" t="str">
        <f>"(55)"</f>
        <v>(55)</v>
      </c>
      <c r="M178" s="102">
        <f>SUM(M173*1.22)</f>
        <v>0</v>
      </c>
      <c r="N178" s="103" t="str">
        <f>"(55)"</f>
        <v>(55)</v>
      </c>
      <c r="O178" s="102">
        <f>SUM(O173*1.22)</f>
        <v>536800</v>
      </c>
      <c r="P178" s="87" t="str">
        <f>"(55)"</f>
        <v>(55)</v>
      </c>
    </row>
    <row r="179" spans="2:16" ht="17.25" x14ac:dyDescent="0.25">
      <c r="B179" s="187" t="str">
        <f>'kuni 2025 detsember tegevuskava'!A51&amp;"/"&amp;'kuni 2025 detsember tegevuskava'!C51</f>
        <v>Regionaal- ja Põllumajandusministeerium/</v>
      </c>
      <c r="C179" s="156" t="str">
        <f>'kuni 2025 detsember tegevuskava'!I51</f>
        <v>Seirele ülemineku arendustega alustati 2023. aastal, värvates selleks spetsiaalsete oskustega meeskond. Olemas on vahendid 2023 ja 2024 a vajaduste katteks.</v>
      </c>
      <c r="D179" s="156" t="str">
        <f>'kuni 2025 detsember tegevuskava'!J51</f>
        <v xml:space="preserve">Seiresüsteemi ja AI aredamiseks vajalikud personalikulud (pinnaseire) - olemasolev rahastus
</v>
      </c>
      <c r="E179" s="156" t="str">
        <f>'kuni 2025 detsember tegevuskava'!K51</f>
        <v>2024. a lõpuks on juurutatud pinnaseire süsteemi kohustuslik osa, st pindalatoetuste nõuete seiramise funktsionaalsus ning läbiviidud analüüs tehisintellekti kasutamise osas</v>
      </c>
      <c r="F179" s="156" t="str">
        <f>'kuni 2025 detsember tegevuskava'!O51&amp;"/"</f>
        <v>Muu rahastus/</v>
      </c>
      <c r="G179" s="156" cm="1">
        <f t="array" ref="G179">_xlfn.IFS('kuni 2025 detsember tegevuskava'!G51='kuni 2025 detsember tegevuskava'!$G$97,1,'kuni 2025 detsember tegevuskava'!G51='kuni 2025 detsember tegevuskava'!$G$98,2,'kuni 2025 detsember tegevuskava'!G51='kuni 2025 detsember tegevuskava'!$G$99,3,'kuni 2025 detsember tegevuskava'!G51='kuni 2025 detsember tegevuskava'!$G$100,4)</f>
        <v>1</v>
      </c>
      <c r="H179" s="194" cm="1">
        <f t="array" ref="H179">_xlfn.IFS(OR('kuni 2025 detsember tegevuskava'!O51='kuni 2025 detsember tegevuskava'!$O$97,'kuni 2025 detsember tegevuskava'!O51='kuni 2025 detsember tegevuskava'!$O$99,'kuni 2025 detsember tegevuskava'!O51='kuni 2025 detsember tegevuskava'!$O$100,'kuni 2025 detsember tegevuskava'!O51='kuni 2025 detsember tegevuskava'!$O$101),1,'kuni 2025 detsember tegevuskava'!O51='kuni 2025 detsember tegevuskava'!$O$102,2,'kuni 2025 detsember tegevuskava'!O51='kuni 2025 detsember tegevuskava'!$O$103,2,'kuni 2025 detsember tegevuskava'!O51='kuni 2025 detsember tegevuskava'!$O$98,3)</f>
        <v>3</v>
      </c>
      <c r="I179" s="132">
        <f>SUM(I180:I182)</f>
        <v>501380</v>
      </c>
      <c r="J179" s="133"/>
      <c r="K179" s="81">
        <f>SUM(K180:K182)</f>
        <v>250690</v>
      </c>
      <c r="L179" s="83"/>
      <c r="M179" s="132">
        <f>SUM(M180:M182)</f>
        <v>250690</v>
      </c>
      <c r="N179" s="133"/>
      <c r="O179" s="81">
        <f>SUM(O180:O182)</f>
        <v>0</v>
      </c>
      <c r="P179" s="85"/>
    </row>
    <row r="180" spans="2:16" ht="17.25" x14ac:dyDescent="0.25">
      <c r="B180" s="145"/>
      <c r="C180" s="8"/>
      <c r="D180" s="8"/>
      <c r="E180" s="8"/>
      <c r="F180" s="8"/>
      <c r="G180" s="8"/>
      <c r="H180" s="192"/>
      <c r="I180" s="102">
        <f>SUM(K180+M180+O180)</f>
        <v>0</v>
      </c>
      <c r="J180" s="103" t="str">
        <f>"(15)"</f>
        <v>(15)</v>
      </c>
      <c r="K180" s="97">
        <f>'kuni 2025 detsember tegevuskava'!W51</f>
        <v>0</v>
      </c>
      <c r="L180" s="98" t="str">
        <f>"(15)"</f>
        <v>(15)</v>
      </c>
      <c r="M180" s="102">
        <f>'kuni 2025 detsember tegevuskava'!Z51</f>
        <v>0</v>
      </c>
      <c r="N180" s="103" t="str">
        <f>"(15)"</f>
        <v>(15)</v>
      </c>
      <c r="O180" s="97">
        <f>'kuni 2025 detsember tegevuskava'!AC51</f>
        <v>0</v>
      </c>
      <c r="P180" s="87" t="str">
        <f>"(15)"</f>
        <v>(15)</v>
      </c>
    </row>
    <row r="181" spans="2:16" ht="17.25" x14ac:dyDescent="0.25">
      <c r="B181" s="145"/>
      <c r="C181" s="8"/>
      <c r="D181" s="8"/>
      <c r="E181" s="8"/>
      <c r="F181" s="8"/>
      <c r="G181" s="8"/>
      <c r="H181" s="192"/>
      <c r="I181" s="102">
        <f>SUM(K181+M181+O181)</f>
        <v>501380</v>
      </c>
      <c r="J181" s="103" t="str">
        <f>"(50)"</f>
        <v>(50)</v>
      </c>
      <c r="K181" s="97">
        <f>'kuni 2025 detsember tegevuskava'!X51</f>
        <v>250690</v>
      </c>
      <c r="L181" s="98" t="str">
        <f>"(50)"</f>
        <v>(50)</v>
      </c>
      <c r="M181" s="102">
        <f>'kuni 2025 detsember tegevuskava'!AA51</f>
        <v>250690</v>
      </c>
      <c r="N181" s="103" t="str">
        <f>"(50)"</f>
        <v>(50)</v>
      </c>
      <c r="O181" s="97">
        <f>'kuni 2025 detsember tegevuskava'!AD51</f>
        <v>0</v>
      </c>
      <c r="P181" s="87" t="str">
        <f>"(50)"</f>
        <v>(50)</v>
      </c>
    </row>
    <row r="182" spans="2:16" ht="17.25" x14ac:dyDescent="0.25">
      <c r="B182" s="145"/>
      <c r="C182" s="8"/>
      <c r="D182" s="8"/>
      <c r="E182" s="8"/>
      <c r="F182" s="8"/>
      <c r="G182" s="8"/>
      <c r="H182" s="192"/>
      <c r="I182" s="104">
        <f>SUM(K182+M182+O182)</f>
        <v>0</v>
      </c>
      <c r="J182" s="105" t="str">
        <f>"(55)"</f>
        <v>(55)</v>
      </c>
      <c r="K182" s="99">
        <f>'kuni 2025 detsember tegevuskava'!Y51</f>
        <v>0</v>
      </c>
      <c r="L182" s="88" t="str">
        <f>"(55)"</f>
        <v>(55)</v>
      </c>
      <c r="M182" s="104">
        <f>'kuni 2025 detsember tegevuskava'!AB51</f>
        <v>0</v>
      </c>
      <c r="N182" s="105" t="str">
        <f>"(55)"</f>
        <v>(55)</v>
      </c>
      <c r="O182" s="99">
        <f>'kuni 2025 detsember tegevuskava'!AE51</f>
        <v>0</v>
      </c>
      <c r="P182" s="90" t="str">
        <f>"(55)"</f>
        <v>(55)</v>
      </c>
    </row>
    <row r="183" spans="2:16" ht="17.25" x14ac:dyDescent="0.25">
      <c r="B183" s="145"/>
      <c r="C183" s="8"/>
      <c r="D183" s="8"/>
      <c r="E183" s="8"/>
      <c r="F183" s="8"/>
      <c r="G183" s="8"/>
      <c r="H183" s="192"/>
      <c r="I183" s="151" t="s">
        <v>298</v>
      </c>
      <c r="J183" s="8"/>
      <c r="K183" s="8"/>
      <c r="L183" s="8"/>
      <c r="M183" s="8"/>
      <c r="N183" s="8"/>
      <c r="O183" s="8"/>
      <c r="P183" s="159"/>
    </row>
    <row r="184" spans="2:16" ht="17.25" x14ac:dyDescent="0.25">
      <c r="B184" s="145"/>
      <c r="C184" s="8"/>
      <c r="D184" s="8"/>
      <c r="E184" s="8"/>
      <c r="F184" s="8"/>
      <c r="G184" s="8"/>
      <c r="H184" s="192"/>
      <c r="I184" s="100">
        <f>SUM(I185:I187)</f>
        <v>501380</v>
      </c>
      <c r="J184" s="101"/>
      <c r="K184" s="91">
        <f>SUM(K185:K187)</f>
        <v>250690</v>
      </c>
      <c r="L184" s="92"/>
      <c r="M184" s="100">
        <f>SUM(M185:M187)</f>
        <v>250690</v>
      </c>
      <c r="N184" s="106"/>
      <c r="O184" s="100">
        <f>SUM(O185:O187)</f>
        <v>0</v>
      </c>
      <c r="P184" s="134"/>
    </row>
    <row r="185" spans="2:16" ht="17.25" x14ac:dyDescent="0.25">
      <c r="B185" s="145"/>
      <c r="C185" s="8"/>
      <c r="D185" s="8"/>
      <c r="E185" s="8"/>
      <c r="F185" s="8"/>
      <c r="G185" s="8"/>
      <c r="H185" s="192"/>
      <c r="I185" s="102">
        <f>SUM(K185+M185+O185)</f>
        <v>0</v>
      </c>
      <c r="J185" s="103" t="str">
        <f>"(15)"</f>
        <v>(15)</v>
      </c>
      <c r="K185" s="97">
        <f>SUM(K180*1.2)</f>
        <v>0</v>
      </c>
      <c r="L185" s="98" t="str">
        <f>"(15)"</f>
        <v>(15)</v>
      </c>
      <c r="M185" s="102">
        <f>SUM(M180*1.22)</f>
        <v>0</v>
      </c>
      <c r="N185" s="103" t="str">
        <f>"(15)"</f>
        <v>(15)</v>
      </c>
      <c r="O185" s="102">
        <f>SUM(O180*1.22)</f>
        <v>0</v>
      </c>
      <c r="P185" s="87" t="str">
        <f>"(15)"</f>
        <v>(15)</v>
      </c>
    </row>
    <row r="186" spans="2:16" ht="17.25" x14ac:dyDescent="0.25">
      <c r="B186" s="145"/>
      <c r="C186" s="8"/>
      <c r="D186" s="8"/>
      <c r="E186" s="8"/>
      <c r="F186" s="8"/>
      <c r="G186" s="8"/>
      <c r="H186" s="192"/>
      <c r="I186" s="102">
        <f>SUM(K186+M186+O186)</f>
        <v>501380</v>
      </c>
      <c r="J186" s="103" t="str">
        <f>"(50)"</f>
        <v>(50)</v>
      </c>
      <c r="K186" s="97">
        <f>K181</f>
        <v>250690</v>
      </c>
      <c r="L186" s="98" t="str">
        <f>"(50)"</f>
        <v>(50)</v>
      </c>
      <c r="M186" s="102">
        <f>M181</f>
        <v>250690</v>
      </c>
      <c r="N186" s="103" t="str">
        <f>"(50)"</f>
        <v>(50)</v>
      </c>
      <c r="O186" s="102">
        <f>O181</f>
        <v>0</v>
      </c>
      <c r="P186" s="87" t="str">
        <f>"(50)"</f>
        <v>(50)</v>
      </c>
    </row>
    <row r="187" spans="2:16" ht="18" thickBot="1" x14ac:dyDescent="0.3">
      <c r="B187" s="160"/>
      <c r="C187" s="161"/>
      <c r="D187" s="161"/>
      <c r="E187" s="161"/>
      <c r="F187" s="161"/>
      <c r="G187" s="161"/>
      <c r="H187" s="193"/>
      <c r="I187" s="130">
        <f>SUM(K187+M187+O187)</f>
        <v>0</v>
      </c>
      <c r="J187" s="131" t="str">
        <f>"(55)"</f>
        <v>(55)</v>
      </c>
      <c r="K187" s="93">
        <f>SUM(K182*1.2)</f>
        <v>0</v>
      </c>
      <c r="L187" s="94" t="str">
        <f>"(55)"</f>
        <v>(55)</v>
      </c>
      <c r="M187" s="130">
        <f>SUM(M182*1.22)</f>
        <v>0</v>
      </c>
      <c r="N187" s="131" t="str">
        <f>"(55)"</f>
        <v>(55)</v>
      </c>
      <c r="O187" s="130">
        <f>SUM(O182*1.22)</f>
        <v>0</v>
      </c>
      <c r="P187" s="96" t="str">
        <f>"(55)"</f>
        <v>(55)</v>
      </c>
    </row>
    <row r="188" spans="2:16" ht="17.25" x14ac:dyDescent="0.25">
      <c r="B188" s="187" t="str">
        <f>'kuni 2025 detsember tegevuskava'!A52&amp;"/"&amp;'kuni 2025 detsember tegevuskava'!C52</f>
        <v>/</v>
      </c>
      <c r="C188" s="156">
        <f>'kuni 2025 detsember tegevuskava'!I52</f>
        <v>0</v>
      </c>
      <c r="D188" s="156">
        <f>'kuni 2025 detsember tegevuskava'!J52</f>
        <v>0</v>
      </c>
      <c r="E188" s="156">
        <f>'kuni 2025 detsember tegevuskava'!K52</f>
        <v>0</v>
      </c>
      <c r="F188" s="156" t="str">
        <f>'kuni 2025 detsember tegevuskava'!O52&amp;"/"</f>
        <v>/</v>
      </c>
      <c r="G188" s="156" t="e" cm="1">
        <f t="array" ref="G188">_xlfn.IFS('kuni 2025 detsember tegevuskava'!G52='kuni 2025 detsember tegevuskava'!$G$97,1,'kuni 2025 detsember tegevuskava'!G52='kuni 2025 detsember tegevuskava'!$G$98,2,'kuni 2025 detsember tegevuskava'!G52='kuni 2025 detsember tegevuskava'!$G$99,3,'kuni 2025 detsember tegevuskava'!G52='kuni 2025 detsember tegevuskava'!$G$100,4)</f>
        <v>#N/A</v>
      </c>
      <c r="H188" s="194" t="e" cm="1">
        <f t="array" ref="H188">_xlfn.IFS(OR('kuni 2025 detsember tegevuskava'!O52='kuni 2025 detsember tegevuskava'!$O$97,'kuni 2025 detsember tegevuskava'!O52='kuni 2025 detsember tegevuskava'!$O$99,'kuni 2025 detsember tegevuskava'!O52='kuni 2025 detsember tegevuskava'!$O$100,'kuni 2025 detsember tegevuskava'!O52='kuni 2025 detsember tegevuskava'!$O$101),1,'kuni 2025 detsember tegevuskava'!O52='kuni 2025 detsember tegevuskava'!$O$102,2,'kuni 2025 detsember tegevuskava'!O52='kuni 2025 detsember tegevuskava'!$O$103,2,'kuni 2025 detsember tegevuskava'!O52='kuni 2025 detsember tegevuskava'!$O$98,3)</f>
        <v>#N/A</v>
      </c>
      <c r="I188" s="132">
        <f>SUM(I189:I191)</f>
        <v>0</v>
      </c>
      <c r="J188" s="133"/>
      <c r="K188" s="81">
        <f>SUM(K189:K191)</f>
        <v>0</v>
      </c>
      <c r="L188" s="83"/>
      <c r="M188" s="132">
        <f>SUM(M189:M191)</f>
        <v>0</v>
      </c>
      <c r="N188" s="133"/>
      <c r="O188" s="81">
        <f>SUM(O189:O191)</f>
        <v>0</v>
      </c>
      <c r="P188" s="85"/>
    </row>
    <row r="189" spans="2:16" ht="17.25" x14ac:dyDescent="0.25">
      <c r="B189" s="145"/>
      <c r="C189" s="8"/>
      <c r="D189" s="8"/>
      <c r="E189" s="8"/>
      <c r="F189" s="8"/>
      <c r="G189" s="8"/>
      <c r="H189" s="192"/>
      <c r="I189" s="102">
        <f>SUM(K189+M189+O189)</f>
        <v>0</v>
      </c>
      <c r="J189" s="103" t="str">
        <f>"(15)"</f>
        <v>(15)</v>
      </c>
      <c r="K189" s="97">
        <f>'kuni 2025 detsember tegevuskava'!W52</f>
        <v>0</v>
      </c>
      <c r="L189" s="98" t="str">
        <f>"(15)"</f>
        <v>(15)</v>
      </c>
      <c r="M189" s="102">
        <f>'kuni 2025 detsember tegevuskava'!Z52</f>
        <v>0</v>
      </c>
      <c r="N189" s="103" t="str">
        <f>"(15)"</f>
        <v>(15)</v>
      </c>
      <c r="O189" s="97">
        <f>'kuni 2025 detsember tegevuskava'!AC52</f>
        <v>0</v>
      </c>
      <c r="P189" s="87" t="str">
        <f>"(15)"</f>
        <v>(15)</v>
      </c>
    </row>
    <row r="190" spans="2:16" ht="17.25" x14ac:dyDescent="0.25">
      <c r="B190" s="145"/>
      <c r="C190" s="8"/>
      <c r="D190" s="8"/>
      <c r="E190" s="8"/>
      <c r="F190" s="8"/>
      <c r="G190" s="8"/>
      <c r="H190" s="192"/>
      <c r="I190" s="102">
        <f>SUM(K190+M190+O190)</f>
        <v>0</v>
      </c>
      <c r="J190" s="103" t="str">
        <f>"(50)"</f>
        <v>(50)</v>
      </c>
      <c r="K190" s="97">
        <f>'kuni 2025 detsember tegevuskava'!X52</f>
        <v>0</v>
      </c>
      <c r="L190" s="98" t="str">
        <f>"(50)"</f>
        <v>(50)</v>
      </c>
      <c r="M190" s="102">
        <f>'kuni 2025 detsember tegevuskava'!AA52</f>
        <v>0</v>
      </c>
      <c r="N190" s="103" t="str">
        <f>"(50)"</f>
        <v>(50)</v>
      </c>
      <c r="O190" s="97">
        <f>'kuni 2025 detsember tegevuskava'!AD52</f>
        <v>0</v>
      </c>
      <c r="P190" s="87" t="str">
        <f>"(50)"</f>
        <v>(50)</v>
      </c>
    </row>
    <row r="191" spans="2:16" ht="17.25" x14ac:dyDescent="0.25">
      <c r="B191" s="145"/>
      <c r="C191" s="8"/>
      <c r="D191" s="8"/>
      <c r="E191" s="8"/>
      <c r="F191" s="8"/>
      <c r="G191" s="8"/>
      <c r="H191" s="192"/>
      <c r="I191" s="104">
        <f>SUM(K191+M191+O191)</f>
        <v>0</v>
      </c>
      <c r="J191" s="105" t="str">
        <f>"(55)"</f>
        <v>(55)</v>
      </c>
      <c r="K191" s="99">
        <f>'kuni 2025 detsember tegevuskava'!Y52</f>
        <v>0</v>
      </c>
      <c r="L191" s="88" t="str">
        <f>"(55)"</f>
        <v>(55)</v>
      </c>
      <c r="M191" s="104">
        <f>'kuni 2025 detsember tegevuskava'!AB52</f>
        <v>0</v>
      </c>
      <c r="N191" s="105" t="str">
        <f>"(55)"</f>
        <v>(55)</v>
      </c>
      <c r="O191" s="99">
        <f>'kuni 2025 detsember tegevuskava'!AE52</f>
        <v>0</v>
      </c>
      <c r="P191" s="90" t="str">
        <f>"(55)"</f>
        <v>(55)</v>
      </c>
    </row>
    <row r="192" spans="2:16" ht="17.25" x14ac:dyDescent="0.25">
      <c r="B192" s="145"/>
      <c r="C192" s="8"/>
      <c r="D192" s="8"/>
      <c r="E192" s="8"/>
      <c r="F192" s="8"/>
      <c r="G192" s="8"/>
      <c r="H192" s="192"/>
      <c r="I192" s="151" t="s">
        <v>298</v>
      </c>
      <c r="J192" s="8"/>
      <c r="K192" s="8"/>
      <c r="L192" s="8"/>
      <c r="M192" s="8"/>
      <c r="N192" s="8"/>
      <c r="O192" s="8"/>
      <c r="P192" s="159"/>
    </row>
    <row r="193" spans="2:16" ht="17.25" x14ac:dyDescent="0.25">
      <c r="B193" s="145"/>
      <c r="C193" s="8"/>
      <c r="D193" s="8"/>
      <c r="E193" s="8"/>
      <c r="F193" s="8"/>
      <c r="G193" s="8"/>
      <c r="H193" s="192"/>
      <c r="I193" s="100">
        <f>SUM(I194:I196)</f>
        <v>0</v>
      </c>
      <c r="J193" s="101"/>
      <c r="K193" s="91">
        <f>SUM(K194:K196)</f>
        <v>0</v>
      </c>
      <c r="L193" s="92"/>
      <c r="M193" s="100">
        <f>SUM(M194:M196)</f>
        <v>0</v>
      </c>
      <c r="N193" s="106"/>
      <c r="O193" s="100">
        <f>SUM(O194:O196)</f>
        <v>0</v>
      </c>
      <c r="P193" s="134"/>
    </row>
    <row r="194" spans="2:16" ht="18" thickBot="1" x14ac:dyDescent="0.3">
      <c r="B194" s="145"/>
      <c r="C194" s="8"/>
      <c r="D194" s="8"/>
      <c r="E194" s="8"/>
      <c r="F194" s="8"/>
      <c r="G194" s="8"/>
      <c r="H194" s="192"/>
      <c r="I194" s="102">
        <f>SUM(K194+M194+O194)</f>
        <v>0</v>
      </c>
      <c r="J194" s="103" t="str">
        <f>"(15)"</f>
        <v>(15)</v>
      </c>
      <c r="K194" s="97">
        <f>SUM(K189*1.2)</f>
        <v>0</v>
      </c>
      <c r="L194" s="98" t="str">
        <f>"(15)"</f>
        <v>(15)</v>
      </c>
      <c r="M194" s="102">
        <f>SUM(M189*1.22)</f>
        <v>0</v>
      </c>
      <c r="N194" s="103" t="str">
        <f>"(15)"</f>
        <v>(15)</v>
      </c>
      <c r="O194" s="102">
        <f>SUM(O189*1.22)</f>
        <v>0</v>
      </c>
      <c r="P194" s="87" t="str">
        <f>"(15)"</f>
        <v>(15)</v>
      </c>
    </row>
    <row r="195" spans="2:16" ht="18" thickBot="1" x14ac:dyDescent="0.3">
      <c r="B195" s="145"/>
      <c r="C195" s="8"/>
      <c r="D195" s="8"/>
      <c r="E195" s="8"/>
      <c r="F195" s="8"/>
      <c r="G195" s="8"/>
      <c r="H195" s="192"/>
      <c r="I195" s="102">
        <f>SUM(K195+M195+O195)</f>
        <v>0</v>
      </c>
      <c r="J195" s="103" t="str">
        <f>"(50)"</f>
        <v>(50)</v>
      </c>
      <c r="K195" s="97">
        <f>K190</f>
        <v>0</v>
      </c>
      <c r="L195" s="185" t="str">
        <f>"(50)"</f>
        <v>(50)</v>
      </c>
      <c r="M195" s="97">
        <f>M190</f>
        <v>0</v>
      </c>
      <c r="N195" s="103" t="str">
        <f>"(50)"</f>
        <v>(50)</v>
      </c>
      <c r="O195" s="102">
        <f>O190</f>
        <v>0</v>
      </c>
      <c r="P195" s="87" t="str">
        <f>"(50)"</f>
        <v>(50)</v>
      </c>
    </row>
    <row r="196" spans="2:16" ht="18" thickBot="1" x14ac:dyDescent="0.3">
      <c r="B196" s="160"/>
      <c r="C196" s="161"/>
      <c r="D196" s="161"/>
      <c r="E196" s="161"/>
      <c r="F196" s="161"/>
      <c r="G196" s="161"/>
      <c r="H196" s="193"/>
      <c r="I196" s="130">
        <f>SUM(K196+M196+O196)</f>
        <v>0</v>
      </c>
      <c r="J196" s="131" t="str">
        <f>"(55)"</f>
        <v>(55)</v>
      </c>
      <c r="K196" s="93">
        <f>SUM(K191*1.2)</f>
        <v>0</v>
      </c>
      <c r="L196" s="94" t="str">
        <f>"(55)"</f>
        <v>(55)</v>
      </c>
      <c r="M196" s="130">
        <f>SUM(M191*1.22)</f>
        <v>0</v>
      </c>
      <c r="N196" s="131" t="str">
        <f>"(55)"</f>
        <v>(55)</v>
      </c>
      <c r="O196" s="130">
        <f>SUM(O191*1.22)</f>
        <v>0</v>
      </c>
      <c r="P196" s="96" t="str">
        <f>"(55)"</f>
        <v>(55)</v>
      </c>
    </row>
    <row r="197" spans="2:16" ht="17.25" x14ac:dyDescent="0.25">
      <c r="B197" s="187" t="str">
        <f>'kuni 2025 detsember tegevuskava'!A53&amp;"/"&amp;'kuni 2025 detsember tegevuskava'!C53</f>
        <v>/</v>
      </c>
      <c r="C197" s="156">
        <f>'kuni 2025 detsember tegevuskava'!I53</f>
        <v>0</v>
      </c>
      <c r="D197" s="156">
        <f>'kuni 2025 detsember tegevuskava'!J53</f>
        <v>0</v>
      </c>
      <c r="E197" s="156">
        <f>'kuni 2025 detsember tegevuskava'!K53</f>
        <v>0</v>
      </c>
      <c r="F197" s="156" t="str">
        <f>'kuni 2025 detsember tegevuskava'!O53&amp;"/"</f>
        <v>/</v>
      </c>
      <c r="G197" s="156" t="e" cm="1">
        <f t="array" ref="G197">_xlfn.IFS('kuni 2025 detsember tegevuskava'!G53='kuni 2025 detsember tegevuskava'!$G$97,1,'kuni 2025 detsember tegevuskava'!G53='kuni 2025 detsember tegevuskava'!$G$98,2,'kuni 2025 detsember tegevuskava'!G53='kuni 2025 detsember tegevuskava'!$G$99,3,'kuni 2025 detsember tegevuskava'!G53='kuni 2025 detsember tegevuskava'!$G$100,4)</f>
        <v>#N/A</v>
      </c>
      <c r="H197" s="194" t="e" cm="1">
        <f t="array" ref="H197">_xlfn.IFS(OR('kuni 2025 detsember tegevuskava'!O53='kuni 2025 detsember tegevuskava'!$O$97,'kuni 2025 detsember tegevuskava'!O53='kuni 2025 detsember tegevuskava'!$O$99,'kuni 2025 detsember tegevuskava'!O53='kuni 2025 detsember tegevuskava'!$O$100,'kuni 2025 detsember tegevuskava'!O53='kuni 2025 detsember tegevuskava'!$O$101),1,'kuni 2025 detsember tegevuskava'!O53='kuni 2025 detsember tegevuskava'!$O$102,2,'kuni 2025 detsember tegevuskava'!O53='kuni 2025 detsember tegevuskava'!$O$103,2,'kuni 2025 detsember tegevuskava'!O53='kuni 2025 detsember tegevuskava'!$O$98,3)</f>
        <v>#N/A</v>
      </c>
      <c r="I197" s="132">
        <f>SUM(I198:I200)</f>
        <v>0</v>
      </c>
      <c r="J197" s="133"/>
      <c r="K197" s="81">
        <f>SUM(K198:K200)</f>
        <v>0</v>
      </c>
      <c r="L197" s="83"/>
      <c r="M197" s="132">
        <f>SUM(M198:M200)</f>
        <v>0</v>
      </c>
      <c r="N197" s="133"/>
      <c r="O197" s="81">
        <f>SUM(O198:O200)</f>
        <v>0</v>
      </c>
      <c r="P197" s="85"/>
    </row>
    <row r="198" spans="2:16" ht="17.25" x14ac:dyDescent="0.25">
      <c r="B198" s="145"/>
      <c r="C198" s="8"/>
      <c r="D198" s="8"/>
      <c r="E198" s="8"/>
      <c r="F198" s="8"/>
      <c r="G198" s="8"/>
      <c r="H198" s="192"/>
      <c r="I198" s="102">
        <f>SUM(K198+M198+O198)</f>
        <v>0</v>
      </c>
      <c r="J198" s="103" t="str">
        <f>"(15)"</f>
        <v>(15)</v>
      </c>
      <c r="K198" s="97">
        <f>'kuni 2025 detsember tegevuskava'!W53</f>
        <v>0</v>
      </c>
      <c r="L198" s="98" t="str">
        <f>"(15)"</f>
        <v>(15)</v>
      </c>
      <c r="M198" s="102">
        <f>'kuni 2025 detsember tegevuskava'!Z53</f>
        <v>0</v>
      </c>
      <c r="N198" s="103" t="str">
        <f>"(15)"</f>
        <v>(15)</v>
      </c>
      <c r="O198" s="97">
        <f>'kuni 2025 detsember tegevuskava'!AC53</f>
        <v>0</v>
      </c>
      <c r="P198" s="87" t="str">
        <f>"(15)"</f>
        <v>(15)</v>
      </c>
    </row>
    <row r="199" spans="2:16" ht="17.25" x14ac:dyDescent="0.25">
      <c r="B199" s="145"/>
      <c r="C199" s="8"/>
      <c r="D199" s="8"/>
      <c r="E199" s="8"/>
      <c r="F199" s="8"/>
      <c r="G199" s="8"/>
      <c r="H199" s="192"/>
      <c r="I199" s="102">
        <f>SUM(K199+M199+O199)</f>
        <v>0</v>
      </c>
      <c r="J199" s="103" t="str">
        <f>"(50)"</f>
        <v>(50)</v>
      </c>
      <c r="K199" s="97">
        <f>'kuni 2025 detsember tegevuskava'!X53</f>
        <v>0</v>
      </c>
      <c r="L199" s="98" t="str">
        <f>"(50)"</f>
        <v>(50)</v>
      </c>
      <c r="M199" s="102">
        <f>'kuni 2025 detsember tegevuskava'!AA53</f>
        <v>0</v>
      </c>
      <c r="N199" s="103" t="str">
        <f>"(50)"</f>
        <v>(50)</v>
      </c>
      <c r="O199" s="97">
        <f>'kuni 2025 detsember tegevuskava'!AD53</f>
        <v>0</v>
      </c>
      <c r="P199" s="87" t="str">
        <f>"(50)"</f>
        <v>(50)</v>
      </c>
    </row>
    <row r="200" spans="2:16" ht="17.25" x14ac:dyDescent="0.25">
      <c r="B200" s="145"/>
      <c r="C200" s="8"/>
      <c r="D200" s="8"/>
      <c r="E200" s="8"/>
      <c r="F200" s="8"/>
      <c r="G200" s="8"/>
      <c r="H200" s="192"/>
      <c r="I200" s="104">
        <f>SUM(K200+M200+O200)</f>
        <v>0</v>
      </c>
      <c r="J200" s="105" t="str">
        <f>"(55)"</f>
        <v>(55)</v>
      </c>
      <c r="K200" s="99">
        <f>'kuni 2025 detsember tegevuskava'!Y53</f>
        <v>0</v>
      </c>
      <c r="L200" s="88" t="str">
        <f>"(55)"</f>
        <v>(55)</v>
      </c>
      <c r="M200" s="104">
        <f>'kuni 2025 detsember tegevuskava'!AB53</f>
        <v>0</v>
      </c>
      <c r="N200" s="105" t="str">
        <f>"(55)"</f>
        <v>(55)</v>
      </c>
      <c r="O200" s="99">
        <f>'kuni 2025 detsember tegevuskava'!AE53</f>
        <v>0</v>
      </c>
      <c r="P200" s="90" t="str">
        <f>"(55)"</f>
        <v>(55)</v>
      </c>
    </row>
    <row r="201" spans="2:16" ht="17.25" x14ac:dyDescent="0.25">
      <c r="B201" s="145"/>
      <c r="C201" s="8"/>
      <c r="D201" s="8"/>
      <c r="E201" s="8"/>
      <c r="F201" s="8"/>
      <c r="G201" s="8"/>
      <c r="H201" s="192"/>
      <c r="I201" s="151" t="s">
        <v>298</v>
      </c>
      <c r="J201" s="8"/>
      <c r="K201" s="8"/>
      <c r="L201" s="8"/>
      <c r="M201" s="8"/>
      <c r="N201" s="8"/>
      <c r="O201" s="8"/>
      <c r="P201" s="159"/>
    </row>
    <row r="202" spans="2:16" ht="17.25" x14ac:dyDescent="0.25">
      <c r="B202" s="145"/>
      <c r="C202" s="8"/>
      <c r="D202" s="8"/>
      <c r="E202" s="8"/>
      <c r="F202" s="8"/>
      <c r="G202" s="8"/>
      <c r="H202" s="192"/>
      <c r="I202" s="100">
        <f>SUM(I203:I205)</f>
        <v>0</v>
      </c>
      <c r="J202" s="101"/>
      <c r="K202" s="91">
        <f>SUM(K203:K205)</f>
        <v>0</v>
      </c>
      <c r="L202" s="92"/>
      <c r="M202" s="100">
        <f>SUM(M203:M205)</f>
        <v>0</v>
      </c>
      <c r="N202" s="106"/>
      <c r="O202" s="100">
        <f>SUM(O203:O205)</f>
        <v>0</v>
      </c>
      <c r="P202" s="134"/>
    </row>
    <row r="203" spans="2:16" ht="17.25" x14ac:dyDescent="0.25">
      <c r="B203" s="145"/>
      <c r="C203" s="8"/>
      <c r="D203" s="8"/>
      <c r="E203" s="8"/>
      <c r="F203" s="8"/>
      <c r="G203" s="8"/>
      <c r="H203" s="192"/>
      <c r="I203" s="102">
        <f>SUM(K203+M203+O203)</f>
        <v>0</v>
      </c>
      <c r="J203" s="103" t="str">
        <f>"(15)"</f>
        <v>(15)</v>
      </c>
      <c r="K203" s="97">
        <f>SUM(K198*1.2)</f>
        <v>0</v>
      </c>
      <c r="L203" s="98" t="str">
        <f>"(15)"</f>
        <v>(15)</v>
      </c>
      <c r="M203" s="102">
        <f>SUM(M198*1.22)</f>
        <v>0</v>
      </c>
      <c r="N203" s="103" t="str">
        <f>"(15)"</f>
        <v>(15)</v>
      </c>
      <c r="O203" s="102">
        <f>SUM(O198*1.22)</f>
        <v>0</v>
      </c>
      <c r="P203" s="87" t="str">
        <f>"(15)"</f>
        <v>(15)</v>
      </c>
    </row>
    <row r="204" spans="2:16" ht="17.25" x14ac:dyDescent="0.25">
      <c r="B204" s="145"/>
      <c r="C204" s="8"/>
      <c r="D204" s="8"/>
      <c r="E204" s="8"/>
      <c r="F204" s="8"/>
      <c r="G204" s="8"/>
      <c r="H204" s="192"/>
      <c r="I204" s="102">
        <f>SUM(K204+M204+O204)</f>
        <v>0</v>
      </c>
      <c r="J204" s="103" t="str">
        <f>"(50)"</f>
        <v>(50)</v>
      </c>
      <c r="K204" s="97">
        <f>K199</f>
        <v>0</v>
      </c>
      <c r="L204" s="98" t="str">
        <f>"(50)"</f>
        <v>(50)</v>
      </c>
      <c r="M204" s="102">
        <f>M199</f>
        <v>0</v>
      </c>
      <c r="N204" s="103" t="str">
        <f>"(50)"</f>
        <v>(50)</v>
      </c>
      <c r="O204" s="102">
        <f>O199</f>
        <v>0</v>
      </c>
      <c r="P204" s="87" t="str">
        <f>"(50)"</f>
        <v>(50)</v>
      </c>
    </row>
    <row r="205" spans="2:16" ht="18" thickBot="1" x14ac:dyDescent="0.3">
      <c r="B205" s="160"/>
      <c r="C205" s="161"/>
      <c r="D205" s="161"/>
      <c r="E205" s="161"/>
      <c r="F205" s="161"/>
      <c r="G205" s="161"/>
      <c r="H205" s="193"/>
      <c r="I205" s="130">
        <f>SUM(K205+M205+O205)</f>
        <v>0</v>
      </c>
      <c r="J205" s="131" t="str">
        <f>"(55)"</f>
        <v>(55)</v>
      </c>
      <c r="K205" s="93">
        <f>SUM(K200*1.2)</f>
        <v>0</v>
      </c>
      <c r="L205" s="94" t="str">
        <f>"(55)"</f>
        <v>(55)</v>
      </c>
      <c r="M205" s="130">
        <f>SUM(M200*1.22)</f>
        <v>0</v>
      </c>
      <c r="N205" s="131" t="str">
        <f>"(55)"</f>
        <v>(55)</v>
      </c>
      <c r="O205" s="130">
        <f>SUM(O200*1.22)</f>
        <v>0</v>
      </c>
      <c r="P205" s="96" t="str">
        <f>"(55)"</f>
        <v>(55)</v>
      </c>
    </row>
    <row r="206" spans="2:16" ht="17.25" x14ac:dyDescent="0.25">
      <c r="B206" s="187" t="str">
        <f>'kuni 2025 detsember tegevuskava'!A54&amp;"/"&amp;'kuni 2025 detsember tegevuskava'!C54</f>
        <v>/</v>
      </c>
      <c r="C206" s="156">
        <f>'kuni 2025 detsember tegevuskava'!I54</f>
        <v>0</v>
      </c>
      <c r="D206" s="156">
        <f>'kuni 2025 detsember tegevuskava'!J54</f>
        <v>0</v>
      </c>
      <c r="E206" s="156">
        <f>'kuni 2025 detsember tegevuskava'!K54</f>
        <v>0</v>
      </c>
      <c r="F206" s="156" t="str">
        <f>'kuni 2025 detsember tegevuskava'!O54&amp;"/"</f>
        <v>/</v>
      </c>
      <c r="G206" s="156" t="e" cm="1">
        <f t="array" ref="G206">_xlfn.IFS('kuni 2025 detsember tegevuskava'!G54='kuni 2025 detsember tegevuskava'!$G$97,1,'kuni 2025 detsember tegevuskava'!G54='kuni 2025 detsember tegevuskava'!$G$98,2,'kuni 2025 detsember tegevuskava'!G54='kuni 2025 detsember tegevuskava'!$G$99,3,'kuni 2025 detsember tegevuskava'!G54='kuni 2025 detsember tegevuskava'!$G$100,4)</f>
        <v>#N/A</v>
      </c>
      <c r="H206" s="194" t="e" cm="1">
        <f t="array" ref="H206">_xlfn.IFS(OR('kuni 2025 detsember tegevuskava'!O54='kuni 2025 detsember tegevuskava'!$O$97,'kuni 2025 detsember tegevuskava'!O54='kuni 2025 detsember tegevuskava'!$O$99,'kuni 2025 detsember tegevuskava'!O54='kuni 2025 detsember tegevuskava'!$O$100,'kuni 2025 detsember tegevuskava'!O54='kuni 2025 detsember tegevuskava'!$O$101),1,'kuni 2025 detsember tegevuskava'!O54='kuni 2025 detsember tegevuskava'!$O$102,2,'kuni 2025 detsember tegevuskava'!O54='kuni 2025 detsember tegevuskava'!$O$103,2,'kuni 2025 detsember tegevuskava'!O54='kuni 2025 detsember tegevuskava'!$O$98,3)</f>
        <v>#N/A</v>
      </c>
      <c r="I206" s="132">
        <f>SUM(I207:I209)</f>
        <v>0</v>
      </c>
      <c r="J206" s="133"/>
      <c r="K206" s="81">
        <f>SUM(K207:K209)</f>
        <v>0</v>
      </c>
      <c r="L206" s="83"/>
      <c r="M206" s="132">
        <f>SUM(M207:M209)</f>
        <v>0</v>
      </c>
      <c r="N206" s="133"/>
      <c r="O206" s="81">
        <f>SUM(O207:O209)</f>
        <v>0</v>
      </c>
      <c r="P206" s="85"/>
    </row>
    <row r="207" spans="2:16" ht="17.25" x14ac:dyDescent="0.25">
      <c r="B207" s="145"/>
      <c r="C207" s="8"/>
      <c r="D207" s="8"/>
      <c r="E207" s="8"/>
      <c r="F207" s="8"/>
      <c r="G207" s="8"/>
      <c r="H207" s="192"/>
      <c r="I207" s="102">
        <f>SUM(K207+M207+O207)</f>
        <v>0</v>
      </c>
      <c r="J207" s="103" t="str">
        <f>"(15)"</f>
        <v>(15)</v>
      </c>
      <c r="K207" s="97">
        <f>'kuni 2025 detsember tegevuskava'!W182</f>
        <v>0</v>
      </c>
      <c r="L207" s="98" t="str">
        <f>"(15)"</f>
        <v>(15)</v>
      </c>
      <c r="M207" s="102">
        <f>'kuni 2025 detsember tegevuskava'!Z182</f>
        <v>0</v>
      </c>
      <c r="N207" s="103" t="str">
        <f>"(15)"</f>
        <v>(15)</v>
      </c>
      <c r="O207" s="97">
        <f>'kuni 2025 detsember tegevuskava'!AC182</f>
        <v>0</v>
      </c>
      <c r="P207" s="87" t="str">
        <f>"(15)"</f>
        <v>(15)</v>
      </c>
    </row>
    <row r="208" spans="2:16" ht="17.25" x14ac:dyDescent="0.25">
      <c r="B208" s="145"/>
      <c r="C208" s="8"/>
      <c r="D208" s="8"/>
      <c r="E208" s="8"/>
      <c r="F208" s="8"/>
      <c r="G208" s="8"/>
      <c r="H208" s="192"/>
      <c r="I208" s="102">
        <f>SUM(K208+M208+O208)</f>
        <v>0</v>
      </c>
      <c r="J208" s="103" t="str">
        <f>"(50)"</f>
        <v>(50)</v>
      </c>
      <c r="K208" s="97">
        <f>'kuni 2025 detsember tegevuskava'!X182</f>
        <v>0</v>
      </c>
      <c r="L208" s="98" t="str">
        <f>"(50)"</f>
        <v>(50)</v>
      </c>
      <c r="M208" s="102">
        <f>'kuni 2025 detsember tegevuskava'!AA182</f>
        <v>0</v>
      </c>
      <c r="N208" s="103" t="str">
        <f>"(50)"</f>
        <v>(50)</v>
      </c>
      <c r="O208" s="97">
        <f>'kuni 2025 detsember tegevuskava'!AD182</f>
        <v>0</v>
      </c>
      <c r="P208" s="87" t="str">
        <f>"(50)"</f>
        <v>(50)</v>
      </c>
    </row>
    <row r="209" spans="2:16" ht="17.25" x14ac:dyDescent="0.25">
      <c r="B209" s="145"/>
      <c r="C209" s="8"/>
      <c r="D209" s="8"/>
      <c r="E209" s="8"/>
      <c r="F209" s="8"/>
      <c r="G209" s="8"/>
      <c r="H209" s="192"/>
      <c r="I209" s="102">
        <f>SUM(K209+M209+O209)</f>
        <v>0</v>
      </c>
      <c r="J209" s="105" t="str">
        <f>"(55)"</f>
        <v>(55)</v>
      </c>
      <c r="K209" s="99">
        <f>'kuni 2025 detsember tegevuskava'!Y182</f>
        <v>0</v>
      </c>
      <c r="L209" s="88" t="str">
        <f>"(55)"</f>
        <v>(55)</v>
      </c>
      <c r="M209" s="104">
        <f>'kuni 2025 detsember tegevuskava'!AB182</f>
        <v>0</v>
      </c>
      <c r="N209" s="105" t="str">
        <f>"(55)"</f>
        <v>(55)</v>
      </c>
      <c r="O209" s="99">
        <f>'kuni 2025 detsember tegevuskava'!AE182</f>
        <v>0</v>
      </c>
      <c r="P209" s="90" t="str">
        <f>"(55)"</f>
        <v>(55)</v>
      </c>
    </row>
    <row r="210" spans="2:16" ht="17.25" x14ac:dyDescent="0.25">
      <c r="B210" s="145"/>
      <c r="C210" s="8"/>
      <c r="D210" s="8"/>
      <c r="E210" s="8"/>
      <c r="F210" s="8"/>
      <c r="G210" s="8"/>
      <c r="H210" s="192"/>
      <c r="I210" s="183" t="s">
        <v>298</v>
      </c>
      <c r="J210" s="8"/>
      <c r="K210" s="8"/>
      <c r="L210" s="8"/>
      <c r="M210" s="8"/>
      <c r="N210" s="8"/>
      <c r="O210" s="8"/>
      <c r="P210" s="159"/>
    </row>
    <row r="211" spans="2:16" ht="17.25" x14ac:dyDescent="0.25">
      <c r="B211" s="145"/>
      <c r="C211" s="8"/>
      <c r="D211" s="8"/>
      <c r="E211" s="8"/>
      <c r="F211" s="8"/>
      <c r="G211" s="8"/>
      <c r="H211" s="192"/>
      <c r="I211" s="179">
        <f>SUM(I212:I214)</f>
        <v>0</v>
      </c>
      <c r="J211" s="101"/>
      <c r="K211" s="91">
        <f>SUM(K212:K214)</f>
        <v>0</v>
      </c>
      <c r="L211" s="92"/>
      <c r="M211" s="100">
        <f>SUM(M212:M214)</f>
        <v>0</v>
      </c>
      <c r="N211" s="106"/>
      <c r="O211" s="100">
        <f>SUM(O212:O214)</f>
        <v>0</v>
      </c>
      <c r="P211" s="134"/>
    </row>
    <row r="212" spans="2:16" ht="17.25" x14ac:dyDescent="0.25">
      <c r="B212" s="145"/>
      <c r="C212" s="8"/>
      <c r="D212" s="8"/>
      <c r="E212" s="8"/>
      <c r="F212" s="8"/>
      <c r="G212" s="8"/>
      <c r="H212" s="192"/>
      <c r="I212" s="102">
        <f>SUM(K212+M212+O212)</f>
        <v>0</v>
      </c>
      <c r="J212" s="103" t="str">
        <f>"(15)"</f>
        <v>(15)</v>
      </c>
      <c r="K212" s="97">
        <f>SUM(K207*1.2)</f>
        <v>0</v>
      </c>
      <c r="L212" s="98" t="str">
        <f>"(15)"</f>
        <v>(15)</v>
      </c>
      <c r="M212" s="102">
        <f>SUM(M207*1.22)</f>
        <v>0</v>
      </c>
      <c r="N212" s="103" t="str">
        <f>"(15)"</f>
        <v>(15)</v>
      </c>
      <c r="O212" s="102">
        <f>SUM(O207*1.22)</f>
        <v>0</v>
      </c>
      <c r="P212" s="87" t="str">
        <f>"(15)"</f>
        <v>(15)</v>
      </c>
    </row>
    <row r="213" spans="2:16" ht="17.25" x14ac:dyDescent="0.25">
      <c r="B213" s="145"/>
      <c r="C213" s="8"/>
      <c r="D213" s="8"/>
      <c r="E213" s="8"/>
      <c r="F213" s="8"/>
      <c r="G213" s="8"/>
      <c r="H213" s="192"/>
      <c r="I213" s="102">
        <f>SUM(K213+M213+O213)</f>
        <v>0</v>
      </c>
      <c r="J213" s="103" t="str">
        <f>"(50)"</f>
        <v>(50)</v>
      </c>
      <c r="K213" s="97">
        <f>K208</f>
        <v>0</v>
      </c>
      <c r="L213" s="98" t="str">
        <f>"(50)"</f>
        <v>(50)</v>
      </c>
      <c r="M213" s="102">
        <f>M208</f>
        <v>0</v>
      </c>
      <c r="N213" s="103" t="str">
        <f>"(50)"</f>
        <v>(50)</v>
      </c>
      <c r="O213" s="102">
        <f>O208</f>
        <v>0</v>
      </c>
      <c r="P213" s="87" t="str">
        <f>"(50)"</f>
        <v>(50)</v>
      </c>
    </row>
    <row r="214" spans="2:16" ht="18" thickBot="1" x14ac:dyDescent="0.3">
      <c r="B214" s="160"/>
      <c r="C214" s="161"/>
      <c r="D214" s="161"/>
      <c r="E214" s="161"/>
      <c r="F214" s="161"/>
      <c r="G214" s="161"/>
      <c r="H214" s="193"/>
      <c r="I214" s="130">
        <f>SUM(K214+M214+O214)</f>
        <v>0</v>
      </c>
      <c r="J214" s="131" t="str">
        <f>"(55)"</f>
        <v>(55)</v>
      </c>
      <c r="K214" s="93">
        <f>SUM(K209*1.2)</f>
        <v>0</v>
      </c>
      <c r="L214" s="94" t="str">
        <f>"(55)"</f>
        <v>(55)</v>
      </c>
      <c r="M214" s="130">
        <f>SUM(M209*1.22)</f>
        <v>0</v>
      </c>
      <c r="N214" s="131" t="str">
        <f>"(55)"</f>
        <v>(55)</v>
      </c>
      <c r="O214" s="130">
        <f>SUM(O209*1.22)</f>
        <v>0</v>
      </c>
      <c r="P214" s="96" t="str">
        <f>"(55)"</f>
        <v>(55)</v>
      </c>
    </row>
    <row r="215" spans="2:16" ht="17.25" x14ac:dyDescent="0.25">
      <c r="B215" s="187" t="str">
        <f>'kuni 2025 detsember tegevuskava'!A55&amp;"/"&amp;'kuni 2025 detsember tegevuskava'!C55</f>
        <v>Regionaal- ja Põllumajandusministeerium/</v>
      </c>
      <c r="C215" s="156" t="str">
        <f>'kuni 2025 detsember tegevuskava'!I55</f>
        <v>Seadusega luuakse uus andmestik põllumajanduslike tegevustega seotud andmete töötlemiseks, milleks saab olema põllumajandusandmete varamu. Põllumajandusandmete varamu on osa põllumajandustoetuste ja põllumassiivide registrist, mille vastutav töötleja on Põllumajanduse Registrite ja Informatsiooni Amet.
Põllumajandusandmete varamusse esitatakse andmed põllumajandusliku tegevuse kohta, mille esitamise kohustus kaasneb Euroopa Liidu ühise põllumajanduspoliitika abinõus osalemisega. Samuti kantakse põllumajandusandmete varamusse vabatahtlikult esitatud andmed põllumajandusliku tegevuse kohta. Põllumajandusandmete varamu
pidamiseks õigusliku aluse loomine seaduses on muu hulgas aluseks PRIA e-teenuse keskkonnas elektroonilise põlluraamatu teenuse pakkumiseks ja sellest andmete põllumajandusandmete varamusse jõudmiseks ning vajalik põllumajanduspoliitika kujundamiseks, sh uute toetusmeetmete kavandamiseks, kestliku põllumajanduse soodustamiseks, riiklikuks statistikaks ja teadustööks.</v>
      </c>
      <c r="D215" s="156" t="str">
        <f>'kuni 2025 detsember tegevuskava'!J55</f>
        <v xml:space="preserve"> ePõlluraamatu haldamine ja arendamine</v>
      </c>
      <c r="E215" s="156" t="str">
        <f>'kuni 2025 detsember tegevuskava'!K55</f>
        <v xml:space="preserve">Põlluraamatu andemete olemasolu tõttu omavad asutused ülevaadet kogu Eestis põldudel toimuvast ning arendavad andmete baasil Eesti riigi toidujulgeoleku tagamiseks ning  roheülemineku eesmärkide täitmiseks vajalikke andmepõhiseid teadmusteenuseid. 
Seaduse rakendamiseks on vajalik arendada eelkõige PRIA IT-süsteemi ja luua kasutajatugi eteenuse kasutamise toetamiseks. E-põlluraamatu rakendamiseks tuleb luua vajalikud PRIA e-teenuse keskkonna teenused ning võimalused põllumajandusandmete varamu, PRIA e-teenuse keskkonna ja eraõigusliku andmekogu vaheliseks andmete vahetuseks. </v>
      </c>
      <c r="F215" s="156" t="str">
        <f>'kuni 2025 detsember tegevuskava'!O55&amp;"/"</f>
        <v>RES IKT (vaja juurde taotleda)/</v>
      </c>
      <c r="G215" s="156" cm="1">
        <f t="array" ref="G215">_xlfn.IFS('kuni 2025 detsember tegevuskava'!G55='kuni 2025 detsember tegevuskava'!$G$97,1,'kuni 2025 detsember tegevuskava'!G55='kuni 2025 detsember tegevuskava'!$G$98,2,'kuni 2025 detsember tegevuskava'!G55='kuni 2025 detsember tegevuskava'!$G$99,3,'kuni 2025 detsember tegevuskava'!G55='kuni 2025 detsember tegevuskava'!$G$100,4)</f>
        <v>1</v>
      </c>
      <c r="H215" s="194" cm="1">
        <f t="array" ref="H215">_xlfn.IFS(OR('kuni 2025 detsember tegevuskava'!O55='kuni 2025 detsember tegevuskava'!$O$97,'kuni 2025 detsember tegevuskava'!O55='kuni 2025 detsember tegevuskava'!$O$99,'kuni 2025 detsember tegevuskava'!O55='kuni 2025 detsember tegevuskava'!$O$100,'kuni 2025 detsember tegevuskava'!O55='kuni 2025 detsember tegevuskava'!$O$101),1,'kuni 2025 detsember tegevuskava'!O55='kuni 2025 detsember tegevuskava'!$O$102,2,'kuni 2025 detsember tegevuskava'!O55='kuni 2025 detsember tegevuskava'!$O$103,2,'kuni 2025 detsember tegevuskava'!O55='kuni 2025 detsember tegevuskava'!$O$98,3)</f>
        <v>1</v>
      </c>
      <c r="I215" s="132">
        <f>SUM(I216:I218)</f>
        <v>622500</v>
      </c>
      <c r="J215" s="133"/>
      <c r="K215" s="81">
        <f>SUM(K216:K218)</f>
        <v>0</v>
      </c>
      <c r="L215" s="83"/>
      <c r="M215" s="132">
        <f>SUM(M216:M218)</f>
        <v>0</v>
      </c>
      <c r="N215" s="133"/>
      <c r="O215" s="81">
        <f>SUM(O216:O218)</f>
        <v>622500</v>
      </c>
      <c r="P215" s="85"/>
    </row>
    <row r="216" spans="2:16" ht="17.25" x14ac:dyDescent="0.25">
      <c r="B216" s="145"/>
      <c r="C216" s="8"/>
      <c r="D216" s="8"/>
      <c r="E216" s="8"/>
      <c r="F216" s="8"/>
      <c r="G216" s="8"/>
      <c r="H216" s="192"/>
      <c r="I216" s="102">
        <f>SUM(K216+M216+O216)</f>
        <v>210000</v>
      </c>
      <c r="J216" s="103" t="str">
        <f>"(15)"</f>
        <v>(15)</v>
      </c>
      <c r="K216" s="97">
        <f>'kuni 2025 detsember tegevuskava'!W55</f>
        <v>0</v>
      </c>
      <c r="L216" s="98" t="str">
        <f>"(15)"</f>
        <v>(15)</v>
      </c>
      <c r="M216" s="102">
        <f>'kuni 2025 detsember tegevuskava'!Z55</f>
        <v>0</v>
      </c>
      <c r="N216" s="103" t="str">
        <f>"(15)"</f>
        <v>(15)</v>
      </c>
      <c r="O216" s="97">
        <f>'kuni 2025 detsember tegevuskava'!AC55</f>
        <v>210000</v>
      </c>
      <c r="P216" s="87" t="str">
        <f>"(15)"</f>
        <v>(15)</v>
      </c>
    </row>
    <row r="217" spans="2:16" ht="17.25" x14ac:dyDescent="0.25">
      <c r="B217" s="145"/>
      <c r="C217" s="8"/>
      <c r="D217" s="8"/>
      <c r="E217" s="8"/>
      <c r="F217" s="8"/>
      <c r="G217" s="8"/>
      <c r="H217" s="192"/>
      <c r="I217" s="102">
        <f>SUM(K217+M217+O217)</f>
        <v>250000</v>
      </c>
      <c r="J217" s="103" t="str">
        <f>"(50)"</f>
        <v>(50)</v>
      </c>
      <c r="K217" s="97">
        <f>'kuni 2025 detsember tegevuskava'!X55</f>
        <v>0</v>
      </c>
      <c r="L217" s="98" t="str">
        <f>"(50)"</f>
        <v>(50)</v>
      </c>
      <c r="M217" s="102">
        <f>'kuni 2025 detsember tegevuskava'!AA55</f>
        <v>0</v>
      </c>
      <c r="N217" s="103" t="str">
        <f>"(50)"</f>
        <v>(50)</v>
      </c>
      <c r="O217" s="97">
        <f>'kuni 2025 detsember tegevuskava'!AD55</f>
        <v>250000</v>
      </c>
      <c r="P217" s="87" t="str">
        <f>"(50)"</f>
        <v>(50)</v>
      </c>
    </row>
    <row r="218" spans="2:16" ht="17.25" x14ac:dyDescent="0.25">
      <c r="B218" s="145"/>
      <c r="C218" s="8"/>
      <c r="D218" s="8"/>
      <c r="E218" s="8"/>
      <c r="F218" s="8"/>
      <c r="G218" s="8"/>
      <c r="H218" s="192"/>
      <c r="I218" s="102">
        <f>SUM(K218+M218+O218)</f>
        <v>162500</v>
      </c>
      <c r="J218" s="105" t="str">
        <f>"(55)"</f>
        <v>(55)</v>
      </c>
      <c r="K218" s="99">
        <f>'kuni 2025 detsember tegevuskava'!Y55</f>
        <v>0</v>
      </c>
      <c r="L218" s="88" t="str">
        <f>"(55)"</f>
        <v>(55)</v>
      </c>
      <c r="M218" s="104">
        <f>'kuni 2025 detsember tegevuskava'!AB55</f>
        <v>0</v>
      </c>
      <c r="N218" s="105" t="str">
        <f>"(55)"</f>
        <v>(55)</v>
      </c>
      <c r="O218" s="99">
        <f>'kuni 2025 detsember tegevuskava'!AE55</f>
        <v>162500</v>
      </c>
      <c r="P218" s="90" t="str">
        <f>"(55)"</f>
        <v>(55)</v>
      </c>
    </row>
    <row r="219" spans="2:16" ht="17.25" x14ac:dyDescent="0.25">
      <c r="B219" s="145"/>
      <c r="C219" s="8"/>
      <c r="D219" s="8"/>
      <c r="E219" s="8"/>
      <c r="F219" s="8"/>
      <c r="G219" s="8"/>
      <c r="H219" s="192"/>
      <c r="I219" s="183" t="s">
        <v>298</v>
      </c>
      <c r="J219" s="8"/>
      <c r="K219" s="8"/>
      <c r="L219" s="8"/>
      <c r="M219" s="8"/>
      <c r="N219" s="8"/>
      <c r="O219" s="8"/>
      <c r="P219" s="159"/>
    </row>
    <row r="220" spans="2:16" ht="17.25" x14ac:dyDescent="0.25">
      <c r="B220" s="145"/>
      <c r="C220" s="8"/>
      <c r="D220" s="8"/>
      <c r="E220" s="8"/>
      <c r="F220" s="8"/>
      <c r="G220" s="8"/>
      <c r="H220" s="192"/>
      <c r="I220" s="179">
        <f>SUM(I221:I223)</f>
        <v>704450</v>
      </c>
      <c r="J220" s="101"/>
      <c r="K220" s="91">
        <f>SUM(K221:K223)</f>
        <v>0</v>
      </c>
      <c r="L220" s="92"/>
      <c r="M220" s="100">
        <f>SUM(M221:M223)</f>
        <v>0</v>
      </c>
      <c r="N220" s="106"/>
      <c r="O220" s="100">
        <f>SUM(O221:O223)</f>
        <v>704450</v>
      </c>
      <c r="P220" s="134"/>
    </row>
    <row r="221" spans="2:16" ht="17.25" x14ac:dyDescent="0.25">
      <c r="B221" s="145"/>
      <c r="C221" s="8"/>
      <c r="D221" s="8"/>
      <c r="E221" s="8"/>
      <c r="F221" s="8"/>
      <c r="G221" s="8"/>
      <c r="H221" s="192"/>
      <c r="I221" s="102">
        <f>SUM(K221+M221+O221)</f>
        <v>256200</v>
      </c>
      <c r="J221" s="103" t="str">
        <f>"(15)"</f>
        <v>(15)</v>
      </c>
      <c r="K221" s="97">
        <f>SUM(K216*1.2)</f>
        <v>0</v>
      </c>
      <c r="L221" s="98" t="str">
        <f>"(15)"</f>
        <v>(15)</v>
      </c>
      <c r="M221" s="102">
        <f>SUM(M216*1.22)</f>
        <v>0</v>
      </c>
      <c r="N221" s="103" t="str">
        <f>"(15)"</f>
        <v>(15)</v>
      </c>
      <c r="O221" s="102">
        <f>SUM(O216*1.22)</f>
        <v>256200</v>
      </c>
      <c r="P221" s="87" t="str">
        <f>"(15)"</f>
        <v>(15)</v>
      </c>
    </row>
    <row r="222" spans="2:16" ht="17.25" x14ac:dyDescent="0.25">
      <c r="B222" s="145"/>
      <c r="C222" s="8"/>
      <c r="D222" s="8"/>
      <c r="E222" s="8"/>
      <c r="F222" s="8"/>
      <c r="G222" s="8"/>
      <c r="H222" s="192"/>
      <c r="I222" s="102">
        <f>SUM(K222+M222+O222)</f>
        <v>250000</v>
      </c>
      <c r="J222" s="103" t="str">
        <f>"(50)"</f>
        <v>(50)</v>
      </c>
      <c r="K222" s="97">
        <f>K217</f>
        <v>0</v>
      </c>
      <c r="L222" s="98" t="str">
        <f>"(50)"</f>
        <v>(50)</v>
      </c>
      <c r="M222" s="102">
        <f>M217</f>
        <v>0</v>
      </c>
      <c r="N222" s="103" t="str">
        <f>"(50)"</f>
        <v>(50)</v>
      </c>
      <c r="O222" s="102">
        <f>O217</f>
        <v>250000</v>
      </c>
      <c r="P222" s="87" t="str">
        <f>"(50)"</f>
        <v>(50)</v>
      </c>
    </row>
    <row r="223" spans="2:16" ht="18" thickBot="1" x14ac:dyDescent="0.3">
      <c r="B223" s="160"/>
      <c r="C223" s="161"/>
      <c r="D223" s="161"/>
      <c r="E223" s="161"/>
      <c r="F223" s="161"/>
      <c r="G223" s="161"/>
      <c r="H223" s="193"/>
      <c r="I223" s="130">
        <f>SUM(K223+M223+O223)</f>
        <v>198250</v>
      </c>
      <c r="J223" s="131" t="str">
        <f>"(55)"</f>
        <v>(55)</v>
      </c>
      <c r="K223" s="93">
        <f>SUM(K218*1.2)</f>
        <v>0</v>
      </c>
      <c r="L223" s="94" t="str">
        <f>"(55)"</f>
        <v>(55)</v>
      </c>
      <c r="M223" s="130">
        <f>SUM(M218*1.22)</f>
        <v>0</v>
      </c>
      <c r="N223" s="131" t="str">
        <f>"(55)"</f>
        <v>(55)</v>
      </c>
      <c r="O223" s="130">
        <f>SUM(O218*1.22)</f>
        <v>198250</v>
      </c>
      <c r="P223" s="96" t="str">
        <f>"(55)"</f>
        <v>(55)</v>
      </c>
    </row>
    <row r="224" spans="2:16" ht="17.25" x14ac:dyDescent="0.25">
      <c r="B224" s="145" t="str">
        <f>'kuni 2025 detsember tegevuskava'!A56&amp;"/"&amp;'kuni 2025 detsember tegevuskava'!C56</f>
        <v>Regionaal- ja Põllumajandusministeerium/</v>
      </c>
      <c r="C224" s="8" t="str">
        <f>'kuni 2025 detsember tegevuskava'!I56</f>
        <v>ePõlluraamatu arenduseks värvati vastavate kompetentsidega meeskond, 2023.aasta vahendid on olemas MAK TA vahenditest</v>
      </c>
      <c r="D224" s="8" t="str">
        <f>'kuni 2025 detsember tegevuskava'!J56</f>
        <v>ePõlluraamatu  arendamise personalikulud - olemasolev rahastus</v>
      </c>
      <c r="E224" s="8" t="str">
        <f>'kuni 2025 detsember tegevuskava'!K56</f>
        <v>ePõlluraamat loodud seadusandluses toodud nõuete täitmise funktsionaalsuse ulatuses</v>
      </c>
      <c r="F224" s="8" t="str">
        <f>'kuni 2025 detsember tegevuskava'!O56&amp;"/"</f>
        <v>Muu rahastus/</v>
      </c>
      <c r="G224" s="8" cm="1">
        <f t="array" ref="G224">_xlfn.IFS('kuni 2025 detsember tegevuskava'!G56='kuni 2025 detsember tegevuskava'!$G$97,1,'kuni 2025 detsember tegevuskava'!G56='kuni 2025 detsember tegevuskava'!$G$98,2,'kuni 2025 detsember tegevuskava'!G56='kuni 2025 detsember tegevuskava'!$G$99,3,'kuni 2025 detsember tegevuskava'!G56='kuni 2025 detsember tegevuskava'!$G$100,4)</f>
        <v>1</v>
      </c>
      <c r="H224" s="192" cm="1">
        <f t="array" ref="H224">_xlfn.IFS(OR('kuni 2025 detsember tegevuskava'!O56='kuni 2025 detsember tegevuskava'!$O$97,'kuni 2025 detsember tegevuskava'!O56='kuni 2025 detsember tegevuskava'!$O$99,'kuni 2025 detsember tegevuskava'!O56='kuni 2025 detsember tegevuskava'!$O$100,'kuni 2025 detsember tegevuskava'!O56='kuni 2025 detsember tegevuskava'!$O$101),1,'kuni 2025 detsember tegevuskava'!O56='kuni 2025 detsember tegevuskava'!$O$102,2,'kuni 2025 detsember tegevuskava'!O56='kuni 2025 detsember tegevuskava'!$O$103,2,'kuni 2025 detsember tegevuskava'!O56='kuni 2025 detsember tegevuskava'!$O$98,3)</f>
        <v>3</v>
      </c>
      <c r="I224" s="179">
        <f>SUM(I225:I227)</f>
        <v>85000</v>
      </c>
      <c r="J224" s="103"/>
      <c r="K224" s="172">
        <f>SUM(K225:K227)</f>
        <v>85000</v>
      </c>
      <c r="L224" s="184"/>
      <c r="M224" s="179">
        <f>SUM(M225:M227)</f>
        <v>0</v>
      </c>
      <c r="N224" s="103"/>
      <c r="O224" s="172">
        <f>SUM(O225:O227)</f>
        <v>0</v>
      </c>
      <c r="P224" s="87"/>
    </row>
    <row r="225" spans="2:16" ht="17.25" x14ac:dyDescent="0.25">
      <c r="B225" s="145"/>
      <c r="C225" s="8"/>
      <c r="D225" s="8"/>
      <c r="E225" s="8"/>
      <c r="F225" s="8"/>
      <c r="G225" s="8"/>
      <c r="H225" s="192"/>
      <c r="I225" s="102">
        <f>SUM(K225+M225+O225)</f>
        <v>0</v>
      </c>
      <c r="J225" s="103" t="str">
        <f>"(15)"</f>
        <v>(15)</v>
      </c>
      <c r="K225" s="97">
        <f>'kuni 2025 detsember tegevuskava'!W56</f>
        <v>0</v>
      </c>
      <c r="L225" s="98" t="str">
        <f>"(15)"</f>
        <v>(15)</v>
      </c>
      <c r="M225" s="102">
        <f>'kuni 2025 detsember tegevuskava'!Z56</f>
        <v>0</v>
      </c>
      <c r="N225" s="103" t="str">
        <f>"(15)"</f>
        <v>(15)</v>
      </c>
      <c r="O225" s="97">
        <f>'kuni 2025 detsember tegevuskava'!AC56</f>
        <v>0</v>
      </c>
      <c r="P225" s="87" t="str">
        <f>"(15)"</f>
        <v>(15)</v>
      </c>
    </row>
    <row r="226" spans="2:16" ht="17.25" x14ac:dyDescent="0.25">
      <c r="B226" s="145"/>
      <c r="C226" s="8"/>
      <c r="D226" s="8"/>
      <c r="E226" s="8"/>
      <c r="F226" s="8"/>
      <c r="G226" s="8"/>
      <c r="H226" s="192"/>
      <c r="I226" s="102">
        <f>SUM(K226+M226+O226)</f>
        <v>85000</v>
      </c>
      <c r="J226" s="103" t="str">
        <f>"(50)"</f>
        <v>(50)</v>
      </c>
      <c r="K226" s="97">
        <f>'kuni 2025 detsember tegevuskava'!X56</f>
        <v>85000</v>
      </c>
      <c r="L226" s="98" t="str">
        <f>"(50)"</f>
        <v>(50)</v>
      </c>
      <c r="M226" s="102">
        <f>'kuni 2025 detsember tegevuskava'!AA56</f>
        <v>0</v>
      </c>
      <c r="N226" s="103" t="str">
        <f>"(50)"</f>
        <v>(50)</v>
      </c>
      <c r="O226" s="97">
        <f>'kuni 2025 detsember tegevuskava'!AD56</f>
        <v>0</v>
      </c>
      <c r="P226" s="87" t="str">
        <f>"(50)"</f>
        <v>(50)</v>
      </c>
    </row>
    <row r="227" spans="2:16" ht="17.25" x14ac:dyDescent="0.25">
      <c r="B227" s="145"/>
      <c r="C227" s="8"/>
      <c r="D227" s="8"/>
      <c r="E227" s="8"/>
      <c r="F227" s="8"/>
      <c r="G227" s="8"/>
      <c r="H227" s="192"/>
      <c r="I227" s="104">
        <f>SUM(K227+M227+O227)</f>
        <v>0</v>
      </c>
      <c r="J227" s="105" t="str">
        <f>"(55)"</f>
        <v>(55)</v>
      </c>
      <c r="K227" s="99">
        <f>'kuni 2025 detsember tegevuskava'!Y56</f>
        <v>0</v>
      </c>
      <c r="L227" s="88" t="str">
        <f>"(55)"</f>
        <v>(55)</v>
      </c>
      <c r="M227" s="104">
        <f>'kuni 2025 detsember tegevuskava'!AB56</f>
        <v>0</v>
      </c>
      <c r="N227" s="105" t="str">
        <f>"(55)"</f>
        <v>(55)</v>
      </c>
      <c r="O227" s="99">
        <f>'kuni 2025 detsember tegevuskava'!AE56</f>
        <v>0</v>
      </c>
      <c r="P227" s="90" t="str">
        <f>"(55)"</f>
        <v>(55)</v>
      </c>
    </row>
    <row r="228" spans="2:16" ht="17.25" x14ac:dyDescent="0.25">
      <c r="B228" s="145"/>
      <c r="C228" s="8"/>
      <c r="D228" s="8"/>
      <c r="E228" s="8"/>
      <c r="F228" s="8"/>
      <c r="G228" s="8"/>
      <c r="H228" s="192"/>
      <c r="I228" s="183" t="s">
        <v>298</v>
      </c>
      <c r="J228" s="8"/>
      <c r="K228" s="8"/>
      <c r="L228" s="8"/>
      <c r="M228" s="8"/>
      <c r="N228" s="8"/>
      <c r="O228" s="8"/>
      <c r="P228" s="159"/>
    </row>
    <row r="229" spans="2:16" ht="17.25" x14ac:dyDescent="0.25">
      <c r="B229" s="145"/>
      <c r="C229" s="8"/>
      <c r="D229" s="8"/>
      <c r="E229" s="8"/>
      <c r="F229" s="8"/>
      <c r="G229" s="8"/>
      <c r="H229" s="192"/>
      <c r="I229" s="100">
        <f>SUM(I230:I232)</f>
        <v>85000</v>
      </c>
      <c r="J229" s="101"/>
      <c r="K229" s="91">
        <f>SUM(K230:K232)</f>
        <v>85000</v>
      </c>
      <c r="L229" s="92"/>
      <c r="M229" s="100">
        <f>SUM(M230:M232)</f>
        <v>0</v>
      </c>
      <c r="N229" s="106"/>
      <c r="O229" s="100">
        <f>SUM(O230:O232)</f>
        <v>0</v>
      </c>
      <c r="P229" s="134"/>
    </row>
    <row r="230" spans="2:16" ht="17.25" x14ac:dyDescent="0.25">
      <c r="B230" s="145"/>
      <c r="C230" s="8"/>
      <c r="D230" s="8"/>
      <c r="E230" s="8"/>
      <c r="F230" s="8"/>
      <c r="G230" s="8"/>
      <c r="H230" s="192"/>
      <c r="I230" s="102">
        <f>SUM(K230+M230+O230)</f>
        <v>0</v>
      </c>
      <c r="J230" s="103" t="str">
        <f>"(15)"</f>
        <v>(15)</v>
      </c>
      <c r="K230" s="97">
        <f>SUM(K225*1.2)</f>
        <v>0</v>
      </c>
      <c r="L230" s="98" t="str">
        <f>"(15)"</f>
        <v>(15)</v>
      </c>
      <c r="M230" s="102">
        <f>SUM(M225*1.22)</f>
        <v>0</v>
      </c>
      <c r="N230" s="103" t="str">
        <f>"(15)"</f>
        <v>(15)</v>
      </c>
      <c r="O230" s="102">
        <f>SUM(O225*1.22)</f>
        <v>0</v>
      </c>
      <c r="P230" s="87" t="str">
        <f>"(15)"</f>
        <v>(15)</v>
      </c>
    </row>
    <row r="231" spans="2:16" ht="17.25" x14ac:dyDescent="0.25">
      <c r="B231" s="145"/>
      <c r="C231" s="8"/>
      <c r="D231" s="8"/>
      <c r="E231" s="8"/>
      <c r="F231" s="8"/>
      <c r="G231" s="8"/>
      <c r="H231" s="192"/>
      <c r="I231" s="102">
        <f>SUM(K231+M231+O231)</f>
        <v>85000</v>
      </c>
      <c r="J231" s="103" t="str">
        <f>"(50)"</f>
        <v>(50)</v>
      </c>
      <c r="K231" s="97">
        <f>K226</f>
        <v>85000</v>
      </c>
      <c r="L231" s="98" t="str">
        <f>"(50)"</f>
        <v>(50)</v>
      </c>
      <c r="M231" s="102">
        <f>M226</f>
        <v>0</v>
      </c>
      <c r="N231" s="103" t="str">
        <f>"(50)"</f>
        <v>(50)</v>
      </c>
      <c r="O231" s="102">
        <f>O226</f>
        <v>0</v>
      </c>
      <c r="P231" s="87" t="str">
        <f>"(50)"</f>
        <v>(50)</v>
      </c>
    </row>
    <row r="232" spans="2:16" ht="18" thickBot="1" x14ac:dyDescent="0.3">
      <c r="B232" s="145"/>
      <c r="C232" s="8"/>
      <c r="D232" s="8"/>
      <c r="E232" s="8"/>
      <c r="F232" s="8"/>
      <c r="G232" s="8"/>
      <c r="H232" s="192"/>
      <c r="I232" s="102">
        <f>SUM(K232+M232+O232)</f>
        <v>0</v>
      </c>
      <c r="J232" s="103" t="str">
        <f>"(55)"</f>
        <v>(55)</v>
      </c>
      <c r="K232" s="97">
        <f>SUM(K227*1.2)</f>
        <v>0</v>
      </c>
      <c r="L232" s="98" t="str">
        <f>"(55)"</f>
        <v>(55)</v>
      </c>
      <c r="M232" s="102">
        <f>SUM(M227*1.22)</f>
        <v>0</v>
      </c>
      <c r="N232" s="103" t="str">
        <f>"(55)"</f>
        <v>(55)</v>
      </c>
      <c r="O232" s="102">
        <f>SUM(O227*1.22)</f>
        <v>0</v>
      </c>
      <c r="P232" s="87" t="str">
        <f>"(55)"</f>
        <v>(55)</v>
      </c>
    </row>
    <row r="233" spans="2:16" ht="17.25" x14ac:dyDescent="0.25">
      <c r="B233" s="187" t="str">
        <f>'kuni 2025 detsember tegevuskava'!A57&amp;"/"&amp;'kuni 2025 detsember tegevuskava'!C57</f>
        <v>Regionaal- ja Põllumajandusministeerium/</v>
      </c>
      <c r="C233" s="156" t="str">
        <f>'kuni 2025 detsember tegevuskava'!I57</f>
        <v xml:space="preserve">Maavärava projekti eelanalüüsi läbi viimiseks on personalikulud kaetud 2023 a lõpuni, kuid alates 2024 on arendustegevuseks vajalikud personalikulud katmata. </v>
      </c>
      <c r="D233" s="156" t="str">
        <f>'kuni 2025 detsember tegevuskava'!J57</f>
        <v>Maavärava projekti personalikulud</v>
      </c>
      <c r="E233" s="156" t="str">
        <f>'kuni 2025 detsember tegevuskava'!K57</f>
        <v>On loodud valitsemiala ülene kliendiportaal, mille kaudu jõuavad klientideni vajalikud teenused. Konkreetsed värbamised toodud lehel "Personal".</v>
      </c>
      <c r="F233" s="156" t="str">
        <f>'kuni 2025 detsember tegevuskava'!O57&amp;"/"</f>
        <v>RES IKT (vaja juurde taotleda)/</v>
      </c>
      <c r="G233" s="156" cm="1">
        <f t="array" ref="G233">_xlfn.IFS('kuni 2025 detsember tegevuskava'!G57='kuni 2025 detsember tegevuskava'!$G$97,1,'kuni 2025 detsember tegevuskava'!G57='kuni 2025 detsember tegevuskava'!$G$98,2,'kuni 2025 detsember tegevuskava'!G57='kuni 2025 detsember tegevuskava'!$G$99,3,'kuni 2025 detsember tegevuskava'!G57='kuni 2025 detsember tegevuskava'!$G$100,4)</f>
        <v>1</v>
      </c>
      <c r="H233" s="194" cm="1">
        <f t="array" ref="H233">_xlfn.IFS(OR('kuni 2025 detsember tegevuskava'!O57='kuni 2025 detsember tegevuskava'!$O$97,'kuni 2025 detsember tegevuskava'!O57='kuni 2025 detsember tegevuskava'!$O$99,'kuni 2025 detsember tegevuskava'!O57='kuni 2025 detsember tegevuskava'!$O$100,'kuni 2025 detsember tegevuskava'!O57='kuni 2025 detsember tegevuskava'!$O$101),1,'kuni 2025 detsember tegevuskava'!O57='kuni 2025 detsember tegevuskava'!$O$102,2,'kuni 2025 detsember tegevuskava'!O57='kuni 2025 detsember tegevuskava'!$O$103,2,'kuni 2025 detsember tegevuskava'!O57='kuni 2025 detsember tegevuskava'!$O$98,3)</f>
        <v>1</v>
      </c>
      <c r="I233" s="132">
        <f>SUM(I234:I236)</f>
        <v>434000</v>
      </c>
      <c r="J233" s="133"/>
      <c r="K233" s="81">
        <f>SUM(K234:K236)</f>
        <v>0</v>
      </c>
      <c r="L233" s="83"/>
      <c r="M233" s="132">
        <f>SUM(M234:M236)</f>
        <v>0</v>
      </c>
      <c r="N233" s="133"/>
      <c r="O233" s="81">
        <f>SUM(O234:O236)</f>
        <v>0</v>
      </c>
      <c r="P233" s="85"/>
    </row>
    <row r="234" spans="2:16" ht="17.25" x14ac:dyDescent="0.25">
      <c r="B234" s="145"/>
      <c r="C234" s="8"/>
      <c r="D234" s="8"/>
      <c r="E234" s="8"/>
      <c r="F234" s="8"/>
      <c r="G234" s="8"/>
      <c r="H234" s="192"/>
      <c r="I234" s="102">
        <f>SUM(K234+M234+O234)</f>
        <v>0</v>
      </c>
      <c r="J234" s="103" t="str">
        <f>"(15)"</f>
        <v>(15)</v>
      </c>
      <c r="K234" s="97">
        <f>'kuni 2025 detsember tegevuskava'!W57</f>
        <v>0</v>
      </c>
      <c r="L234" s="98" t="str">
        <f>"(15)"</f>
        <v>(15)</v>
      </c>
      <c r="M234" s="102">
        <f>'kuni 2025 detsember tegevuskava'!Z57</f>
        <v>0</v>
      </c>
      <c r="N234" s="103" t="str">
        <f>"(15)"</f>
        <v>(15)</v>
      </c>
      <c r="O234" s="97">
        <f>'kuni 2025 detsember tegevuskava'!AC57</f>
        <v>0</v>
      </c>
      <c r="P234" s="87" t="str">
        <f>"(15)"</f>
        <v>(15)</v>
      </c>
    </row>
    <row r="235" spans="2:16" ht="17.25" x14ac:dyDescent="0.25">
      <c r="B235" s="145"/>
      <c r="C235" s="8"/>
      <c r="D235" s="8"/>
      <c r="E235" s="8"/>
      <c r="F235" s="8"/>
      <c r="G235" s="8"/>
      <c r="H235" s="192"/>
      <c r="I235" s="102">
        <f>SUM(K235+M235+O235)</f>
        <v>434000</v>
      </c>
      <c r="J235" s="103" t="str">
        <f>"(50)"</f>
        <v>(50)</v>
      </c>
      <c r="K235" s="97">
        <f>'kuni 2025 detsember tegevuskava'!X57</f>
        <v>0</v>
      </c>
      <c r="L235" s="98" t="str">
        <f>"(50)"</f>
        <v>(50)</v>
      </c>
      <c r="M235" s="102" t="str">
        <f>'kuni 2025 detsember tegevuskava'!AA57</f>
        <v>217000</v>
      </c>
      <c r="N235" s="103" t="str">
        <f>"(50)"</f>
        <v>(50)</v>
      </c>
      <c r="O235" s="97" t="str">
        <f>'kuni 2025 detsember tegevuskava'!AD57</f>
        <v>217000</v>
      </c>
      <c r="P235" s="87" t="str">
        <f>"(50)"</f>
        <v>(50)</v>
      </c>
    </row>
    <row r="236" spans="2:16" ht="17.25" x14ac:dyDescent="0.25">
      <c r="B236" s="145"/>
      <c r="C236" s="8"/>
      <c r="D236" s="8"/>
      <c r="E236" s="8"/>
      <c r="F236" s="8"/>
      <c r="G236" s="8"/>
      <c r="H236" s="192"/>
      <c r="I236" s="102">
        <f>SUM(K236+M236+O236)</f>
        <v>0</v>
      </c>
      <c r="J236" s="105" t="str">
        <f>"(55)"</f>
        <v>(55)</v>
      </c>
      <c r="K236" s="99">
        <f>'kuni 2025 detsember tegevuskava'!Y57</f>
        <v>0</v>
      </c>
      <c r="L236" s="88" t="str">
        <f>"(55)"</f>
        <v>(55)</v>
      </c>
      <c r="M236" s="104">
        <f>'kuni 2025 detsember tegevuskava'!AB57</f>
        <v>0</v>
      </c>
      <c r="N236" s="105" t="str">
        <f>"(55)"</f>
        <v>(55)</v>
      </c>
      <c r="O236" s="99">
        <f>'kuni 2025 detsember tegevuskava'!AE57</f>
        <v>0</v>
      </c>
      <c r="P236" s="90" t="str">
        <f>"(55)"</f>
        <v>(55)</v>
      </c>
    </row>
    <row r="237" spans="2:16" ht="17.25" x14ac:dyDescent="0.25">
      <c r="B237" s="145"/>
      <c r="C237" s="8"/>
      <c r="D237" s="8"/>
      <c r="E237" s="8"/>
      <c r="F237" s="8"/>
      <c r="G237" s="8"/>
      <c r="H237" s="192"/>
      <c r="I237" s="183" t="s">
        <v>298</v>
      </c>
      <c r="J237" s="8"/>
      <c r="K237" s="8"/>
      <c r="L237" s="8"/>
      <c r="M237" s="8"/>
      <c r="N237" s="8"/>
      <c r="O237" s="8"/>
      <c r="P237" s="159"/>
    </row>
    <row r="238" spans="2:16" ht="17.25" x14ac:dyDescent="0.25">
      <c r="B238" s="145"/>
      <c r="C238" s="8"/>
      <c r="D238" s="8"/>
      <c r="E238" s="8"/>
      <c r="F238" s="8"/>
      <c r="G238" s="8"/>
      <c r="H238" s="192"/>
      <c r="I238" s="179">
        <f>SUM(I239:I241)</f>
        <v>434000</v>
      </c>
      <c r="J238" s="101"/>
      <c r="K238" s="91">
        <f>SUM(K239:K241)</f>
        <v>0</v>
      </c>
      <c r="L238" s="92"/>
      <c r="M238" s="100">
        <f>SUM(M239:M241)</f>
        <v>0</v>
      </c>
      <c r="N238" s="106"/>
      <c r="O238" s="100">
        <f>SUM(O239:O241)</f>
        <v>0</v>
      </c>
      <c r="P238" s="134"/>
    </row>
    <row r="239" spans="2:16" ht="17.25" x14ac:dyDescent="0.25">
      <c r="B239" s="145"/>
      <c r="C239" s="8"/>
      <c r="D239" s="8"/>
      <c r="E239" s="8"/>
      <c r="F239" s="8"/>
      <c r="G239" s="8"/>
      <c r="H239" s="192"/>
      <c r="I239" s="102">
        <f>SUM(K239+M239+O239)</f>
        <v>0</v>
      </c>
      <c r="J239" s="103" t="str">
        <f>"(15)"</f>
        <v>(15)</v>
      </c>
      <c r="K239" s="97">
        <f>SUM(K234*1.2)</f>
        <v>0</v>
      </c>
      <c r="L239" s="98" t="str">
        <f>"(15)"</f>
        <v>(15)</v>
      </c>
      <c r="M239" s="102">
        <f>SUM(M234*1.22)</f>
        <v>0</v>
      </c>
      <c r="N239" s="103" t="str">
        <f>"(15)"</f>
        <v>(15)</v>
      </c>
      <c r="O239" s="102">
        <f>SUM(O234*1.22)</f>
        <v>0</v>
      </c>
      <c r="P239" s="87" t="str">
        <f>"(15)"</f>
        <v>(15)</v>
      </c>
    </row>
    <row r="240" spans="2:16" ht="17.25" x14ac:dyDescent="0.25">
      <c r="B240" s="145"/>
      <c r="C240" s="8"/>
      <c r="D240" s="8"/>
      <c r="E240" s="8"/>
      <c r="F240" s="8"/>
      <c r="G240" s="8"/>
      <c r="H240" s="192"/>
      <c r="I240" s="102">
        <f>SUM(K240+M240+O240)</f>
        <v>434000</v>
      </c>
      <c r="J240" s="103" t="str">
        <f>"(50)"</f>
        <v>(50)</v>
      </c>
      <c r="K240" s="97">
        <f>K235</f>
        <v>0</v>
      </c>
      <c r="L240" s="98" t="str">
        <f>"(50)"</f>
        <v>(50)</v>
      </c>
      <c r="M240" s="102" t="str">
        <f>M235</f>
        <v>217000</v>
      </c>
      <c r="N240" s="103" t="str">
        <f>"(50)"</f>
        <v>(50)</v>
      </c>
      <c r="O240" s="102" t="str">
        <f>O235</f>
        <v>217000</v>
      </c>
      <c r="P240" s="87" t="str">
        <f>"(50)"</f>
        <v>(50)</v>
      </c>
    </row>
    <row r="241" spans="2:16" ht="18" thickBot="1" x14ac:dyDescent="0.3">
      <c r="B241" s="160"/>
      <c r="C241" s="161"/>
      <c r="D241" s="161"/>
      <c r="E241" s="161"/>
      <c r="F241" s="161"/>
      <c r="G241" s="161"/>
      <c r="H241" s="193"/>
      <c r="I241" s="130">
        <f>SUM(K241+M241+O241)</f>
        <v>0</v>
      </c>
      <c r="J241" s="131" t="str">
        <f>"(55)"</f>
        <v>(55)</v>
      </c>
      <c r="K241" s="93">
        <f>SUM(K236*1.2)</f>
        <v>0</v>
      </c>
      <c r="L241" s="94" t="str">
        <f>"(55)"</f>
        <v>(55)</v>
      </c>
      <c r="M241" s="130">
        <f>SUM(M236*1.22)</f>
        <v>0</v>
      </c>
      <c r="N241" s="131" t="str">
        <f>"(55)"</f>
        <v>(55)</v>
      </c>
      <c r="O241" s="130">
        <f>SUM(O236*1.22)</f>
        <v>0</v>
      </c>
      <c r="P241" s="96" t="str">
        <f>"(55)"</f>
        <v>(55)</v>
      </c>
    </row>
    <row r="242" spans="2:16" ht="17.25" x14ac:dyDescent="0.25">
      <c r="B242" s="187" t="str">
        <f>'kuni 2025 detsember tegevuskava'!A58&amp;"/"&amp;'kuni 2025 detsember tegevuskava'!C58</f>
        <v>Regionaal- ja Põllumajandusministeerium/</v>
      </c>
      <c r="C242" s="156" t="str">
        <f>'kuni 2025 detsember tegevuskava'!I58</f>
        <v>PRIA poolne olemasolev meeskond, baasrahastusest 2023.aastal</v>
      </c>
      <c r="D242" s="156" t="str">
        <f>'kuni 2025 detsember tegevuskava'!J58</f>
        <v>Maavärava projekti personalikulud, 2023.aasta baasrahastus</v>
      </c>
      <c r="E242" s="156" t="str">
        <f>'kuni 2025 detsember tegevuskava'!K58</f>
        <v>Valmis on maavärava anaüüs, mis on oluliseks sisendiks arendusprojekti elluviimiseks</v>
      </c>
      <c r="F242" s="156" t="str">
        <f>'kuni 2025 detsember tegevuskava'!O58&amp;"/"</f>
        <v>Baaseelarve/</v>
      </c>
      <c r="G242" s="156" cm="1">
        <f t="array" ref="G242">_xlfn.IFS('kuni 2025 detsember tegevuskava'!G58='kuni 2025 detsember tegevuskava'!$G$97,1,'kuni 2025 detsember tegevuskava'!G58='kuni 2025 detsember tegevuskava'!$G$98,2,'kuni 2025 detsember tegevuskava'!G58='kuni 2025 detsember tegevuskava'!$G$99,3,'kuni 2025 detsember tegevuskava'!G58='kuni 2025 detsember tegevuskava'!$G$100,4)</f>
        <v>1</v>
      </c>
      <c r="H242" s="194" cm="1">
        <f t="array" ref="H242">_xlfn.IFS(OR('kuni 2025 detsember tegevuskava'!O58='kuni 2025 detsember tegevuskava'!$O$97,'kuni 2025 detsember tegevuskava'!O58='kuni 2025 detsember tegevuskava'!$O$99,'kuni 2025 detsember tegevuskava'!O58='kuni 2025 detsember tegevuskava'!$O$100,'kuni 2025 detsember tegevuskava'!O58='kuni 2025 detsember tegevuskava'!$O$101),1,'kuni 2025 detsember tegevuskava'!O58='kuni 2025 detsember tegevuskava'!$O$102,2,'kuni 2025 detsember tegevuskava'!O58='kuni 2025 detsember tegevuskava'!$O$103,2,'kuni 2025 detsember tegevuskava'!O58='kuni 2025 detsember tegevuskava'!$O$98,3)</f>
        <v>1</v>
      </c>
      <c r="I242" s="132">
        <f>SUM(I243:I245)</f>
        <v>45000</v>
      </c>
      <c r="J242" s="133"/>
      <c r="K242" s="81">
        <f>SUM(K243:K245)</f>
        <v>0</v>
      </c>
      <c r="L242" s="83"/>
      <c r="M242" s="132">
        <f>SUM(M243:M245)</f>
        <v>0</v>
      </c>
      <c r="N242" s="133"/>
      <c r="O242" s="81">
        <f>SUM(O243:O245)</f>
        <v>0</v>
      </c>
      <c r="P242" s="85"/>
    </row>
    <row r="243" spans="2:16" ht="17.25" x14ac:dyDescent="0.25">
      <c r="B243" s="145"/>
      <c r="C243" s="8"/>
      <c r="D243" s="8"/>
      <c r="E243" s="8"/>
      <c r="F243" s="8"/>
      <c r="G243" s="8"/>
      <c r="H243" s="192"/>
      <c r="I243" s="102">
        <f>SUM(K243+M243+O243)</f>
        <v>0</v>
      </c>
      <c r="J243" s="103" t="str">
        <f>"(15)"</f>
        <v>(15)</v>
      </c>
      <c r="K243" s="97">
        <f>'kuni 2025 detsember tegevuskava'!W58</f>
        <v>0</v>
      </c>
      <c r="L243" s="98" t="str">
        <f>"(15)"</f>
        <v>(15)</v>
      </c>
      <c r="M243" s="102">
        <f>'kuni 2025 detsember tegevuskava'!Z58</f>
        <v>0</v>
      </c>
      <c r="N243" s="103" t="str">
        <f>"(15)"</f>
        <v>(15)</v>
      </c>
      <c r="O243" s="97">
        <f>'kuni 2025 detsember tegevuskava'!AC58</f>
        <v>0</v>
      </c>
      <c r="P243" s="87" t="str">
        <f>"(15)"</f>
        <v>(15)</v>
      </c>
    </row>
    <row r="244" spans="2:16" ht="17.25" x14ac:dyDescent="0.25">
      <c r="B244" s="145"/>
      <c r="C244" s="8"/>
      <c r="D244" s="8"/>
      <c r="E244" s="8"/>
      <c r="F244" s="8"/>
      <c r="G244" s="8"/>
      <c r="H244" s="192"/>
      <c r="I244" s="102">
        <f>SUM(K244+M244+O244)</f>
        <v>45000</v>
      </c>
      <c r="J244" s="103" t="str">
        <f>"(50)"</f>
        <v>(50)</v>
      </c>
      <c r="K244" s="97" t="str">
        <f>'kuni 2025 detsember tegevuskava'!X58</f>
        <v>45000</v>
      </c>
      <c r="L244" s="98" t="str">
        <f>"(50)"</f>
        <v>(50)</v>
      </c>
      <c r="M244" s="102">
        <f>'kuni 2025 detsember tegevuskava'!AA58</f>
        <v>0</v>
      </c>
      <c r="N244" s="103" t="str">
        <f>"(50)"</f>
        <v>(50)</v>
      </c>
      <c r="O244" s="97">
        <f>'kuni 2025 detsember tegevuskava'!AD58</f>
        <v>0</v>
      </c>
      <c r="P244" s="87" t="str">
        <f>"(50)"</f>
        <v>(50)</v>
      </c>
    </row>
    <row r="245" spans="2:16" ht="17.25" x14ac:dyDescent="0.25">
      <c r="B245" s="145"/>
      <c r="C245" s="8"/>
      <c r="D245" s="8"/>
      <c r="E245" s="8"/>
      <c r="F245" s="8"/>
      <c r="G245" s="8"/>
      <c r="H245" s="192"/>
      <c r="I245" s="104">
        <f>SUM(K245+M245+O245)</f>
        <v>0</v>
      </c>
      <c r="J245" s="105" t="str">
        <f>"(55)"</f>
        <v>(55)</v>
      </c>
      <c r="K245" s="99">
        <f>'kuni 2025 detsember tegevuskava'!Y58</f>
        <v>0</v>
      </c>
      <c r="L245" s="88" t="str">
        <f>"(55)"</f>
        <v>(55)</v>
      </c>
      <c r="M245" s="104">
        <f>'kuni 2025 detsember tegevuskava'!AB58</f>
        <v>0</v>
      </c>
      <c r="N245" s="105" t="str">
        <f>"(55)"</f>
        <v>(55)</v>
      </c>
      <c r="O245" s="99">
        <f>'kuni 2025 detsember tegevuskava'!AE58</f>
        <v>0</v>
      </c>
      <c r="P245" s="90" t="str">
        <f>"(55)"</f>
        <v>(55)</v>
      </c>
    </row>
    <row r="246" spans="2:16" ht="17.25" x14ac:dyDescent="0.25">
      <c r="B246" s="145"/>
      <c r="C246" s="8"/>
      <c r="D246" s="8"/>
      <c r="E246" s="8"/>
      <c r="F246" s="8"/>
      <c r="G246" s="8"/>
      <c r="H246" s="192"/>
      <c r="I246" s="183" t="s">
        <v>298</v>
      </c>
      <c r="J246" s="8"/>
      <c r="K246" s="8"/>
      <c r="L246" s="8"/>
      <c r="M246" s="8"/>
      <c r="N246" s="8"/>
      <c r="O246" s="8"/>
      <c r="P246" s="159"/>
    </row>
    <row r="247" spans="2:16" ht="17.25" x14ac:dyDescent="0.25">
      <c r="B247" s="145"/>
      <c r="C247" s="8"/>
      <c r="D247" s="8"/>
      <c r="E247" s="8"/>
      <c r="F247" s="8"/>
      <c r="G247" s="8"/>
      <c r="H247" s="192"/>
      <c r="I247" s="100">
        <f>SUM(I248:I250)</f>
        <v>45000</v>
      </c>
      <c r="J247" s="101"/>
      <c r="K247" s="91">
        <f>SUM(K248:K250)</f>
        <v>0</v>
      </c>
      <c r="L247" s="92"/>
      <c r="M247" s="100">
        <f>SUM(M248:M250)</f>
        <v>0</v>
      </c>
      <c r="N247" s="106"/>
      <c r="O247" s="100">
        <f>SUM(O248:O250)</f>
        <v>0</v>
      </c>
      <c r="P247" s="134"/>
    </row>
    <row r="248" spans="2:16" ht="17.25" x14ac:dyDescent="0.25">
      <c r="B248" s="145"/>
      <c r="C248" s="8"/>
      <c r="D248" s="8"/>
      <c r="E248" s="8"/>
      <c r="F248" s="8"/>
      <c r="G248" s="8"/>
      <c r="H248" s="192"/>
      <c r="I248" s="102">
        <f>SUM(K248+M248+O248)</f>
        <v>0</v>
      </c>
      <c r="J248" s="103" t="str">
        <f>"(15)"</f>
        <v>(15)</v>
      </c>
      <c r="K248" s="97">
        <f>SUM(K243*1.2)</f>
        <v>0</v>
      </c>
      <c r="L248" s="98" t="str">
        <f>"(15)"</f>
        <v>(15)</v>
      </c>
      <c r="M248" s="102">
        <f>SUM(M243*1.22)</f>
        <v>0</v>
      </c>
      <c r="N248" s="103" t="str">
        <f>"(15)"</f>
        <v>(15)</v>
      </c>
      <c r="O248" s="102">
        <f>SUM(O243*1.22)</f>
        <v>0</v>
      </c>
      <c r="P248" s="87" t="str">
        <f>"(15)"</f>
        <v>(15)</v>
      </c>
    </row>
    <row r="249" spans="2:16" ht="17.25" x14ac:dyDescent="0.25">
      <c r="B249" s="145"/>
      <c r="C249" s="8"/>
      <c r="D249" s="8"/>
      <c r="E249" s="8"/>
      <c r="F249" s="8"/>
      <c r="G249" s="8"/>
      <c r="H249" s="192"/>
      <c r="I249" s="102">
        <f>SUM(K249+M249+O249)</f>
        <v>45000</v>
      </c>
      <c r="J249" s="103" t="str">
        <f>"(50)"</f>
        <v>(50)</v>
      </c>
      <c r="K249" s="97" t="str">
        <f>K244</f>
        <v>45000</v>
      </c>
      <c r="L249" s="98" t="str">
        <f>"(50)"</f>
        <v>(50)</v>
      </c>
      <c r="M249" s="102">
        <f>M244</f>
        <v>0</v>
      </c>
      <c r="N249" s="103" t="str">
        <f>"(50)"</f>
        <v>(50)</v>
      </c>
      <c r="O249" s="102">
        <f>O244</f>
        <v>0</v>
      </c>
      <c r="P249" s="87" t="str">
        <f>"(50)"</f>
        <v>(50)</v>
      </c>
    </row>
    <row r="250" spans="2:16" ht="18" thickBot="1" x14ac:dyDescent="0.3">
      <c r="B250" s="160"/>
      <c r="C250" s="161"/>
      <c r="D250" s="161"/>
      <c r="E250" s="161"/>
      <c r="F250" s="161"/>
      <c r="G250" s="161"/>
      <c r="H250" s="193"/>
      <c r="I250" s="130">
        <f>SUM(K250+M250+O250)</f>
        <v>0</v>
      </c>
      <c r="J250" s="131" t="str">
        <f>"(55)"</f>
        <v>(55)</v>
      </c>
      <c r="K250" s="93">
        <f>SUM(K245*1.2)</f>
        <v>0</v>
      </c>
      <c r="L250" s="94" t="str">
        <f>"(55)"</f>
        <v>(55)</v>
      </c>
      <c r="M250" s="130">
        <f>SUM(M245*1.22)</f>
        <v>0</v>
      </c>
      <c r="N250" s="131" t="str">
        <f>"(55)"</f>
        <v>(55)</v>
      </c>
      <c r="O250" s="130">
        <f>SUM(O245*1.22)</f>
        <v>0</v>
      </c>
      <c r="P250" s="96" t="str">
        <f>"(55)"</f>
        <v>(55)</v>
      </c>
    </row>
    <row r="251" spans="2:16" ht="17.25" x14ac:dyDescent="0.25">
      <c r="B251" s="187" t="str">
        <f>'kuni 2025 detsember tegevuskava'!A59&amp;"/"&amp;'kuni 2025 detsember tegevuskava'!C59</f>
        <v>Regionaal- ja Põllumajandusministeerium/</v>
      </c>
      <c r="C251" s="156" t="str">
        <f>'kuni 2025 detsember tegevuskava'!I59</f>
        <v>PTA liideti kokku VTAst ja PMAs aastal 2021. Mõlemal asutusel on enda järelevalve tarbeks infosüsteemid, mis ajale jalgu jäämas (ca 10 a vanad). Lisaks tarvis asutuse liitmisest tulenevalt teha märkimisväärselt teenuseid ringi nii kliendi kui ametniku vaatest, et parandada järelevalve effektiivsust ning  kliendikesksust.</v>
      </c>
      <c r="D251" s="156" t="str">
        <f>'kuni 2025 detsember tegevuskava'!J59</f>
        <v>PTA järelevalve infosüsteemide kaasajastamine võimaldamaks kliendikesksemaid teenuseid (MEIS)</v>
      </c>
      <c r="E251" s="156" t="str">
        <f>'kuni 2025 detsember tegevuskava'!K59</f>
        <v xml:space="preserve">PTA vanadest infosüsteemidest tuuakse teenused tänapäevasele kujule uude moodsatel tehnoloogiatel põhinevasse infosüsteemi.
2024 toimub analüüs (rida tegevuse nimega "PTA ärianalüüs") tööde teostamiseks. Arendusi alustame 2025 alguses ning 2026 aasta lõpuks tahame saada 75% kõigist PTA klientidest tarbima teenuseid uuendatud kujul.
Digipöörde eesmärgi saavutamiseks on komplekteeritud olemasolevatest ja uutest rollidest agiilseks tarkvara arendamiseks vajalik tiim. Lisaks värbame täiendavat personali arenduste toetamiseks nii tooteomaniku kui administreerimise suunal. </v>
      </c>
      <c r="F251" s="156" t="str">
        <f>'kuni 2025 detsember tegevuskava'!O59&amp;"/"</f>
        <v>SF 21-27 (taotletav raha)/</v>
      </c>
      <c r="G251" s="156" cm="1">
        <f t="array" ref="G251">_xlfn.IFS('kuni 2025 detsember tegevuskava'!G59='kuni 2025 detsember tegevuskava'!$G$97,1,'kuni 2025 detsember tegevuskava'!G59='kuni 2025 detsember tegevuskava'!$G$98,2,'kuni 2025 detsember tegevuskava'!G59='kuni 2025 detsember tegevuskava'!$G$99,3,'kuni 2025 detsember tegevuskava'!G59='kuni 2025 detsember tegevuskava'!$G$100,4)</f>
        <v>1</v>
      </c>
      <c r="H251" s="194" cm="1">
        <f t="array" ref="H251">_xlfn.IFS(OR('kuni 2025 detsember tegevuskava'!O59='kuni 2025 detsember tegevuskava'!$O$97,'kuni 2025 detsember tegevuskava'!O59='kuni 2025 detsember tegevuskava'!$O$99,'kuni 2025 detsember tegevuskava'!O59='kuni 2025 detsember tegevuskava'!$O$100,'kuni 2025 detsember tegevuskava'!O59='kuni 2025 detsember tegevuskava'!$O$101),1,'kuni 2025 detsember tegevuskava'!O59='kuni 2025 detsember tegevuskava'!$O$102,2,'kuni 2025 detsember tegevuskava'!O59='kuni 2025 detsember tegevuskava'!$O$103,2,'kuni 2025 detsember tegevuskava'!O59='kuni 2025 detsember tegevuskava'!$O$98,3)</f>
        <v>2</v>
      </c>
      <c r="I251" s="132">
        <f>SUM(I252:I254)</f>
        <v>1367500</v>
      </c>
      <c r="J251" s="133"/>
      <c r="K251" s="81">
        <f>SUM(K252:K254)</f>
        <v>0</v>
      </c>
      <c r="L251" s="83"/>
      <c r="M251" s="132">
        <f>SUM(M252:M254)</f>
        <v>73500</v>
      </c>
      <c r="N251" s="133"/>
      <c r="O251" s="81">
        <f>SUM(O252:O254)</f>
        <v>1294000</v>
      </c>
      <c r="P251" s="85"/>
    </row>
    <row r="252" spans="2:16" ht="17.25" x14ac:dyDescent="0.25">
      <c r="B252" s="145"/>
      <c r="C252" s="8"/>
      <c r="D252" s="8"/>
      <c r="E252" s="8"/>
      <c r="F252" s="8"/>
      <c r="G252" s="8"/>
      <c r="H252" s="192"/>
      <c r="I252" s="102">
        <f>SUM(K252+M252+O252)</f>
        <v>1000000</v>
      </c>
      <c r="J252" s="103" t="str">
        <f>"(15)"</f>
        <v>(15)</v>
      </c>
      <c r="K252" s="97">
        <f>'kuni 2025 detsember tegevuskava'!W59</f>
        <v>0</v>
      </c>
      <c r="L252" s="98" t="str">
        <f>"(15)"</f>
        <v>(15)</v>
      </c>
      <c r="M252" s="102">
        <f>'kuni 2025 detsember tegevuskava'!Z59</f>
        <v>0</v>
      </c>
      <c r="N252" s="103" t="str">
        <f>"(15)"</f>
        <v>(15)</v>
      </c>
      <c r="O252" s="97">
        <f>'kuni 2025 detsember tegevuskava'!AC59</f>
        <v>1000000</v>
      </c>
      <c r="P252" s="87" t="str">
        <f>"(15)"</f>
        <v>(15)</v>
      </c>
    </row>
    <row r="253" spans="2:16" ht="17.25" x14ac:dyDescent="0.25">
      <c r="B253" s="145"/>
      <c r="C253" s="8"/>
      <c r="D253" s="8"/>
      <c r="E253" s="8"/>
      <c r="F253" s="8"/>
      <c r="G253" s="8"/>
      <c r="H253" s="192"/>
      <c r="I253" s="102">
        <f>SUM(K253+M253+O253)</f>
        <v>367500</v>
      </c>
      <c r="J253" s="103" t="str">
        <f>"(50)"</f>
        <v>(50)</v>
      </c>
      <c r="K253" s="97">
        <f>'kuni 2025 detsember tegevuskava'!X59</f>
        <v>0</v>
      </c>
      <c r="L253" s="98" t="str">
        <f>"(50)"</f>
        <v>(50)</v>
      </c>
      <c r="M253" s="102">
        <f>'kuni 2025 detsember tegevuskava'!AA59</f>
        <v>73500</v>
      </c>
      <c r="N253" s="103" t="str">
        <f>"(50)"</f>
        <v>(50)</v>
      </c>
      <c r="O253" s="97">
        <f>'kuni 2025 detsember tegevuskava'!AD59</f>
        <v>294000</v>
      </c>
      <c r="P253" s="87" t="str">
        <f>"(50)"</f>
        <v>(50)</v>
      </c>
    </row>
    <row r="254" spans="2:16" ht="17.25" x14ac:dyDescent="0.25">
      <c r="B254" s="145"/>
      <c r="C254" s="8"/>
      <c r="D254" s="8"/>
      <c r="E254" s="8"/>
      <c r="F254" s="8"/>
      <c r="G254" s="8"/>
      <c r="H254" s="192"/>
      <c r="I254" s="104">
        <f>SUM(K254+M254+O254)</f>
        <v>0</v>
      </c>
      <c r="J254" s="105" t="str">
        <f>"(55)"</f>
        <v>(55)</v>
      </c>
      <c r="K254" s="99">
        <f>'kuni 2025 detsember tegevuskava'!Y59</f>
        <v>0</v>
      </c>
      <c r="L254" s="88" t="str">
        <f>"(55)"</f>
        <v>(55)</v>
      </c>
      <c r="M254" s="104">
        <f>'kuni 2025 detsember tegevuskava'!AB59</f>
        <v>0</v>
      </c>
      <c r="N254" s="105" t="str">
        <f>"(55)"</f>
        <v>(55)</v>
      </c>
      <c r="O254" s="99">
        <f>'kuni 2025 detsember tegevuskava'!AE59</f>
        <v>0</v>
      </c>
      <c r="P254" s="90" t="str">
        <f>"(55)"</f>
        <v>(55)</v>
      </c>
    </row>
    <row r="255" spans="2:16" ht="17.25" x14ac:dyDescent="0.25">
      <c r="B255" s="145"/>
      <c r="C255" s="8"/>
      <c r="D255" s="8"/>
      <c r="E255" s="8"/>
      <c r="F255" s="8"/>
      <c r="G255" s="8"/>
      <c r="H255" s="192"/>
      <c r="I255" s="151" t="s">
        <v>298</v>
      </c>
      <c r="J255" s="8"/>
      <c r="K255" s="8"/>
      <c r="L255" s="8"/>
      <c r="M255" s="8"/>
      <c r="N255" s="8"/>
      <c r="O255" s="8"/>
      <c r="P255" s="159"/>
    </row>
    <row r="256" spans="2:16" ht="17.25" x14ac:dyDescent="0.25">
      <c r="B256" s="145"/>
      <c r="C256" s="8"/>
      <c r="D256" s="8"/>
      <c r="E256" s="8"/>
      <c r="F256" s="8"/>
      <c r="G256" s="8"/>
      <c r="H256" s="192"/>
      <c r="I256" s="100">
        <f>SUM(I257:I259)</f>
        <v>1587500</v>
      </c>
      <c r="J256" s="101"/>
      <c r="K256" s="91">
        <f>SUM(K257:K259)</f>
        <v>0</v>
      </c>
      <c r="L256" s="92"/>
      <c r="M256" s="100">
        <f>SUM(M257:M259)</f>
        <v>73500</v>
      </c>
      <c r="N256" s="106"/>
      <c r="O256" s="100">
        <f>SUM(O257:O259)</f>
        <v>1514000</v>
      </c>
      <c r="P256" s="134"/>
    </row>
    <row r="257" spans="2:16" ht="17.25" x14ac:dyDescent="0.25">
      <c r="B257" s="145"/>
      <c r="C257" s="8"/>
      <c r="D257" s="8"/>
      <c r="E257" s="8"/>
      <c r="F257" s="8"/>
      <c r="G257" s="8"/>
      <c r="H257" s="192"/>
      <c r="I257" s="102">
        <f>SUM(K257+M257+O257)</f>
        <v>1220000</v>
      </c>
      <c r="J257" s="103" t="str">
        <f>"(15)"</f>
        <v>(15)</v>
      </c>
      <c r="K257" s="97">
        <f>SUM(K252*1.2)</f>
        <v>0</v>
      </c>
      <c r="L257" s="98" t="str">
        <f>"(15)"</f>
        <v>(15)</v>
      </c>
      <c r="M257" s="102">
        <f>SUM(M252*1.22)</f>
        <v>0</v>
      </c>
      <c r="N257" s="103" t="str">
        <f>"(15)"</f>
        <v>(15)</v>
      </c>
      <c r="O257" s="102">
        <f>SUM(O252*1.22)</f>
        <v>1220000</v>
      </c>
      <c r="P257" s="87" t="str">
        <f>"(15)"</f>
        <v>(15)</v>
      </c>
    </row>
    <row r="258" spans="2:16" ht="17.25" x14ac:dyDescent="0.25">
      <c r="B258" s="145"/>
      <c r="C258" s="8"/>
      <c r="D258" s="8"/>
      <c r="E258" s="8"/>
      <c r="F258" s="8"/>
      <c r="G258" s="8"/>
      <c r="H258" s="192"/>
      <c r="I258" s="102">
        <f>SUM(K258+M258+O258)</f>
        <v>367500</v>
      </c>
      <c r="J258" s="103" t="str">
        <f>"(50)"</f>
        <v>(50)</v>
      </c>
      <c r="K258" s="97">
        <f>K253</f>
        <v>0</v>
      </c>
      <c r="L258" s="98" t="str">
        <f>"(50)"</f>
        <v>(50)</v>
      </c>
      <c r="M258" s="102">
        <f>M253</f>
        <v>73500</v>
      </c>
      <c r="N258" s="103" t="str">
        <f>"(50)"</f>
        <v>(50)</v>
      </c>
      <c r="O258" s="102">
        <f>O253</f>
        <v>294000</v>
      </c>
      <c r="P258" s="87" t="str">
        <f>"(50)"</f>
        <v>(50)</v>
      </c>
    </row>
    <row r="259" spans="2:16" ht="18" thickBot="1" x14ac:dyDescent="0.3">
      <c r="B259" s="160"/>
      <c r="C259" s="161"/>
      <c r="D259" s="161"/>
      <c r="E259" s="161"/>
      <c r="F259" s="161"/>
      <c r="G259" s="161"/>
      <c r="H259" s="193"/>
      <c r="I259" s="130">
        <f>SUM(K259+M259+O259)</f>
        <v>0</v>
      </c>
      <c r="J259" s="131" t="str">
        <f>"(55)"</f>
        <v>(55)</v>
      </c>
      <c r="K259" s="93">
        <f>SUM(K254*1.2)</f>
        <v>0</v>
      </c>
      <c r="L259" s="94" t="str">
        <f>"(55)"</f>
        <v>(55)</v>
      </c>
      <c r="M259" s="130">
        <f>SUM(M254*1.22)</f>
        <v>0</v>
      </c>
      <c r="N259" s="131" t="str">
        <f>"(55)"</f>
        <v>(55)</v>
      </c>
      <c r="O259" s="130">
        <f>SUM(O254*1.22)</f>
        <v>0</v>
      </c>
      <c r="P259" s="96" t="str">
        <f>"(55)"</f>
        <v>(55)</v>
      </c>
    </row>
    <row r="260" spans="2:16" ht="17.25" x14ac:dyDescent="0.25">
      <c r="B260" s="187" t="str">
        <f>'kuni 2025 detsember tegevuskava'!A60&amp;"/"&amp;'kuni 2025 detsember tegevuskava'!C60</f>
        <v>Regionaal- ja Põllumajandusministeerium/</v>
      </c>
      <c r="C260" s="156" t="str">
        <f>'kuni 2025 detsember tegevuskava'!I60</f>
        <v xml:space="preserve">Kalanduse valdkond on ajalooliselt jäänud tegutsema ülejäänud asutusest eraldi IT lahenduste peal, mis sama moodi on tehniliselt taakvara staatusse jõudmas. PTA eesmärk on ühtlustada võimalikult palju ka selle valdkonna teenused koos üleüldiste teenuste ringi tegemisega uuele tehnilisele platvormile. </v>
      </c>
      <c r="D260" s="156" t="str">
        <f>'kuni 2025 detsember tegevuskava'!J60</f>
        <v>PTA kalanduse teenuste  kaasajastamine uuel platvormil</v>
      </c>
      <c r="E260" s="156" t="str">
        <f>'kuni 2025 detsember tegevuskava'!K60</f>
        <v>Kutselise kalapüügi registriga seonduvate teenuste üleviimine uude PTA infosüsteemi MEIS.
2024 teostatakse vajalikud analüüsid. 2025 alustatakse arendusi.</v>
      </c>
      <c r="F260" s="156" t="str">
        <f>'kuni 2025 detsember tegevuskava'!O60&amp;"/"</f>
        <v>Muu rahastus/</v>
      </c>
      <c r="G260" s="156" cm="1">
        <f t="array" ref="G260">_xlfn.IFS('kuni 2025 detsember tegevuskava'!G60='kuni 2025 detsember tegevuskava'!$G$97,1,'kuni 2025 detsember tegevuskava'!G60='kuni 2025 detsember tegevuskava'!$G$98,2,'kuni 2025 detsember tegevuskava'!G60='kuni 2025 detsember tegevuskava'!$G$99,3,'kuni 2025 detsember tegevuskava'!G60='kuni 2025 detsember tegevuskava'!$G$100,4)</f>
        <v>1</v>
      </c>
      <c r="H260" s="194" cm="1">
        <f t="array" ref="H260">_xlfn.IFS(OR('kuni 2025 detsember tegevuskava'!O60='kuni 2025 detsember tegevuskava'!$O$97,'kuni 2025 detsember tegevuskava'!O60='kuni 2025 detsember tegevuskava'!$O$99,'kuni 2025 detsember tegevuskava'!O60='kuni 2025 detsember tegevuskava'!$O$100,'kuni 2025 detsember tegevuskava'!O60='kuni 2025 detsember tegevuskava'!$O$101),1,'kuni 2025 detsember tegevuskava'!O60='kuni 2025 detsember tegevuskava'!$O$102,2,'kuni 2025 detsember tegevuskava'!O60='kuni 2025 detsember tegevuskava'!$O$103,2,'kuni 2025 detsember tegevuskava'!O60='kuni 2025 detsember tegevuskava'!$O$98,3)</f>
        <v>3</v>
      </c>
      <c r="I260" s="132">
        <f>SUM(I261:I263)</f>
        <v>800000</v>
      </c>
      <c r="J260" s="133"/>
      <c r="K260" s="81">
        <f>SUM(K261:K263)</f>
        <v>0</v>
      </c>
      <c r="L260" s="83"/>
      <c r="M260" s="132">
        <f>SUM(M261:M263)</f>
        <v>0</v>
      </c>
      <c r="N260" s="133"/>
      <c r="O260" s="81">
        <f>SUM(O261:O263)</f>
        <v>800000</v>
      </c>
      <c r="P260" s="85"/>
    </row>
    <row r="261" spans="2:16" ht="17.25" x14ac:dyDescent="0.25">
      <c r="B261" s="145"/>
      <c r="C261" s="8"/>
      <c r="D261" s="8"/>
      <c r="E261" s="8"/>
      <c r="F261" s="8"/>
      <c r="G261" s="8"/>
      <c r="H261" s="192"/>
      <c r="I261" s="102">
        <f>SUM(K261+M261+O261)</f>
        <v>800000</v>
      </c>
      <c r="J261" s="103" t="str">
        <f>"(15)"</f>
        <v>(15)</v>
      </c>
      <c r="K261" s="97">
        <f>'kuni 2025 detsember tegevuskava'!W60</f>
        <v>0</v>
      </c>
      <c r="L261" s="98" t="str">
        <f>"(15)"</f>
        <v>(15)</v>
      </c>
      <c r="M261" s="102">
        <f>'kuni 2025 detsember tegevuskava'!Z60</f>
        <v>0</v>
      </c>
      <c r="N261" s="103" t="str">
        <f>"(15)"</f>
        <v>(15)</v>
      </c>
      <c r="O261" s="97">
        <f>'kuni 2025 detsember tegevuskava'!AC60</f>
        <v>800000</v>
      </c>
      <c r="P261" s="87" t="str">
        <f>"(15)"</f>
        <v>(15)</v>
      </c>
    </row>
    <row r="262" spans="2:16" ht="17.25" x14ac:dyDescent="0.25">
      <c r="B262" s="145"/>
      <c r="C262" s="8"/>
      <c r="D262" s="8"/>
      <c r="E262" s="8"/>
      <c r="F262" s="8"/>
      <c r="G262" s="8"/>
      <c r="H262" s="192"/>
      <c r="I262" s="102">
        <f>SUM(K262+M262+O262)</f>
        <v>0</v>
      </c>
      <c r="J262" s="103" t="str">
        <f>"(50)"</f>
        <v>(50)</v>
      </c>
      <c r="K262" s="97">
        <f>'kuni 2025 detsember tegevuskava'!X60</f>
        <v>0</v>
      </c>
      <c r="L262" s="98" t="str">
        <f>"(50)"</f>
        <v>(50)</v>
      </c>
      <c r="M262" s="102">
        <f>'kuni 2025 detsember tegevuskava'!AA60</f>
        <v>0</v>
      </c>
      <c r="N262" s="103" t="str">
        <f>"(50)"</f>
        <v>(50)</v>
      </c>
      <c r="O262" s="97">
        <f>'kuni 2025 detsember tegevuskava'!AD60</f>
        <v>0</v>
      </c>
      <c r="P262" s="87" t="str">
        <f>"(50)"</f>
        <v>(50)</v>
      </c>
    </row>
    <row r="263" spans="2:16" ht="17.25" x14ac:dyDescent="0.25">
      <c r="B263" s="145"/>
      <c r="C263" s="8"/>
      <c r="D263" s="8"/>
      <c r="E263" s="8"/>
      <c r="F263" s="8"/>
      <c r="G263" s="8"/>
      <c r="H263" s="192"/>
      <c r="I263" s="104">
        <f>SUM(K263+M263+O263)</f>
        <v>0</v>
      </c>
      <c r="J263" s="105" t="str">
        <f>"(55)"</f>
        <v>(55)</v>
      </c>
      <c r="K263" s="99">
        <f>'kuni 2025 detsember tegevuskava'!Y60</f>
        <v>0</v>
      </c>
      <c r="L263" s="88" t="str">
        <f>"(55)"</f>
        <v>(55)</v>
      </c>
      <c r="M263" s="104">
        <f>'kuni 2025 detsember tegevuskava'!AB60</f>
        <v>0</v>
      </c>
      <c r="N263" s="105" t="str">
        <f>"(55)"</f>
        <v>(55)</v>
      </c>
      <c r="O263" s="99">
        <f>'kuni 2025 detsember tegevuskava'!AE60</f>
        <v>0</v>
      </c>
      <c r="P263" s="90" t="str">
        <f>"(55)"</f>
        <v>(55)</v>
      </c>
    </row>
    <row r="264" spans="2:16" ht="17.25" x14ac:dyDescent="0.25">
      <c r="B264" s="145"/>
      <c r="C264" s="8"/>
      <c r="D264" s="8"/>
      <c r="E264" s="8"/>
      <c r="F264" s="8"/>
      <c r="G264" s="8"/>
      <c r="H264" s="192"/>
      <c r="I264" s="151" t="s">
        <v>298</v>
      </c>
      <c r="J264" s="8"/>
      <c r="K264" s="8"/>
      <c r="L264" s="8"/>
      <c r="M264" s="8"/>
      <c r="N264" s="8"/>
      <c r="O264" s="8"/>
      <c r="P264" s="159"/>
    </row>
    <row r="265" spans="2:16" ht="17.25" x14ac:dyDescent="0.25">
      <c r="B265" s="145"/>
      <c r="C265" s="8"/>
      <c r="D265" s="8"/>
      <c r="E265" s="8"/>
      <c r="F265" s="8"/>
      <c r="G265" s="8"/>
      <c r="H265" s="192"/>
      <c r="I265" s="100">
        <f>SUM(I266:I268)</f>
        <v>976000</v>
      </c>
      <c r="J265" s="101"/>
      <c r="K265" s="91">
        <f>SUM(K266:K268)</f>
        <v>0</v>
      </c>
      <c r="L265" s="92"/>
      <c r="M265" s="100">
        <f>SUM(M266:M268)</f>
        <v>0</v>
      </c>
      <c r="N265" s="106"/>
      <c r="O265" s="100">
        <f>SUM(O266:O268)</f>
        <v>976000</v>
      </c>
      <c r="P265" s="134"/>
    </row>
    <row r="266" spans="2:16" ht="17.25" x14ac:dyDescent="0.25">
      <c r="B266" s="145"/>
      <c r="C266" s="8"/>
      <c r="D266" s="8"/>
      <c r="E266" s="8"/>
      <c r="F266" s="8"/>
      <c r="G266" s="8"/>
      <c r="H266" s="192"/>
      <c r="I266" s="102">
        <f>SUM(K266+M266+O266)</f>
        <v>976000</v>
      </c>
      <c r="J266" s="103" t="str">
        <f>"(15)"</f>
        <v>(15)</v>
      </c>
      <c r="K266" s="97">
        <f>SUM(K261*1.2)</f>
        <v>0</v>
      </c>
      <c r="L266" s="98" t="str">
        <f>"(15)"</f>
        <v>(15)</v>
      </c>
      <c r="M266" s="102">
        <f>SUM(M261*1.22)</f>
        <v>0</v>
      </c>
      <c r="N266" s="103" t="str">
        <f>"(15)"</f>
        <v>(15)</v>
      </c>
      <c r="O266" s="102">
        <f>SUM(O261*1.22)</f>
        <v>976000</v>
      </c>
      <c r="P266" s="87" t="str">
        <f>"(15)"</f>
        <v>(15)</v>
      </c>
    </row>
    <row r="267" spans="2:16" ht="17.25" x14ac:dyDescent="0.25">
      <c r="B267" s="145"/>
      <c r="C267" s="8"/>
      <c r="D267" s="8"/>
      <c r="E267" s="8"/>
      <c r="F267" s="8"/>
      <c r="G267" s="8"/>
      <c r="H267" s="192"/>
      <c r="I267" s="102">
        <f>SUM(K267+M267+O267)</f>
        <v>0</v>
      </c>
      <c r="J267" s="103" t="str">
        <f>"(50)"</f>
        <v>(50)</v>
      </c>
      <c r="K267" s="97">
        <f>K262</f>
        <v>0</v>
      </c>
      <c r="L267" s="98" t="str">
        <f>"(50)"</f>
        <v>(50)</v>
      </c>
      <c r="M267" s="102">
        <f>M262</f>
        <v>0</v>
      </c>
      <c r="N267" s="103" t="str">
        <f>"(50)"</f>
        <v>(50)</v>
      </c>
      <c r="O267" s="102">
        <f>O262</f>
        <v>0</v>
      </c>
      <c r="P267" s="87" t="str">
        <f>"(50)"</f>
        <v>(50)</v>
      </c>
    </row>
    <row r="268" spans="2:16" ht="18" thickBot="1" x14ac:dyDescent="0.3">
      <c r="B268" s="160"/>
      <c r="C268" s="161"/>
      <c r="D268" s="161"/>
      <c r="E268" s="161"/>
      <c r="F268" s="161"/>
      <c r="G268" s="161"/>
      <c r="H268" s="193"/>
      <c r="I268" s="130">
        <f>SUM(K268+M268+O268)</f>
        <v>0</v>
      </c>
      <c r="J268" s="131" t="str">
        <f>"(55)"</f>
        <v>(55)</v>
      </c>
      <c r="K268" s="93">
        <f>SUM(K263*1.2)</f>
        <v>0</v>
      </c>
      <c r="L268" s="94" t="str">
        <f>"(55)"</f>
        <v>(55)</v>
      </c>
      <c r="M268" s="130">
        <f>SUM(M263*1.22)</f>
        <v>0</v>
      </c>
      <c r="N268" s="131" t="str">
        <f>"(55)"</f>
        <v>(55)</v>
      </c>
      <c r="O268" s="130">
        <f>SUM(O263*1.22)</f>
        <v>0</v>
      </c>
      <c r="P268" s="96" t="str">
        <f>"(55)"</f>
        <v>(55)</v>
      </c>
    </row>
    <row r="269" spans="2:16" ht="17.25" x14ac:dyDescent="0.25">
      <c r="B269" s="187" t="str">
        <f>'kuni 2025 detsember tegevuskava'!A61&amp;"/"&amp;'kuni 2025 detsember tegevuskava'!C61</f>
        <v>Regionaal- ja Põllumajandusministeerium/</v>
      </c>
      <c r="C269" s="156" t="str">
        <f>'kuni 2025 detsember tegevuskava'!I61</f>
        <v>METK on FADN kontaktasutus, FADN laieneb sotsiaalsete ja keskkonnanäitajate võrra alates 2026. aastast (FSDN). Vajame kaasaegset infosüsteemi, mis aitab METK kontaktasutusele pandud ülesandeid täita, sh andmeid koguda kasutades teisi andmeallikaid ja küsitledes põllumajandustootjaid, andmeid töödelda ja avalikustada. FSDN infosüsteemi osana näeme ka Turuinfo kogumise ja  töötlemise osa.</v>
      </c>
      <c r="D269" s="156" t="str">
        <f>'kuni 2025 detsember tegevuskava'!J61</f>
        <v>FSDN infosüsteemi arendus</v>
      </c>
      <c r="E269" s="156" t="str">
        <f>'kuni 2025 detsember tegevuskava'!K61</f>
        <v>Valmib paindlik infosüsteem FSDN ja turuinfo andmete kogumiseks veebipõhiselt ja töötlemiseks. On olemas võimalused teistest riiklikest registritest andmete pärimiseks ning kaasamiseks FSDNi ja turuinfo andmete jagamiseks teistele riiklikele asutustele. Infosüsteem toetab kontaktasutusele pandud ülesannete  täitmist – võimalik on hallata FSDN valimit, andmekogujaid, lepinguid, töödelda kogutud andmeid vastavalt EL ja riiklikule vajadusele. Vastavalt kokkulepitud metoodikatele toimib sisendandmete töötlemine väljunditeks (sh edastamine Euroopa komisjonile ja avalikustamine METK kodulehel, erinevate tabelite ja graafikute loomine andmete alusel – visuaali loomise võimekus). Andmeid tuleb säilitada võimalikult kaua, eelkõige et tagada keskkonnanäitajate analüüsitugi. Üksikandmete konfidentsiaalsus on tagatud (andmete anonüümimine ja pseodonüümimine).</v>
      </c>
      <c r="F269" s="156" t="str">
        <f>'kuni 2025 detsember tegevuskava'!O61&amp;"/"</f>
        <v>Muu rahastus/</v>
      </c>
      <c r="G269" s="156" cm="1">
        <f t="array" ref="G269">_xlfn.IFS('kuni 2025 detsember tegevuskava'!G61='kuni 2025 detsember tegevuskava'!$G$97,1,'kuni 2025 detsember tegevuskava'!G61='kuni 2025 detsember tegevuskava'!$G$98,2,'kuni 2025 detsember tegevuskava'!G61='kuni 2025 detsember tegevuskava'!$G$99,3,'kuni 2025 detsember tegevuskava'!G61='kuni 2025 detsember tegevuskava'!$G$100,4)</f>
        <v>1</v>
      </c>
      <c r="H269" s="194" cm="1">
        <f t="array" ref="H269">_xlfn.IFS(OR('kuni 2025 detsember tegevuskava'!O61='kuni 2025 detsember tegevuskava'!$O$97,'kuni 2025 detsember tegevuskava'!O61='kuni 2025 detsember tegevuskava'!$O$99,'kuni 2025 detsember tegevuskava'!O61='kuni 2025 detsember tegevuskava'!$O$100,'kuni 2025 detsember tegevuskava'!O61='kuni 2025 detsember tegevuskava'!$O$101),1,'kuni 2025 detsember tegevuskava'!O61='kuni 2025 detsember tegevuskava'!$O$102,2,'kuni 2025 detsember tegevuskava'!O61='kuni 2025 detsember tegevuskava'!$O$103,2,'kuni 2025 detsember tegevuskava'!O61='kuni 2025 detsember tegevuskava'!$O$98,3)</f>
        <v>3</v>
      </c>
      <c r="I269" s="132">
        <f>SUM(I270:I272)</f>
        <v>400000</v>
      </c>
      <c r="J269" s="133"/>
      <c r="K269" s="81">
        <f>SUM(K270:K272)</f>
        <v>0</v>
      </c>
      <c r="L269" s="83"/>
      <c r="M269" s="132">
        <f>SUM(M270:M272)</f>
        <v>0</v>
      </c>
      <c r="N269" s="133"/>
      <c r="O269" s="81">
        <f>SUM(O270:O272)</f>
        <v>400000</v>
      </c>
      <c r="P269" s="85"/>
    </row>
    <row r="270" spans="2:16" ht="17.25" x14ac:dyDescent="0.25">
      <c r="B270" s="145"/>
      <c r="C270" s="8"/>
      <c r="D270" s="8"/>
      <c r="E270" s="8"/>
      <c r="F270" s="8"/>
      <c r="G270" s="8"/>
      <c r="H270" s="192"/>
      <c r="I270" s="102">
        <f>SUM(K270+M270+O270)</f>
        <v>400000</v>
      </c>
      <c r="J270" s="103" t="str">
        <f>"(15)"</f>
        <v>(15)</v>
      </c>
      <c r="K270" s="97">
        <f>'kuni 2025 detsember tegevuskava'!W61</f>
        <v>0</v>
      </c>
      <c r="L270" s="98" t="str">
        <f>"(15)"</f>
        <v>(15)</v>
      </c>
      <c r="M270" s="102">
        <f>'kuni 2025 detsember tegevuskava'!Z61</f>
        <v>0</v>
      </c>
      <c r="N270" s="103" t="str">
        <f>"(15)"</f>
        <v>(15)</v>
      </c>
      <c r="O270" s="97">
        <f>'kuni 2025 detsember tegevuskava'!AC61</f>
        <v>400000</v>
      </c>
      <c r="P270" s="87" t="str">
        <f>"(15)"</f>
        <v>(15)</v>
      </c>
    </row>
    <row r="271" spans="2:16" ht="17.25" x14ac:dyDescent="0.25">
      <c r="B271" s="145"/>
      <c r="C271" s="8"/>
      <c r="D271" s="8"/>
      <c r="E271" s="8"/>
      <c r="F271" s="8"/>
      <c r="G271" s="8"/>
      <c r="H271" s="192"/>
      <c r="I271" s="102">
        <f>SUM(K271+M271+O271)</f>
        <v>0</v>
      </c>
      <c r="J271" s="103" t="str">
        <f>"(50)"</f>
        <v>(50)</v>
      </c>
      <c r="K271" s="97">
        <f>'kuni 2025 detsember tegevuskava'!X61</f>
        <v>0</v>
      </c>
      <c r="L271" s="98" t="str">
        <f>"(50)"</f>
        <v>(50)</v>
      </c>
      <c r="M271" s="102">
        <f>'kuni 2025 detsember tegevuskava'!AA61</f>
        <v>0</v>
      </c>
      <c r="N271" s="103" t="str">
        <f>"(50)"</f>
        <v>(50)</v>
      </c>
      <c r="O271" s="97">
        <f>'kuni 2025 detsember tegevuskava'!AD61</f>
        <v>0</v>
      </c>
      <c r="P271" s="87" t="str">
        <f>"(50)"</f>
        <v>(50)</v>
      </c>
    </row>
    <row r="272" spans="2:16" ht="17.25" x14ac:dyDescent="0.25">
      <c r="B272" s="145"/>
      <c r="C272" s="8"/>
      <c r="D272" s="8"/>
      <c r="E272" s="8"/>
      <c r="F272" s="8"/>
      <c r="G272" s="8"/>
      <c r="H272" s="192"/>
      <c r="I272" s="104">
        <f>SUM(K272+M272+O272)</f>
        <v>0</v>
      </c>
      <c r="J272" s="105" t="str">
        <f>"(55)"</f>
        <v>(55)</v>
      </c>
      <c r="K272" s="99">
        <f>'kuni 2025 detsember tegevuskava'!Y61</f>
        <v>0</v>
      </c>
      <c r="L272" s="88" t="str">
        <f>"(55)"</f>
        <v>(55)</v>
      </c>
      <c r="M272" s="104">
        <f>'kuni 2025 detsember tegevuskava'!AB61</f>
        <v>0</v>
      </c>
      <c r="N272" s="105" t="str">
        <f>"(55)"</f>
        <v>(55)</v>
      </c>
      <c r="O272" s="99">
        <f>'kuni 2025 detsember tegevuskava'!AE61</f>
        <v>0</v>
      </c>
      <c r="P272" s="90" t="str">
        <f>"(55)"</f>
        <v>(55)</v>
      </c>
    </row>
    <row r="273" spans="2:16" ht="17.25" x14ac:dyDescent="0.25">
      <c r="B273" s="145"/>
      <c r="C273" s="8"/>
      <c r="D273" s="8"/>
      <c r="E273" s="8"/>
      <c r="F273" s="8"/>
      <c r="G273" s="8"/>
      <c r="H273" s="192"/>
      <c r="I273" s="151" t="s">
        <v>298</v>
      </c>
      <c r="J273" s="8"/>
      <c r="K273" s="8"/>
      <c r="L273" s="8"/>
      <c r="M273" s="8"/>
      <c r="N273" s="8"/>
      <c r="O273" s="8"/>
      <c r="P273" s="159"/>
    </row>
    <row r="274" spans="2:16" ht="17.25" x14ac:dyDescent="0.25">
      <c r="B274" s="145"/>
      <c r="C274" s="8"/>
      <c r="D274" s="8"/>
      <c r="E274" s="8"/>
      <c r="F274" s="8"/>
      <c r="G274" s="8"/>
      <c r="H274" s="192"/>
      <c r="I274" s="100">
        <f>SUM(I275:I277)</f>
        <v>488000</v>
      </c>
      <c r="J274" s="101"/>
      <c r="K274" s="91">
        <f>SUM(K275:K277)</f>
        <v>0</v>
      </c>
      <c r="L274" s="92"/>
      <c r="M274" s="100">
        <f>SUM(M275:M277)</f>
        <v>0</v>
      </c>
      <c r="N274" s="106"/>
      <c r="O274" s="100">
        <f>SUM(O275:O277)</f>
        <v>488000</v>
      </c>
      <c r="P274" s="134"/>
    </row>
    <row r="275" spans="2:16" ht="17.25" x14ac:dyDescent="0.25">
      <c r="B275" s="145"/>
      <c r="C275" s="8"/>
      <c r="D275" s="8"/>
      <c r="E275" s="8"/>
      <c r="F275" s="8"/>
      <c r="G275" s="8"/>
      <c r="H275" s="192"/>
      <c r="I275" s="102">
        <f>SUM(K275+M275+O275)</f>
        <v>488000</v>
      </c>
      <c r="J275" s="103" t="str">
        <f>"(15)"</f>
        <v>(15)</v>
      </c>
      <c r="K275" s="97">
        <f>SUM(K270*1.2)</f>
        <v>0</v>
      </c>
      <c r="L275" s="98" t="str">
        <f>"(15)"</f>
        <v>(15)</v>
      </c>
      <c r="M275" s="102">
        <f>SUM(M270*1.22)</f>
        <v>0</v>
      </c>
      <c r="N275" s="103" t="str">
        <f>"(15)"</f>
        <v>(15)</v>
      </c>
      <c r="O275" s="102">
        <f>SUM(O270*1.22)</f>
        <v>488000</v>
      </c>
      <c r="P275" s="87" t="str">
        <f>"(15)"</f>
        <v>(15)</v>
      </c>
    </row>
    <row r="276" spans="2:16" ht="17.25" x14ac:dyDescent="0.25">
      <c r="B276" s="145"/>
      <c r="C276" s="8"/>
      <c r="D276" s="8"/>
      <c r="E276" s="8"/>
      <c r="F276" s="8"/>
      <c r="G276" s="8"/>
      <c r="H276" s="192"/>
      <c r="I276" s="102">
        <f>SUM(K276+M276+O276)</f>
        <v>0</v>
      </c>
      <c r="J276" s="103" t="str">
        <f>"(50)"</f>
        <v>(50)</v>
      </c>
      <c r="K276" s="97">
        <f>K271</f>
        <v>0</v>
      </c>
      <c r="L276" s="98" t="str">
        <f>"(50)"</f>
        <v>(50)</v>
      </c>
      <c r="M276" s="102">
        <f>M271</f>
        <v>0</v>
      </c>
      <c r="N276" s="103" t="str">
        <f>"(50)"</f>
        <v>(50)</v>
      </c>
      <c r="O276" s="102">
        <f>O271</f>
        <v>0</v>
      </c>
      <c r="P276" s="87" t="str">
        <f>"(50)"</f>
        <v>(50)</v>
      </c>
    </row>
    <row r="277" spans="2:16" ht="18" thickBot="1" x14ac:dyDescent="0.3">
      <c r="B277" s="160"/>
      <c r="C277" s="161"/>
      <c r="D277" s="161"/>
      <c r="E277" s="161"/>
      <c r="F277" s="161"/>
      <c r="G277" s="161"/>
      <c r="H277" s="193"/>
      <c r="I277" s="130">
        <f>SUM(K277+M277+O277)</f>
        <v>0</v>
      </c>
      <c r="J277" s="131" t="str">
        <f>"(55)"</f>
        <v>(55)</v>
      </c>
      <c r="K277" s="93">
        <f>SUM(K272*1.2)</f>
        <v>0</v>
      </c>
      <c r="L277" s="94" t="str">
        <f>"(55)"</f>
        <v>(55)</v>
      </c>
      <c r="M277" s="130">
        <f>SUM(M272*1.22)</f>
        <v>0</v>
      </c>
      <c r="N277" s="131" t="str">
        <f>"(55)"</f>
        <v>(55)</v>
      </c>
      <c r="O277" s="130">
        <f>SUM(O272*1.22)</f>
        <v>0</v>
      </c>
      <c r="P277" s="96" t="str">
        <f>"(55)"</f>
        <v>(55)</v>
      </c>
    </row>
    <row r="278" spans="2:16" ht="17.25" x14ac:dyDescent="0.25">
      <c r="B278" s="187" t="str">
        <f>'kuni 2025 detsember tegevuskava'!A62&amp;"/"&amp;'kuni 2025 detsember tegevuskava'!C62</f>
        <v>Regionaal- ja Põllumajandusministeerium/</v>
      </c>
      <c r="C278" s="156" t="str">
        <f>'kuni 2025 detsember tegevuskava'!I62</f>
        <v>Täna Eestis kasutuses olev tarkvara on hooldamiseks ja arendamiseks lootuselt vananenud ning sellel puudub arendaja tugi. Tarkvara osad moodulid ei tööta üldse (hinnamoodul ja vedajate moodul). Mittevastavuses kehtivate turvastandarditega. Ei toeta võimalust kuvada andmeid NeTEx formaadis (EU komisjoni delegeeritud määrus 2017/1926). Kui programm ei tööta, siis Eestis ühistransport on halvatud.</v>
      </c>
      <c r="D278" s="156" t="str">
        <f>'kuni 2025 detsember tegevuskava'!J62</f>
        <v>Sõiduplaanide ja sõidupiletite hindade haldamise tarkvara soetamise, hooldus- ja tugiteenuse ning arendamise hange</v>
      </c>
      <c r="E278" s="156" t="str">
        <f>'kuni 2025 detsember tegevuskava'!K62</f>
        <v>Saame loobuda vanad tarkvarast, kuna leitud on uus koostööpartner-või partnerid hankeperioodiks 5 aastat, millest maksimaalselt üks aasta kulub uue tarkvara välja arendmisele (sellise ootuse puhul loodame hankida just karbitoodet).</v>
      </c>
      <c r="F278" s="156" t="str">
        <f>'kuni 2025 detsember tegevuskava'!O62&amp;"/"</f>
        <v>Muu rahastus/</v>
      </c>
      <c r="G278" s="156" cm="1">
        <f t="array" ref="G278">_xlfn.IFS('kuni 2025 detsember tegevuskava'!G62='kuni 2025 detsember tegevuskava'!$G$97,1,'kuni 2025 detsember tegevuskava'!G62='kuni 2025 detsember tegevuskava'!$G$98,2,'kuni 2025 detsember tegevuskava'!G62='kuni 2025 detsember tegevuskava'!$G$99,3,'kuni 2025 detsember tegevuskava'!G62='kuni 2025 detsember tegevuskava'!$G$100,4)</f>
        <v>1</v>
      </c>
      <c r="H278" s="194" cm="1">
        <f t="array" ref="H278">_xlfn.IFS(OR('kuni 2025 detsember tegevuskava'!O62='kuni 2025 detsember tegevuskava'!$O$97,'kuni 2025 detsember tegevuskava'!O62='kuni 2025 detsember tegevuskava'!$O$99,'kuni 2025 detsember tegevuskava'!O62='kuni 2025 detsember tegevuskava'!$O$100,'kuni 2025 detsember tegevuskava'!O62='kuni 2025 detsember tegevuskava'!$O$101),1,'kuni 2025 detsember tegevuskava'!O62='kuni 2025 detsember tegevuskava'!$O$102,2,'kuni 2025 detsember tegevuskava'!O62='kuni 2025 detsember tegevuskava'!$O$103,2,'kuni 2025 detsember tegevuskava'!O62='kuni 2025 detsember tegevuskava'!$O$98,3)</f>
        <v>3</v>
      </c>
      <c r="I278" s="132">
        <f>SUM(I279:I281)</f>
        <v>1330000</v>
      </c>
      <c r="J278" s="133"/>
      <c r="K278" s="81">
        <f>SUM(K279:K281)</f>
        <v>0</v>
      </c>
      <c r="L278" s="83"/>
      <c r="M278" s="132">
        <f>SUM(M279:M281)</f>
        <v>1330000</v>
      </c>
      <c r="N278" s="133"/>
      <c r="O278" s="81">
        <f>SUM(O279:O281)</f>
        <v>0</v>
      </c>
      <c r="P278" s="85"/>
    </row>
    <row r="279" spans="2:16" ht="17.25" x14ac:dyDescent="0.25">
      <c r="B279" s="145"/>
      <c r="C279" s="8"/>
      <c r="D279" s="8"/>
      <c r="E279" s="8"/>
      <c r="F279" s="8"/>
      <c r="G279" s="8"/>
      <c r="H279" s="192"/>
      <c r="I279" s="102">
        <f>SUM(K279+M279+O279)</f>
        <v>1330000</v>
      </c>
      <c r="J279" s="103" t="str">
        <f>"(15)"</f>
        <v>(15)</v>
      </c>
      <c r="K279" s="97">
        <f>'kuni 2025 detsember tegevuskava'!W62</f>
        <v>0</v>
      </c>
      <c r="L279" s="98" t="str">
        <f>"(15)"</f>
        <v>(15)</v>
      </c>
      <c r="M279" s="102">
        <f>'kuni 2025 detsember tegevuskava'!Z62</f>
        <v>1330000</v>
      </c>
      <c r="N279" s="103" t="str">
        <f>"(15)"</f>
        <v>(15)</v>
      </c>
      <c r="O279" s="97">
        <f>'kuni 2025 detsember tegevuskava'!AC62</f>
        <v>0</v>
      </c>
      <c r="P279" s="87" t="str">
        <f>"(15)"</f>
        <v>(15)</v>
      </c>
    </row>
    <row r="280" spans="2:16" ht="17.25" x14ac:dyDescent="0.25">
      <c r="B280" s="145"/>
      <c r="C280" s="8"/>
      <c r="D280" s="8"/>
      <c r="E280" s="8"/>
      <c r="F280" s="8"/>
      <c r="G280" s="8"/>
      <c r="H280" s="192"/>
      <c r="I280" s="102">
        <f>SUM(K280+M280+O280)</f>
        <v>0</v>
      </c>
      <c r="J280" s="103" t="str">
        <f>"(50)"</f>
        <v>(50)</v>
      </c>
      <c r="K280" s="97">
        <f>'kuni 2025 detsember tegevuskava'!X62</f>
        <v>0</v>
      </c>
      <c r="L280" s="98" t="str">
        <f>"(50)"</f>
        <v>(50)</v>
      </c>
      <c r="M280" s="102">
        <f>'kuni 2025 detsember tegevuskava'!AA62</f>
        <v>0</v>
      </c>
      <c r="N280" s="103" t="str">
        <f>"(50)"</f>
        <v>(50)</v>
      </c>
      <c r="O280" s="97">
        <f>'kuni 2025 detsember tegevuskava'!AD62</f>
        <v>0</v>
      </c>
      <c r="P280" s="87" t="str">
        <f>"(50)"</f>
        <v>(50)</v>
      </c>
    </row>
    <row r="281" spans="2:16" ht="17.25" x14ac:dyDescent="0.25">
      <c r="B281" s="145"/>
      <c r="C281" s="8"/>
      <c r="D281" s="8"/>
      <c r="E281" s="8"/>
      <c r="F281" s="8"/>
      <c r="G281" s="8"/>
      <c r="H281" s="192"/>
      <c r="I281" s="104">
        <f>SUM(K281+M281+O281)</f>
        <v>0</v>
      </c>
      <c r="J281" s="105" t="str">
        <f>"(55)"</f>
        <v>(55)</v>
      </c>
      <c r="K281" s="99">
        <f>'kuni 2025 detsember tegevuskava'!Y62</f>
        <v>0</v>
      </c>
      <c r="L281" s="88" t="str">
        <f>"(55)"</f>
        <v>(55)</v>
      </c>
      <c r="M281" s="104">
        <f>'kuni 2025 detsember tegevuskava'!AB62</f>
        <v>0</v>
      </c>
      <c r="N281" s="105" t="str">
        <f>"(55)"</f>
        <v>(55)</v>
      </c>
      <c r="O281" s="99">
        <f>'kuni 2025 detsember tegevuskava'!AE62</f>
        <v>0</v>
      </c>
      <c r="P281" s="90" t="str">
        <f>"(55)"</f>
        <v>(55)</v>
      </c>
    </row>
    <row r="282" spans="2:16" ht="17.25" x14ac:dyDescent="0.25">
      <c r="B282" s="145"/>
      <c r="C282" s="8"/>
      <c r="D282" s="8"/>
      <c r="E282" s="8"/>
      <c r="F282" s="8"/>
      <c r="G282" s="8"/>
      <c r="H282" s="192"/>
      <c r="I282" s="151" t="s">
        <v>298</v>
      </c>
      <c r="J282" s="8"/>
      <c r="K282" s="8"/>
      <c r="L282" s="8"/>
      <c r="M282" s="8"/>
      <c r="N282" s="8"/>
      <c r="O282" s="8"/>
      <c r="P282" s="159"/>
    </row>
    <row r="283" spans="2:16" ht="17.25" x14ac:dyDescent="0.25">
      <c r="B283" s="145"/>
      <c r="C283" s="8"/>
      <c r="D283" s="8"/>
      <c r="E283" s="8"/>
      <c r="F283" s="8"/>
      <c r="G283" s="8"/>
      <c r="H283" s="192"/>
      <c r="I283" s="100">
        <f>SUM(I284:I286)</f>
        <v>1622600</v>
      </c>
      <c r="J283" s="182"/>
      <c r="K283" s="91">
        <f>SUM(K284:K286)</f>
        <v>0</v>
      </c>
      <c r="L283" s="92"/>
      <c r="M283" s="100">
        <f>SUM(M284:M286)</f>
        <v>1622600</v>
      </c>
      <c r="N283" s="106"/>
      <c r="O283" s="100">
        <f>SUM(O284:O286)</f>
        <v>0</v>
      </c>
      <c r="P283" s="134"/>
    </row>
    <row r="284" spans="2:16" ht="17.25" x14ac:dyDescent="0.25">
      <c r="B284" s="145"/>
      <c r="C284" s="8"/>
      <c r="D284" s="8"/>
      <c r="E284" s="8"/>
      <c r="F284" s="8"/>
      <c r="G284" s="8"/>
      <c r="H284" s="192"/>
      <c r="I284" s="102">
        <f>SUM(K284+M284+O284)</f>
        <v>1622600</v>
      </c>
      <c r="J284" s="103" t="str">
        <f>"(15)"</f>
        <v>(15)</v>
      </c>
      <c r="K284" s="97">
        <f>SUM(K279*1.2)</f>
        <v>0</v>
      </c>
      <c r="L284" s="98" t="str">
        <f>"(15)"</f>
        <v>(15)</v>
      </c>
      <c r="M284" s="102">
        <f>SUM(M279*1.22)</f>
        <v>1622600</v>
      </c>
      <c r="N284" s="103" t="str">
        <f>"(15)"</f>
        <v>(15)</v>
      </c>
      <c r="O284" s="102">
        <f>SUM(O279*1.22)</f>
        <v>0</v>
      </c>
      <c r="P284" s="87" t="str">
        <f>"(15)"</f>
        <v>(15)</v>
      </c>
    </row>
    <row r="285" spans="2:16" ht="17.25" x14ac:dyDescent="0.25">
      <c r="B285" s="145"/>
      <c r="C285" s="8"/>
      <c r="D285" s="8"/>
      <c r="E285" s="8"/>
      <c r="F285" s="8"/>
      <c r="G285" s="8"/>
      <c r="H285" s="192"/>
      <c r="I285" s="102">
        <f>SUM(K285+M285+O285)</f>
        <v>0</v>
      </c>
      <c r="J285" s="103" t="str">
        <f>"(50)"</f>
        <v>(50)</v>
      </c>
      <c r="K285" s="97">
        <f>K280</f>
        <v>0</v>
      </c>
      <c r="L285" s="98" t="str">
        <f>"(50)"</f>
        <v>(50)</v>
      </c>
      <c r="M285" s="102">
        <f>M280</f>
        <v>0</v>
      </c>
      <c r="N285" s="103" t="str">
        <f>"(50)"</f>
        <v>(50)</v>
      </c>
      <c r="O285" s="102">
        <f>O280</f>
        <v>0</v>
      </c>
      <c r="P285" s="87" t="str">
        <f>"(50)"</f>
        <v>(50)</v>
      </c>
    </row>
    <row r="286" spans="2:16" ht="18" thickBot="1" x14ac:dyDescent="0.3">
      <c r="B286" s="160"/>
      <c r="C286" s="161"/>
      <c r="D286" s="161"/>
      <c r="E286" s="161"/>
      <c r="F286" s="161"/>
      <c r="G286" s="161"/>
      <c r="H286" s="193"/>
      <c r="I286" s="130">
        <f>SUM(K286+M286+O286)</f>
        <v>0</v>
      </c>
      <c r="J286" s="131" t="str">
        <f>"(55)"</f>
        <v>(55)</v>
      </c>
      <c r="K286" s="93">
        <f>SUM(K281*1.2)</f>
        <v>0</v>
      </c>
      <c r="L286" s="94" t="str">
        <f>"(55)"</f>
        <v>(55)</v>
      </c>
      <c r="M286" s="130">
        <f>SUM(M281*1.22)</f>
        <v>0</v>
      </c>
      <c r="N286" s="131" t="str">
        <f>"(55)"</f>
        <v>(55)</v>
      </c>
      <c r="O286" s="130">
        <f>SUM(O281*1.22)</f>
        <v>0</v>
      </c>
      <c r="P286" s="96" t="str">
        <f>"(55)"</f>
        <v>(55)</v>
      </c>
    </row>
    <row r="287" spans="2:16" ht="17.25" x14ac:dyDescent="0.25">
      <c r="B287" s="187" t="str">
        <f>'kuni 2025 detsember tegevuskava'!A63&amp;"/"&amp;'kuni 2025 detsember tegevuskava'!C63</f>
        <v>Regionaal- ja Põllumajandusministeerium/</v>
      </c>
      <c r="C287" s="156" t="str">
        <f>'kuni 2025 detsember tegevuskava'!I63</f>
        <v xml:space="preserve">MAK 2014-2020 perioodil loodi nõuded, mis lähtusid matemaatilistest valemitest ja mida sai hinnata läbi IT süsteemi ühe nupuvajutusega. ÜPP 2023-2027 periood on toonud sisust lähtuvad subjektiivsed nõuded, mille läbitöötamine võtab kordades rohkem aega ja inimressurssi. </v>
      </c>
      <c r="D287" s="156" t="str">
        <f>'kuni 2025 detsember tegevuskava'!J63</f>
        <v xml:space="preserve">Krati integratsioon asutusse </v>
      </c>
      <c r="E287" s="156" t="str">
        <f>'kuni 2025 detsember tegevuskava'!K63</f>
        <v xml:space="preserve">Projekt on edukas kui kratt on välja arendatud ja integreeritud neljas erinevas toetusmeetmes perioodil 2025. teine pool kuni 2026. aasta esimene pool.
</v>
      </c>
      <c r="F287" s="156" t="str">
        <f>'kuni 2025 detsember tegevuskava'!O63&amp;"/"</f>
        <v>SF 21-27 (taotletav raha)/</v>
      </c>
      <c r="G287" s="156" cm="1">
        <f t="array" ref="G287">_xlfn.IFS('kuni 2025 detsember tegevuskava'!G63='kuni 2025 detsember tegevuskava'!$G$97,1,'kuni 2025 detsember tegevuskava'!G63='kuni 2025 detsember tegevuskava'!$G$98,2,'kuni 2025 detsember tegevuskava'!G63='kuni 2025 detsember tegevuskava'!$G$99,3,'kuni 2025 detsember tegevuskava'!G63='kuni 2025 detsember tegevuskava'!$G$100,4)</f>
        <v>1</v>
      </c>
      <c r="H287" s="194" cm="1">
        <f t="array" ref="H287">_xlfn.IFS(OR('kuni 2025 detsember tegevuskava'!O63='kuni 2025 detsember tegevuskava'!$O$97,'kuni 2025 detsember tegevuskava'!O63='kuni 2025 detsember tegevuskava'!$O$99,'kuni 2025 detsember tegevuskava'!O63='kuni 2025 detsember tegevuskava'!$O$100,'kuni 2025 detsember tegevuskava'!O63='kuni 2025 detsember tegevuskava'!$O$101),1,'kuni 2025 detsember tegevuskava'!O63='kuni 2025 detsember tegevuskava'!$O$102,2,'kuni 2025 detsember tegevuskava'!O63='kuni 2025 detsember tegevuskava'!$O$103,2,'kuni 2025 detsember tegevuskava'!O63='kuni 2025 detsember tegevuskava'!$O$98,3)</f>
        <v>2</v>
      </c>
      <c r="I287" s="132">
        <f>SUM(I288:I290)</f>
        <v>208184</v>
      </c>
      <c r="J287" s="133"/>
      <c r="K287" s="81">
        <f>SUM(K288:K290)</f>
        <v>0</v>
      </c>
      <c r="L287" s="83"/>
      <c r="M287" s="132">
        <f>SUM(M288:M290)</f>
        <v>0</v>
      </c>
      <c r="N287" s="133"/>
      <c r="O287" s="81">
        <f>SUM(O288:O290)</f>
        <v>208184</v>
      </c>
      <c r="P287" s="85"/>
    </row>
    <row r="288" spans="2:16" ht="17.25" x14ac:dyDescent="0.25">
      <c r="B288" s="145"/>
      <c r="C288" s="8"/>
      <c r="D288" s="8"/>
      <c r="E288" s="8"/>
      <c r="F288" s="8"/>
      <c r="G288" s="8"/>
      <c r="H288" s="192"/>
      <c r="I288" s="102">
        <f>SUM(K288+M288+O288)</f>
        <v>0</v>
      </c>
      <c r="J288" s="103" t="str">
        <f>"(15)"</f>
        <v>(15)</v>
      </c>
      <c r="K288" s="97">
        <f>'kuni 2025 detsember tegevuskava'!W63</f>
        <v>0</v>
      </c>
      <c r="L288" s="98" t="str">
        <f>"(15)"</f>
        <v>(15)</v>
      </c>
      <c r="M288" s="102">
        <f>'kuni 2025 detsember tegevuskava'!Z63</f>
        <v>0</v>
      </c>
      <c r="N288" s="103" t="str">
        <f>"(15)"</f>
        <v>(15)</v>
      </c>
      <c r="O288" s="97">
        <f>'kuni 2025 detsember tegevuskava'!AC63</f>
        <v>0</v>
      </c>
      <c r="P288" s="87" t="str">
        <f>"(15)"</f>
        <v>(15)</v>
      </c>
    </row>
    <row r="289" spans="2:16" ht="17.25" x14ac:dyDescent="0.25">
      <c r="B289" s="145"/>
      <c r="C289" s="8"/>
      <c r="D289" s="8"/>
      <c r="E289" s="8"/>
      <c r="F289" s="8"/>
      <c r="G289" s="8"/>
      <c r="H289" s="192"/>
      <c r="I289" s="102">
        <f>SUM(K289+M289+O289)</f>
        <v>48168.000000000007</v>
      </c>
      <c r="J289" s="103" t="str">
        <f>"(50)"</f>
        <v>(50)</v>
      </c>
      <c r="K289" s="97">
        <f>'kuni 2025 detsember tegevuskava'!X63</f>
        <v>0</v>
      </c>
      <c r="L289" s="98" t="str">
        <f>"(50)"</f>
        <v>(50)</v>
      </c>
      <c r="M289" s="102">
        <f>'kuni 2025 detsember tegevuskava'!AA63</f>
        <v>0</v>
      </c>
      <c r="N289" s="103" t="str">
        <f>"(50)"</f>
        <v>(50)</v>
      </c>
      <c r="O289" s="97">
        <f>'kuni 2025 detsember tegevuskava'!AD63</f>
        <v>48168.000000000007</v>
      </c>
      <c r="P289" s="87" t="str">
        <f>"(50)"</f>
        <v>(50)</v>
      </c>
    </row>
    <row r="290" spans="2:16" ht="17.25" x14ac:dyDescent="0.25">
      <c r="B290" s="145"/>
      <c r="C290" s="8"/>
      <c r="D290" s="8"/>
      <c r="E290" s="8"/>
      <c r="F290" s="8"/>
      <c r="G290" s="8"/>
      <c r="H290" s="192"/>
      <c r="I290" s="104">
        <f>SUM(K290+M290+O290)</f>
        <v>160016</v>
      </c>
      <c r="J290" s="105" t="str">
        <f>"(55)"</f>
        <v>(55)</v>
      </c>
      <c r="K290" s="99">
        <f>'kuni 2025 detsember tegevuskava'!Y63</f>
        <v>0</v>
      </c>
      <c r="L290" s="88" t="str">
        <f>"(55)"</f>
        <v>(55)</v>
      </c>
      <c r="M290" s="104">
        <f>'kuni 2025 detsember tegevuskava'!AB63</f>
        <v>0</v>
      </c>
      <c r="N290" s="105" t="str">
        <f>"(55)"</f>
        <v>(55)</v>
      </c>
      <c r="O290" s="99">
        <f>'kuni 2025 detsember tegevuskava'!AE63</f>
        <v>160016</v>
      </c>
      <c r="P290" s="90" t="str">
        <f>"(55)"</f>
        <v>(55)</v>
      </c>
    </row>
    <row r="291" spans="2:16" ht="17.25" x14ac:dyDescent="0.25">
      <c r="B291" s="145"/>
      <c r="C291" s="8"/>
      <c r="D291" s="8"/>
      <c r="E291" s="8"/>
      <c r="F291" s="8"/>
      <c r="G291" s="8"/>
      <c r="H291" s="192"/>
      <c r="I291" s="151" t="s">
        <v>298</v>
      </c>
      <c r="J291" s="8"/>
      <c r="K291" s="8"/>
      <c r="L291" s="8"/>
      <c r="M291" s="8"/>
      <c r="N291" s="8"/>
      <c r="O291" s="8"/>
      <c r="P291" s="159"/>
    </row>
    <row r="292" spans="2:16" ht="17.25" x14ac:dyDescent="0.25">
      <c r="B292" s="145"/>
      <c r="C292" s="8"/>
      <c r="D292" s="8"/>
      <c r="E292" s="8"/>
      <c r="F292" s="8"/>
      <c r="G292" s="8"/>
      <c r="H292" s="192"/>
      <c r="I292" s="100">
        <f>SUM(I293:I295)</f>
        <v>243387.51999999999</v>
      </c>
      <c r="J292" s="101"/>
      <c r="K292" s="91">
        <f>SUM(K293:K295)</f>
        <v>0</v>
      </c>
      <c r="L292" s="92"/>
      <c r="M292" s="100">
        <f>SUM(M293:M295)</f>
        <v>0</v>
      </c>
      <c r="N292" s="106"/>
      <c r="O292" s="100">
        <f>SUM(O293:O295)</f>
        <v>243387.51999999999</v>
      </c>
      <c r="P292" s="134"/>
    </row>
    <row r="293" spans="2:16" ht="17.25" x14ac:dyDescent="0.25">
      <c r="B293" s="145"/>
      <c r="C293" s="8"/>
      <c r="D293" s="8"/>
      <c r="E293" s="8"/>
      <c r="F293" s="8"/>
      <c r="G293" s="8"/>
      <c r="H293" s="192"/>
      <c r="I293" s="102">
        <f>SUM(K293+M293+O293)</f>
        <v>0</v>
      </c>
      <c r="J293" s="103" t="str">
        <f>"(15)"</f>
        <v>(15)</v>
      </c>
      <c r="K293" s="97">
        <f>SUM(K288*1.2)</f>
        <v>0</v>
      </c>
      <c r="L293" s="98" t="str">
        <f>"(15)"</f>
        <v>(15)</v>
      </c>
      <c r="M293" s="102">
        <f>SUM(M288*1.22)</f>
        <v>0</v>
      </c>
      <c r="N293" s="103" t="str">
        <f>"(15)"</f>
        <v>(15)</v>
      </c>
      <c r="O293" s="102">
        <f>SUM(O288*1.22)</f>
        <v>0</v>
      </c>
      <c r="P293" s="87" t="str">
        <f>"(15)"</f>
        <v>(15)</v>
      </c>
    </row>
    <row r="294" spans="2:16" ht="17.25" x14ac:dyDescent="0.25">
      <c r="B294" s="145"/>
      <c r="C294" s="8"/>
      <c r="D294" s="8"/>
      <c r="E294" s="8"/>
      <c r="F294" s="8"/>
      <c r="G294" s="8"/>
      <c r="H294" s="192"/>
      <c r="I294" s="102">
        <f>SUM(K294+M294+O294)</f>
        <v>48168.000000000007</v>
      </c>
      <c r="J294" s="103" t="str">
        <f>"(50)"</f>
        <v>(50)</v>
      </c>
      <c r="K294" s="97">
        <f>K289</f>
        <v>0</v>
      </c>
      <c r="L294" s="98" t="str">
        <f>"(50)"</f>
        <v>(50)</v>
      </c>
      <c r="M294" s="102">
        <f>M289</f>
        <v>0</v>
      </c>
      <c r="N294" s="103" t="str">
        <f>"(50)"</f>
        <v>(50)</v>
      </c>
      <c r="O294" s="102">
        <f>O289</f>
        <v>48168.000000000007</v>
      </c>
      <c r="P294" s="87" t="str">
        <f>"(50)"</f>
        <v>(50)</v>
      </c>
    </row>
    <row r="295" spans="2:16" ht="18" thickBot="1" x14ac:dyDescent="0.3">
      <c r="B295" s="160"/>
      <c r="C295" s="161"/>
      <c r="D295" s="161"/>
      <c r="E295" s="161"/>
      <c r="F295" s="161"/>
      <c r="G295" s="161"/>
      <c r="H295" s="193"/>
      <c r="I295" s="130">
        <f>SUM(K295+M295+O295)</f>
        <v>195219.52</v>
      </c>
      <c r="J295" s="131" t="str">
        <f>"(55)"</f>
        <v>(55)</v>
      </c>
      <c r="K295" s="93">
        <f>SUM(K290*1.2)</f>
        <v>0</v>
      </c>
      <c r="L295" s="94" t="str">
        <f>"(55)"</f>
        <v>(55)</v>
      </c>
      <c r="M295" s="130">
        <f>SUM(M290*1.22)</f>
        <v>0</v>
      </c>
      <c r="N295" s="131" t="str">
        <f>"(55)"</f>
        <v>(55)</v>
      </c>
      <c r="O295" s="130">
        <f>SUM(O290*1.22)</f>
        <v>195219.52</v>
      </c>
      <c r="P295" s="96" t="str">
        <f>"(55)"</f>
        <v>(55)</v>
      </c>
    </row>
    <row r="296" spans="2:16" ht="17.25" x14ac:dyDescent="0.25">
      <c r="B296" s="187" t="str">
        <f>'kuni 2025 detsember tegevuskava'!A64&amp;"/"&amp;'kuni 2025 detsember tegevuskava'!C64</f>
        <v>Regionaal- ja Põllumajandusministeerium/UUS</v>
      </c>
      <c r="C296" s="156" t="str">
        <f>'kuni 2025 detsember tegevuskava'!I64</f>
        <v>Ai nõude rakendamine erinevate PRIA teenuste pakkumiseks - pinnaseire, arengutoetused</v>
      </c>
      <c r="D296" s="156" t="str">
        <f>'kuni 2025 detsember tegevuskava'!J64</f>
        <v>AI meeskond, PRIA baaseelarvest rahastatav</v>
      </c>
      <c r="E296" s="156" t="str">
        <f>'kuni 2025 detsember tegevuskava'!K64</f>
        <v>AI rakendamine koos erinevate projektimeeskondadega (sh SF projektid)</v>
      </c>
      <c r="F296" s="156" t="str">
        <f>'kuni 2025 detsember tegevuskava'!O64&amp;"/"</f>
        <v>Muu rahastus/</v>
      </c>
      <c r="G296" s="156" cm="1">
        <f t="array" ref="G296">_xlfn.IFS('kuni 2025 detsember tegevuskava'!G64='kuni 2025 detsember tegevuskava'!$G$97,1,'kuni 2025 detsember tegevuskava'!G64='kuni 2025 detsember tegevuskava'!$G$98,2,'kuni 2025 detsember tegevuskava'!G64='kuni 2025 detsember tegevuskava'!$G$99,3,'kuni 2025 detsember tegevuskava'!G64='kuni 2025 detsember tegevuskava'!$G$100,4)</f>
        <v>1</v>
      </c>
      <c r="H296" s="194" cm="1">
        <f t="array" ref="H296">_xlfn.IFS(OR('kuni 2025 detsember tegevuskava'!O64='kuni 2025 detsember tegevuskava'!$O$97,'kuni 2025 detsember tegevuskava'!O64='kuni 2025 detsember tegevuskava'!$O$99,'kuni 2025 detsember tegevuskava'!O64='kuni 2025 detsember tegevuskava'!$O$100,'kuni 2025 detsember tegevuskava'!O64='kuni 2025 detsember tegevuskava'!$O$101),1,'kuni 2025 detsember tegevuskava'!O64='kuni 2025 detsember tegevuskava'!$O$102,2,'kuni 2025 detsember tegevuskava'!O64='kuni 2025 detsember tegevuskava'!$O$103,2,'kuni 2025 detsember tegevuskava'!O64='kuni 2025 detsember tegevuskava'!$O$98,3)</f>
        <v>3</v>
      </c>
      <c r="I296" s="132">
        <f>SUM(I297:I299)</f>
        <v>195883.2</v>
      </c>
      <c r="J296" s="133"/>
      <c r="K296" s="81">
        <f>SUM(K297:K299)</f>
        <v>0</v>
      </c>
      <c r="L296" s="83"/>
      <c r="M296" s="132">
        <f>SUM(M297:M299)</f>
        <v>97941.6</v>
      </c>
      <c r="N296" s="133"/>
      <c r="O296" s="81">
        <f>SUM(O297:O299)</f>
        <v>97941.6</v>
      </c>
      <c r="P296" s="85"/>
    </row>
    <row r="297" spans="2:16" ht="17.25" x14ac:dyDescent="0.25">
      <c r="B297" s="145"/>
      <c r="C297" s="8"/>
      <c r="D297" s="8"/>
      <c r="E297" s="8"/>
      <c r="F297" s="8"/>
      <c r="G297" s="8"/>
      <c r="H297" s="192"/>
      <c r="I297" s="102">
        <f>SUM(K297+M297+O297)</f>
        <v>0</v>
      </c>
      <c r="J297" s="103" t="str">
        <f>"(15)"</f>
        <v>(15)</v>
      </c>
      <c r="K297" s="97">
        <f>'kuni 2025 detsember tegevuskava'!W64</f>
        <v>0</v>
      </c>
      <c r="L297" s="98" t="str">
        <f>"(15)"</f>
        <v>(15)</v>
      </c>
      <c r="M297" s="102">
        <f>'kuni 2025 detsember tegevuskava'!Z64</f>
        <v>0</v>
      </c>
      <c r="N297" s="103" t="str">
        <f>"(15)"</f>
        <v>(15)</v>
      </c>
      <c r="O297" s="97">
        <f>'kuni 2025 detsember tegevuskava'!AC64</f>
        <v>0</v>
      </c>
      <c r="P297" s="87" t="str">
        <f>"(15)"</f>
        <v>(15)</v>
      </c>
    </row>
    <row r="298" spans="2:16" ht="17.25" x14ac:dyDescent="0.25">
      <c r="B298" s="145"/>
      <c r="C298" s="8"/>
      <c r="D298" s="8"/>
      <c r="E298" s="8"/>
      <c r="F298" s="8"/>
      <c r="G298" s="8"/>
      <c r="H298" s="192"/>
      <c r="I298" s="102">
        <f>SUM(K298+M298+O298)</f>
        <v>195883.2</v>
      </c>
      <c r="J298" s="103" t="str">
        <f>"(50)"</f>
        <v>(50)</v>
      </c>
      <c r="K298" s="97">
        <f>'kuni 2025 detsember tegevuskava'!X64</f>
        <v>0</v>
      </c>
      <c r="L298" s="98" t="str">
        <f>"(50)"</f>
        <v>(50)</v>
      </c>
      <c r="M298" s="102">
        <f>'kuni 2025 detsember tegevuskava'!AA64</f>
        <v>97941.6</v>
      </c>
      <c r="N298" s="103" t="str">
        <f>"(50)"</f>
        <v>(50)</v>
      </c>
      <c r="O298" s="97">
        <f>'kuni 2025 detsember tegevuskava'!AD64</f>
        <v>97941.6</v>
      </c>
      <c r="P298" s="87" t="str">
        <f>"(50)"</f>
        <v>(50)</v>
      </c>
    </row>
    <row r="299" spans="2:16" ht="17.25" x14ac:dyDescent="0.25">
      <c r="B299" s="145"/>
      <c r="C299" s="8"/>
      <c r="D299" s="8"/>
      <c r="E299" s="8"/>
      <c r="F299" s="8"/>
      <c r="G299" s="8"/>
      <c r="H299" s="192"/>
      <c r="I299" s="104">
        <f>SUM(K299+M299+O299)</f>
        <v>0</v>
      </c>
      <c r="J299" s="105" t="str">
        <f>"(55)"</f>
        <v>(55)</v>
      </c>
      <c r="K299" s="99">
        <f>'kuni 2025 detsember tegevuskava'!Y64</f>
        <v>0</v>
      </c>
      <c r="L299" s="88" t="str">
        <f>"(55)"</f>
        <v>(55)</v>
      </c>
      <c r="M299" s="104">
        <f>'kuni 2025 detsember tegevuskava'!AB64</f>
        <v>0</v>
      </c>
      <c r="N299" s="105" t="str">
        <f>"(55)"</f>
        <v>(55)</v>
      </c>
      <c r="O299" s="99">
        <f>'kuni 2025 detsember tegevuskava'!AE64</f>
        <v>0</v>
      </c>
      <c r="P299" s="90" t="str">
        <f>"(55)"</f>
        <v>(55)</v>
      </c>
    </row>
    <row r="300" spans="2:16" ht="17.25" x14ac:dyDescent="0.25">
      <c r="B300" s="145"/>
      <c r="C300" s="8"/>
      <c r="D300" s="8"/>
      <c r="E300" s="8"/>
      <c r="F300" s="8"/>
      <c r="G300" s="8"/>
      <c r="H300" s="192"/>
      <c r="I300" s="151" t="s">
        <v>298</v>
      </c>
      <c r="J300" s="8"/>
      <c r="K300" s="8"/>
      <c r="L300" s="8"/>
      <c r="M300" s="8"/>
      <c r="N300" s="8"/>
      <c r="O300" s="8"/>
      <c r="P300" s="159"/>
    </row>
    <row r="301" spans="2:16" ht="17.25" x14ac:dyDescent="0.25">
      <c r="B301" s="145"/>
      <c r="C301" s="8"/>
      <c r="D301" s="8"/>
      <c r="E301" s="8"/>
      <c r="F301" s="8"/>
      <c r="G301" s="8"/>
      <c r="H301" s="192"/>
      <c r="I301" s="100">
        <f>SUM(I302:I304)</f>
        <v>195883.2</v>
      </c>
      <c r="J301" s="101"/>
      <c r="K301" s="91">
        <f>SUM(K302:K304)</f>
        <v>0</v>
      </c>
      <c r="L301" s="92"/>
      <c r="M301" s="100">
        <f>SUM(M302:M304)</f>
        <v>97941.6</v>
      </c>
      <c r="N301" s="106"/>
      <c r="O301" s="100">
        <f>SUM(O302:O304)</f>
        <v>97941.6</v>
      </c>
      <c r="P301" s="134"/>
    </row>
    <row r="302" spans="2:16" ht="17.25" x14ac:dyDescent="0.25">
      <c r="B302" s="145"/>
      <c r="C302" s="8"/>
      <c r="D302" s="8"/>
      <c r="E302" s="8"/>
      <c r="F302" s="8"/>
      <c r="G302" s="8"/>
      <c r="H302" s="192"/>
      <c r="I302" s="102">
        <f>SUM(K302+M302+O302)</f>
        <v>0</v>
      </c>
      <c r="J302" s="103" t="str">
        <f>"(15)"</f>
        <v>(15)</v>
      </c>
      <c r="K302" s="97">
        <f>SUM(K297*1.2)</f>
        <v>0</v>
      </c>
      <c r="L302" s="98" t="str">
        <f>"(15)"</f>
        <v>(15)</v>
      </c>
      <c r="M302" s="102">
        <f>SUM(M297*1.22)</f>
        <v>0</v>
      </c>
      <c r="N302" s="103" t="str">
        <f>"(15)"</f>
        <v>(15)</v>
      </c>
      <c r="O302" s="102">
        <f>SUM(O297*1.22)</f>
        <v>0</v>
      </c>
      <c r="P302" s="87" t="str">
        <f>"(15)"</f>
        <v>(15)</v>
      </c>
    </row>
    <row r="303" spans="2:16" ht="17.25" x14ac:dyDescent="0.25">
      <c r="B303" s="145"/>
      <c r="C303" s="8"/>
      <c r="D303" s="8"/>
      <c r="E303" s="8"/>
      <c r="F303" s="8"/>
      <c r="G303" s="8"/>
      <c r="H303" s="192"/>
      <c r="I303" s="102">
        <f>SUM(K303+M303+O303)</f>
        <v>195883.2</v>
      </c>
      <c r="J303" s="103" t="str">
        <f>"(50)"</f>
        <v>(50)</v>
      </c>
      <c r="K303" s="97">
        <f>K298</f>
        <v>0</v>
      </c>
      <c r="L303" s="98" t="str">
        <f>"(50)"</f>
        <v>(50)</v>
      </c>
      <c r="M303" s="102">
        <f>M298</f>
        <v>97941.6</v>
      </c>
      <c r="N303" s="103" t="str">
        <f>"(50)"</f>
        <v>(50)</v>
      </c>
      <c r="O303" s="102">
        <f>O298</f>
        <v>97941.6</v>
      </c>
      <c r="P303" s="87" t="str">
        <f>"(50)"</f>
        <v>(50)</v>
      </c>
    </row>
    <row r="304" spans="2:16" ht="18" thickBot="1" x14ac:dyDescent="0.3">
      <c r="B304" s="160"/>
      <c r="C304" s="161"/>
      <c r="D304" s="161"/>
      <c r="E304" s="161"/>
      <c r="F304" s="161"/>
      <c r="G304" s="161"/>
      <c r="H304" s="193"/>
      <c r="I304" s="130">
        <f>SUM(K304+M304+O304)</f>
        <v>0</v>
      </c>
      <c r="J304" s="131" t="str">
        <f>"(55)"</f>
        <v>(55)</v>
      </c>
      <c r="K304" s="93">
        <f>SUM(K299*1.2)</f>
        <v>0</v>
      </c>
      <c r="L304" s="94" t="str">
        <f>"(55)"</f>
        <v>(55)</v>
      </c>
      <c r="M304" s="130">
        <f>SUM(M299*1.22)</f>
        <v>0</v>
      </c>
      <c r="N304" s="131" t="str">
        <f>"(55)"</f>
        <v>(55)</v>
      </c>
      <c r="O304" s="130">
        <f>SUM(O299*1.22)</f>
        <v>0</v>
      </c>
      <c r="P304" s="96" t="str">
        <f>"(55)"</f>
        <v>(55)</v>
      </c>
    </row>
    <row r="305" spans="2:16" ht="17.25" x14ac:dyDescent="0.25">
      <c r="B305" s="187" t="str">
        <f>'kuni 2025 detsember tegevuskava'!A65&amp;"/"&amp;'kuni 2025 detsember tegevuskava'!C65</f>
        <v>Regionaal- ja Põllumajandusministeerium/</v>
      </c>
      <c r="C305" s="156" t="str">
        <f>'kuni 2025 detsember tegevuskava'!I65</f>
        <v xml:space="preserve">Pindalatoetuste klientidel (ca 14 000 tk) puudub ülevaade oma põldudele kehtivate nõuete kohta seiresüsteemi tulemustest. See tingib suure halduskoormuse kliendile kui ka menetlejale ja piirab ennetavate mõjude rakendamist. Seire süsteem on oma olemusest ennetav mitte kliendile karistav süsteem. Täna on loodud MVP lahendus, arenduse tulemus on automatiseeritud kliendikeskne ja proaktiivne lahendus.  </v>
      </c>
      <c r="D305" s="156" t="str">
        <f>'kuni 2025 detsember tegevuskava'!J65</f>
        <v>Pinnaseire süsteemi kliendivaate loomine</v>
      </c>
      <c r="E305" s="156" t="str">
        <f>'kuni 2025 detsember tegevuskava'!K65</f>
        <v xml:space="preserve">1. Kliendil on terviklik ja online ülevaade oma põldude seiretulemuste (nt. nõue = niitmine seiretulemus on ok) kohta. 
2. Klient saab alustada vajalikke toiminguid kliendiportaalis (nt. seiresüsteemi tulemus on avastatud on vale kultuur, tekib kliendidl võimalus kultuur korrigeerida ilma sanktsioonideta). </v>
      </c>
      <c r="F305" s="156" t="str">
        <f>'kuni 2025 detsember tegevuskava'!O65&amp;"/"</f>
        <v>SF 21-27 (taotletav raha)/</v>
      </c>
      <c r="G305" s="156" cm="1">
        <f t="array" ref="G305">_xlfn.IFS('kuni 2025 detsember tegevuskava'!G65='kuni 2025 detsember tegevuskava'!$G$97,1,'kuni 2025 detsember tegevuskava'!G65='kuni 2025 detsember tegevuskava'!$G$98,2,'kuni 2025 detsember tegevuskava'!G65='kuni 2025 detsember tegevuskava'!$G$99,3,'kuni 2025 detsember tegevuskava'!G65='kuni 2025 detsember tegevuskava'!$G$100,4)</f>
        <v>1</v>
      </c>
      <c r="H305" s="194" cm="1">
        <f t="array" ref="H305">_xlfn.IFS(OR('kuni 2025 detsember tegevuskava'!O65='kuni 2025 detsember tegevuskava'!$O$97,'kuni 2025 detsember tegevuskava'!O65='kuni 2025 detsember tegevuskava'!$O$99,'kuni 2025 detsember tegevuskava'!O65='kuni 2025 detsember tegevuskava'!$O$100,'kuni 2025 detsember tegevuskava'!O65='kuni 2025 detsember tegevuskava'!$O$101),1,'kuni 2025 detsember tegevuskava'!O65='kuni 2025 detsember tegevuskava'!$O$102,2,'kuni 2025 detsember tegevuskava'!O65='kuni 2025 detsember tegevuskava'!$O$103,2,'kuni 2025 detsember tegevuskava'!O65='kuni 2025 detsember tegevuskava'!$O$98,3)</f>
        <v>2</v>
      </c>
      <c r="I305" s="132">
        <f>SUM(I306:I308)</f>
        <v>104400</v>
      </c>
      <c r="J305" s="133"/>
      <c r="K305" s="81">
        <f>SUM(K306:K308)</f>
        <v>0</v>
      </c>
      <c r="L305" s="83"/>
      <c r="M305" s="132">
        <f>SUM(M306:M308)</f>
        <v>0</v>
      </c>
      <c r="N305" s="133"/>
      <c r="O305" s="81">
        <f>SUM(O306:O308)</f>
        <v>104400</v>
      </c>
      <c r="P305" s="85"/>
    </row>
    <row r="306" spans="2:16" ht="17.25" x14ac:dyDescent="0.25">
      <c r="B306" s="145"/>
      <c r="C306" s="8"/>
      <c r="D306" s="8"/>
      <c r="E306" s="8"/>
      <c r="F306" s="8"/>
      <c r="G306" s="8"/>
      <c r="H306" s="192"/>
      <c r="I306" s="102">
        <f>SUM(K306+M306+O306)</f>
        <v>104400</v>
      </c>
      <c r="J306" s="103" t="str">
        <f>"(15)"</f>
        <v>(15)</v>
      </c>
      <c r="K306" s="97">
        <f>'kuni 2025 detsember tegevuskava'!W65</f>
        <v>0</v>
      </c>
      <c r="L306" s="98" t="str">
        <f>"(15)"</f>
        <v>(15)</v>
      </c>
      <c r="M306" s="102">
        <f>'kuni 2025 detsember tegevuskava'!Z65</f>
        <v>0</v>
      </c>
      <c r="N306" s="103" t="str">
        <f>"(15)"</f>
        <v>(15)</v>
      </c>
      <c r="O306" s="97">
        <f>'kuni 2025 detsember tegevuskava'!AC65</f>
        <v>104400</v>
      </c>
      <c r="P306" s="87" t="str">
        <f>"(15)"</f>
        <v>(15)</v>
      </c>
    </row>
    <row r="307" spans="2:16" ht="17.25" x14ac:dyDescent="0.25">
      <c r="B307" s="145"/>
      <c r="C307" s="8"/>
      <c r="D307" s="8"/>
      <c r="E307" s="8"/>
      <c r="F307" s="8"/>
      <c r="G307" s="8"/>
      <c r="H307" s="192"/>
      <c r="I307" s="102">
        <f>SUM(K307+M307+O307)</f>
        <v>0</v>
      </c>
      <c r="J307" s="103" t="str">
        <f>"(50)"</f>
        <v>(50)</v>
      </c>
      <c r="K307" s="97">
        <f>'kuni 2025 detsember tegevuskava'!X65</f>
        <v>0</v>
      </c>
      <c r="L307" s="98" t="str">
        <f>"(50)"</f>
        <v>(50)</v>
      </c>
      <c r="M307" s="102">
        <f>'kuni 2025 detsember tegevuskava'!AA65</f>
        <v>0</v>
      </c>
      <c r="N307" s="103" t="str">
        <f>"(50)"</f>
        <v>(50)</v>
      </c>
      <c r="O307" s="97">
        <f>'kuni 2025 detsember tegevuskava'!AD65</f>
        <v>0</v>
      </c>
      <c r="P307" s="87" t="str">
        <f>"(50)"</f>
        <v>(50)</v>
      </c>
    </row>
    <row r="308" spans="2:16" ht="17.25" x14ac:dyDescent="0.25">
      <c r="B308" s="145"/>
      <c r="C308" s="8"/>
      <c r="D308" s="8"/>
      <c r="E308" s="8"/>
      <c r="F308" s="8"/>
      <c r="G308" s="8"/>
      <c r="H308" s="192"/>
      <c r="I308" s="104">
        <f>SUM(K308+M308+O308)</f>
        <v>0</v>
      </c>
      <c r="J308" s="105" t="str">
        <f>"(55)"</f>
        <v>(55)</v>
      </c>
      <c r="K308" s="99">
        <f>'kuni 2025 detsember tegevuskava'!Y65</f>
        <v>0</v>
      </c>
      <c r="L308" s="88" t="str">
        <f>"(55)"</f>
        <v>(55)</v>
      </c>
      <c r="M308" s="104">
        <f>'kuni 2025 detsember tegevuskava'!AB65</f>
        <v>0</v>
      </c>
      <c r="N308" s="105" t="str">
        <f>"(55)"</f>
        <v>(55)</v>
      </c>
      <c r="O308" s="99">
        <f>'kuni 2025 detsember tegevuskava'!AE65</f>
        <v>0</v>
      </c>
      <c r="P308" s="90" t="str">
        <f>"(55)"</f>
        <v>(55)</v>
      </c>
    </row>
    <row r="309" spans="2:16" ht="17.25" x14ac:dyDescent="0.25">
      <c r="B309" s="145"/>
      <c r="C309" s="8"/>
      <c r="D309" s="8"/>
      <c r="E309" s="8"/>
      <c r="F309" s="8"/>
      <c r="G309" s="8"/>
      <c r="H309" s="192"/>
      <c r="I309" s="151" t="s">
        <v>298</v>
      </c>
      <c r="J309" s="8"/>
      <c r="K309" s="8"/>
      <c r="L309" s="8"/>
      <c r="M309" s="8"/>
      <c r="N309" s="8"/>
      <c r="O309" s="8"/>
      <c r="P309" s="159"/>
    </row>
    <row r="310" spans="2:16" ht="17.25" x14ac:dyDescent="0.25">
      <c r="B310" s="145"/>
      <c r="C310" s="8"/>
      <c r="D310" s="8"/>
      <c r="E310" s="8"/>
      <c r="F310" s="8"/>
      <c r="G310" s="8"/>
      <c r="H310" s="192"/>
      <c r="I310" s="100">
        <f>SUM(I311:I313)</f>
        <v>127368</v>
      </c>
      <c r="J310" s="101"/>
      <c r="K310" s="91">
        <f>SUM(K311:K313)</f>
        <v>0</v>
      </c>
      <c r="L310" s="92"/>
      <c r="M310" s="100">
        <f>SUM(M311:M313)</f>
        <v>0</v>
      </c>
      <c r="N310" s="106"/>
      <c r="O310" s="100">
        <f>SUM(O311:O313)</f>
        <v>127368</v>
      </c>
      <c r="P310" s="134"/>
    </row>
    <row r="311" spans="2:16" ht="17.25" x14ac:dyDescent="0.25">
      <c r="B311" s="145"/>
      <c r="C311" s="8"/>
      <c r="D311" s="8"/>
      <c r="E311" s="8"/>
      <c r="F311" s="8"/>
      <c r="G311" s="8"/>
      <c r="H311" s="192"/>
      <c r="I311" s="102">
        <f>SUM(K311+M311+O311)</f>
        <v>127368</v>
      </c>
      <c r="J311" s="103" t="str">
        <f>"(15)"</f>
        <v>(15)</v>
      </c>
      <c r="K311" s="97">
        <f>SUM(K306*1.2)</f>
        <v>0</v>
      </c>
      <c r="L311" s="98" t="str">
        <f>"(15)"</f>
        <v>(15)</v>
      </c>
      <c r="M311" s="102">
        <f>SUM(M306*1.22)</f>
        <v>0</v>
      </c>
      <c r="N311" s="103" t="str">
        <f>"(15)"</f>
        <v>(15)</v>
      </c>
      <c r="O311" s="102">
        <f>SUM(O306*1.22)</f>
        <v>127368</v>
      </c>
      <c r="P311" s="87" t="str">
        <f>"(15)"</f>
        <v>(15)</v>
      </c>
    </row>
    <row r="312" spans="2:16" ht="17.25" x14ac:dyDescent="0.25">
      <c r="B312" s="145"/>
      <c r="C312" s="8"/>
      <c r="D312" s="8"/>
      <c r="E312" s="8"/>
      <c r="F312" s="8"/>
      <c r="G312" s="8"/>
      <c r="H312" s="192"/>
      <c r="I312" s="102">
        <f>SUM(K312+M312+O312)</f>
        <v>0</v>
      </c>
      <c r="J312" s="103" t="str">
        <f>"(50)"</f>
        <v>(50)</v>
      </c>
      <c r="K312" s="97">
        <f>K307</f>
        <v>0</v>
      </c>
      <c r="L312" s="98" t="str">
        <f>"(50)"</f>
        <v>(50)</v>
      </c>
      <c r="M312" s="102">
        <f>M307</f>
        <v>0</v>
      </c>
      <c r="N312" s="103" t="str">
        <f>"(50)"</f>
        <v>(50)</v>
      </c>
      <c r="O312" s="102">
        <f>O307</f>
        <v>0</v>
      </c>
      <c r="P312" s="87" t="str">
        <f>"(50)"</f>
        <v>(50)</v>
      </c>
    </row>
    <row r="313" spans="2:16" ht="18" thickBot="1" x14ac:dyDescent="0.3">
      <c r="B313" s="160"/>
      <c r="C313" s="161"/>
      <c r="D313" s="161"/>
      <c r="E313" s="161"/>
      <c r="F313" s="161"/>
      <c r="G313" s="161"/>
      <c r="H313" s="193"/>
      <c r="I313" s="130">
        <f>SUM(K313+M313+O313)</f>
        <v>0</v>
      </c>
      <c r="J313" s="131" t="str">
        <f>"(55)"</f>
        <v>(55)</v>
      </c>
      <c r="K313" s="93">
        <f>SUM(K308*1.2)</f>
        <v>0</v>
      </c>
      <c r="L313" s="94" t="str">
        <f>"(55)"</f>
        <v>(55)</v>
      </c>
      <c r="M313" s="130">
        <f>SUM(M308*1.22)</f>
        <v>0</v>
      </c>
      <c r="N313" s="131" t="str">
        <f>"(55)"</f>
        <v>(55)</v>
      </c>
      <c r="O313" s="130">
        <f>SUM(O308*1.22)</f>
        <v>0</v>
      </c>
      <c r="P313" s="96" t="str">
        <f>"(55)"</f>
        <v>(55)</v>
      </c>
    </row>
    <row r="314" spans="2:16" ht="17.25" x14ac:dyDescent="0.25">
      <c r="B314" s="187" t="str">
        <f>'kuni 2025 detsember tegevuskava'!A66&amp;"/"&amp;'kuni 2025 detsember tegevuskava'!C66</f>
        <v>Regionaal- ja Põllumajandusministeerium/</v>
      </c>
      <c r="C314" s="156" t="str">
        <f>'kuni 2025 detsember tegevuskava'!I66</f>
        <v xml:space="preserve">  Kadumisriskiga klientide tuvastamise protsessi eesmärk on minimeerida klientide puudulikust seirest tingitud finantskahju teket, luues automaatne kontrolliprotsess klientide riskide hindamiseks ja skoorimiseks ning lepitakse kokku selge protsess kadumisriskiga klientidega tegelemiseks. 2017-2023 on PRIAs lootusetuks kantud 256 klienti, kellest pankrotistunud võlgnike arv on 56 ja äriregistrist kustutatud on 184 võlgnikku.
  Üle PRIAline raskustes olemise kontrolli eesmärgiks on, et meetmepõhine raskustes olemise kontrolli nõue on automatiseeritult ühtse kvaliteediga regulaarselt üle kõigi meetmete kontrollitud. Antud kontrolli kvaliteetne tegemine aitab ennetada kadumisriski teket ja samas tagab, et toetusskeemis osalejad vastavad kõikidele kehtestatud nõuetele. Antud kontrolli keerukuse ja mahukuse tõttu ei ole reaalne seda käsitsi teostada.
</v>
      </c>
      <c r="D314" s="156" t="str">
        <f>'kuni 2025 detsember tegevuskava'!J66</f>
        <v>Horisontaalne kadumisriski kontrolli ja universaalne raskustes olemise kontrolli protsessi välja töötamine ja IT arenduste teostamine</v>
      </c>
      <c r="E314" s="156" t="str">
        <f>'kuni 2025 detsember tegevuskava'!K66</f>
        <v xml:space="preserve">1. Kirjeldatud on ülePRIAline horisontaalne kadumisriski kontrolli protsessi ja universaalne raskustes olemise kontrolli protsess
2. Arendatud on protsessi toetav IT lahendus. </v>
      </c>
      <c r="F314" s="156" t="str">
        <f>'kuni 2025 detsember tegevuskava'!O66&amp;"/"</f>
        <v>SF 21-27 (taotletav raha)/</v>
      </c>
      <c r="G314" s="156" cm="1">
        <f t="array" ref="G314">_xlfn.IFS('kuni 2025 detsember tegevuskava'!G66='kuni 2025 detsember tegevuskava'!$G$97,1,'kuni 2025 detsember tegevuskava'!G66='kuni 2025 detsember tegevuskava'!$G$98,2,'kuni 2025 detsember tegevuskava'!G66='kuni 2025 detsember tegevuskava'!$G$99,3,'kuni 2025 detsember tegevuskava'!G66='kuni 2025 detsember tegevuskava'!$G$100,4)</f>
        <v>1</v>
      </c>
      <c r="H314" s="194" cm="1">
        <f t="array" ref="H314">_xlfn.IFS(OR('kuni 2025 detsember tegevuskava'!O66='kuni 2025 detsember tegevuskava'!$O$97,'kuni 2025 detsember tegevuskava'!O66='kuni 2025 detsember tegevuskava'!$O$99,'kuni 2025 detsember tegevuskava'!O66='kuni 2025 detsember tegevuskava'!$O$100,'kuni 2025 detsember tegevuskava'!O66='kuni 2025 detsember tegevuskava'!$O$101),1,'kuni 2025 detsember tegevuskava'!O66='kuni 2025 detsember tegevuskava'!$O$102,2,'kuni 2025 detsember tegevuskava'!O66='kuni 2025 detsember tegevuskava'!$O$103,2,'kuni 2025 detsember tegevuskava'!O66='kuni 2025 detsember tegevuskava'!$O$98,3)</f>
        <v>2</v>
      </c>
      <c r="I314" s="132">
        <f>SUM(I315:I317)</f>
        <v>140362</v>
      </c>
      <c r="J314" s="133"/>
      <c r="K314" s="81">
        <f>SUM(K315:K317)</f>
        <v>0</v>
      </c>
      <c r="L314" s="83"/>
      <c r="M314" s="132">
        <f>SUM(M315:M317)</f>
        <v>0</v>
      </c>
      <c r="N314" s="133"/>
      <c r="O314" s="81">
        <f>SUM(O315:O317)</f>
        <v>140362</v>
      </c>
      <c r="P314" s="85"/>
    </row>
    <row r="315" spans="2:16" ht="17.25" x14ac:dyDescent="0.25">
      <c r="B315" s="145"/>
      <c r="C315" s="8"/>
      <c r="D315" s="8"/>
      <c r="E315" s="8"/>
      <c r="F315" s="8"/>
      <c r="G315" s="8"/>
      <c r="H315" s="192"/>
      <c r="I315" s="102">
        <f>SUM(K315+M315+O315)</f>
        <v>105000</v>
      </c>
      <c r="J315" s="103" t="str">
        <f>"(15)"</f>
        <v>(15)</v>
      </c>
      <c r="K315" s="97">
        <f>'kuni 2025 detsember tegevuskava'!W66</f>
        <v>0</v>
      </c>
      <c r="L315" s="98" t="str">
        <f>"(15)"</f>
        <v>(15)</v>
      </c>
      <c r="M315" s="102">
        <f>'kuni 2025 detsember tegevuskava'!Z66</f>
        <v>0</v>
      </c>
      <c r="N315" s="103" t="str">
        <f>"(15)"</f>
        <v>(15)</v>
      </c>
      <c r="O315" s="97">
        <f>'kuni 2025 detsember tegevuskava'!AC66</f>
        <v>105000</v>
      </c>
      <c r="P315" s="87" t="str">
        <f>"(15)"</f>
        <v>(15)</v>
      </c>
    </row>
    <row r="316" spans="2:16" ht="17.25" x14ac:dyDescent="0.25">
      <c r="B316" s="145"/>
      <c r="C316" s="8"/>
      <c r="D316" s="8"/>
      <c r="E316" s="8"/>
      <c r="F316" s="8"/>
      <c r="G316" s="8"/>
      <c r="H316" s="192"/>
      <c r="I316" s="102">
        <f>SUM(K316+M316+O316)</f>
        <v>32112.000000000004</v>
      </c>
      <c r="J316" s="103" t="str">
        <f>"(50)"</f>
        <v>(50)</v>
      </c>
      <c r="K316" s="97">
        <f>'kuni 2025 detsember tegevuskava'!X66</f>
        <v>0</v>
      </c>
      <c r="L316" s="98" t="str">
        <f>"(50)"</f>
        <v>(50)</v>
      </c>
      <c r="M316" s="102">
        <f>'kuni 2025 detsember tegevuskava'!AA66</f>
        <v>0</v>
      </c>
      <c r="N316" s="103" t="str">
        <f>"(50)"</f>
        <v>(50)</v>
      </c>
      <c r="O316" s="97">
        <f>'kuni 2025 detsember tegevuskava'!AD66</f>
        <v>32112.000000000004</v>
      </c>
      <c r="P316" s="87" t="str">
        <f>"(50)"</f>
        <v>(50)</v>
      </c>
    </row>
    <row r="317" spans="2:16" ht="17.25" x14ac:dyDescent="0.25">
      <c r="B317" s="145"/>
      <c r="C317" s="8"/>
      <c r="D317" s="8"/>
      <c r="E317" s="8"/>
      <c r="F317" s="8"/>
      <c r="G317" s="8"/>
      <c r="H317" s="192"/>
      <c r="I317" s="104">
        <f>SUM(K317+M317+O317)</f>
        <v>3250</v>
      </c>
      <c r="J317" s="105" t="str">
        <f>"(55)"</f>
        <v>(55)</v>
      </c>
      <c r="K317" s="99">
        <f>'kuni 2025 detsember tegevuskava'!Y66</f>
        <v>0</v>
      </c>
      <c r="L317" s="88" t="str">
        <f>"(55)"</f>
        <v>(55)</v>
      </c>
      <c r="M317" s="104">
        <f>'kuni 2025 detsember tegevuskava'!AB66</f>
        <v>0</v>
      </c>
      <c r="N317" s="105" t="str">
        <f>"(55)"</f>
        <v>(55)</v>
      </c>
      <c r="O317" s="99">
        <f>'kuni 2025 detsember tegevuskava'!AE66</f>
        <v>3250</v>
      </c>
      <c r="P317" s="90" t="str">
        <f>"(55)"</f>
        <v>(55)</v>
      </c>
    </row>
    <row r="318" spans="2:16" ht="17.25" x14ac:dyDescent="0.25">
      <c r="B318" s="145"/>
      <c r="C318" s="8"/>
      <c r="D318" s="8"/>
      <c r="E318" s="8"/>
      <c r="F318" s="8"/>
      <c r="G318" s="8"/>
      <c r="H318" s="192"/>
      <c r="I318" s="151" t="s">
        <v>298</v>
      </c>
      <c r="J318" s="8"/>
      <c r="K318" s="8"/>
      <c r="L318" s="8"/>
      <c r="M318" s="8"/>
      <c r="N318" s="8"/>
      <c r="O318" s="8"/>
      <c r="P318" s="159"/>
    </row>
    <row r="319" spans="2:16" ht="17.25" x14ac:dyDescent="0.25">
      <c r="B319" s="145"/>
      <c r="C319" s="8"/>
      <c r="D319" s="8"/>
      <c r="E319" s="8"/>
      <c r="F319" s="8"/>
      <c r="G319" s="8"/>
      <c r="H319" s="192"/>
      <c r="I319" s="100">
        <f>SUM(I320:I322)</f>
        <v>164177</v>
      </c>
      <c r="J319" s="101"/>
      <c r="K319" s="91">
        <f>SUM(K320:K322)</f>
        <v>0</v>
      </c>
      <c r="L319" s="92"/>
      <c r="M319" s="100">
        <f>SUM(M320:M322)</f>
        <v>0</v>
      </c>
      <c r="N319" s="106"/>
      <c r="O319" s="100">
        <f>SUM(O320:O322)</f>
        <v>164177</v>
      </c>
      <c r="P319" s="134"/>
    </row>
    <row r="320" spans="2:16" ht="17.25" x14ac:dyDescent="0.25">
      <c r="B320" s="145"/>
      <c r="C320" s="8"/>
      <c r="D320" s="8"/>
      <c r="E320" s="8"/>
      <c r="F320" s="8"/>
      <c r="G320" s="8"/>
      <c r="H320" s="192"/>
      <c r="I320" s="102">
        <f>SUM(K320+M320+O320)</f>
        <v>128100</v>
      </c>
      <c r="J320" s="103" t="str">
        <f>"(15)"</f>
        <v>(15)</v>
      </c>
      <c r="K320" s="97">
        <f>SUM(K315*1.2)</f>
        <v>0</v>
      </c>
      <c r="L320" s="98" t="str">
        <f>"(15)"</f>
        <v>(15)</v>
      </c>
      <c r="M320" s="102">
        <f>SUM(M315*1.22)</f>
        <v>0</v>
      </c>
      <c r="N320" s="103" t="str">
        <f>"(15)"</f>
        <v>(15)</v>
      </c>
      <c r="O320" s="102">
        <f>SUM(O315*1.22)</f>
        <v>128100</v>
      </c>
      <c r="P320" s="87" t="str">
        <f>"(15)"</f>
        <v>(15)</v>
      </c>
    </row>
    <row r="321" spans="2:16" ht="17.25" x14ac:dyDescent="0.25">
      <c r="B321" s="145"/>
      <c r="C321" s="8"/>
      <c r="D321" s="8"/>
      <c r="E321" s="8"/>
      <c r="F321" s="8"/>
      <c r="G321" s="8"/>
      <c r="H321" s="192"/>
      <c r="I321" s="102">
        <f>SUM(K321+M321+O321)</f>
        <v>32112.000000000004</v>
      </c>
      <c r="J321" s="103" t="str">
        <f>"(50)"</f>
        <v>(50)</v>
      </c>
      <c r="K321" s="97">
        <f>K316</f>
        <v>0</v>
      </c>
      <c r="L321" s="98" t="str">
        <f>"(50)"</f>
        <v>(50)</v>
      </c>
      <c r="M321" s="102">
        <f>M316</f>
        <v>0</v>
      </c>
      <c r="N321" s="103" t="str">
        <f>"(50)"</f>
        <v>(50)</v>
      </c>
      <c r="O321" s="102">
        <f>O316</f>
        <v>32112.000000000004</v>
      </c>
      <c r="P321" s="87" t="str">
        <f>"(50)"</f>
        <v>(50)</v>
      </c>
    </row>
    <row r="322" spans="2:16" ht="18" thickBot="1" x14ac:dyDescent="0.3">
      <c r="B322" s="160"/>
      <c r="C322" s="161"/>
      <c r="D322" s="161"/>
      <c r="E322" s="161"/>
      <c r="F322" s="161"/>
      <c r="G322" s="161"/>
      <c r="H322" s="193"/>
      <c r="I322" s="130">
        <f>SUM(K322+M322+O322)</f>
        <v>3965</v>
      </c>
      <c r="J322" s="131" t="str">
        <f>"(55)"</f>
        <v>(55)</v>
      </c>
      <c r="K322" s="93">
        <f>SUM(K317*1.2)</f>
        <v>0</v>
      </c>
      <c r="L322" s="94" t="str">
        <f>"(55)"</f>
        <v>(55)</v>
      </c>
      <c r="M322" s="130">
        <f>SUM(M317*1.22)</f>
        <v>0</v>
      </c>
      <c r="N322" s="131" t="str">
        <f>"(55)"</f>
        <v>(55)</v>
      </c>
      <c r="O322" s="130">
        <f>SUM(O317*1.22)</f>
        <v>3965</v>
      </c>
      <c r="P322" s="96" t="str">
        <f>"(55)"</f>
        <v>(55)</v>
      </c>
    </row>
    <row r="323" spans="2:16" ht="17.25" x14ac:dyDescent="0.25">
      <c r="B323" s="187" t="str">
        <f>'kuni 2025 detsember tegevuskava'!A67&amp;"/"&amp;'kuni 2025 detsember tegevuskava'!C67</f>
        <v>Regionaal- ja Põllumajandusministeerium/UUS</v>
      </c>
      <c r="C323" s="156" t="str">
        <f>'kuni 2025 detsember tegevuskava'!I67</f>
        <v>Horisontaalne kadumisriski kontrolli ja universaalne raskustes olemise kontrolli protsessi IT lahendus vajab hoolduskulu</v>
      </c>
      <c r="D323" s="156" t="str">
        <f>'kuni 2025 detsember tegevuskava'!J67</f>
        <v>Horisontaalne kadumisriski kontrolli ja universaalne raskustes olemise kontrolli protsessi IT lahenduse  hoolduskulu</v>
      </c>
      <c r="E323" s="156" t="str">
        <f>'kuni 2025 detsember tegevuskava'!K67</f>
        <v>Süsteem on hooldatud, teenus on pakutud.</v>
      </c>
      <c r="F323" s="156" t="str">
        <f>'kuni 2025 detsember tegevuskava'!O67&amp;"/"</f>
        <v>Baaseelarve/</v>
      </c>
      <c r="G323" s="156" cm="1">
        <f t="array" ref="G323">_xlfn.IFS('kuni 2025 detsember tegevuskava'!G67='kuni 2025 detsember tegevuskava'!$G$97,1,'kuni 2025 detsember tegevuskava'!G67='kuni 2025 detsember tegevuskava'!$G$98,2,'kuni 2025 detsember tegevuskava'!G67='kuni 2025 detsember tegevuskava'!$G$99,3,'kuni 2025 detsember tegevuskava'!G67='kuni 2025 detsember tegevuskava'!$G$100,4)</f>
        <v>1</v>
      </c>
      <c r="H323" s="194" cm="1">
        <f t="array" ref="H323">_xlfn.IFS(OR('kuni 2025 detsember tegevuskava'!O67='kuni 2025 detsember tegevuskava'!$O$97,'kuni 2025 detsember tegevuskava'!O67='kuni 2025 detsember tegevuskava'!$O$99,'kuni 2025 detsember tegevuskava'!O67='kuni 2025 detsember tegevuskava'!$O$100,'kuni 2025 detsember tegevuskava'!O67='kuni 2025 detsember tegevuskava'!$O$101),1,'kuni 2025 detsember tegevuskava'!O67='kuni 2025 detsember tegevuskava'!$O$102,2,'kuni 2025 detsember tegevuskava'!O67='kuni 2025 detsember tegevuskava'!$O$103,2,'kuni 2025 detsember tegevuskava'!O67='kuni 2025 detsember tegevuskava'!$O$98,3)</f>
        <v>1</v>
      </c>
      <c r="I323" s="132">
        <f>SUM(I324:I326)</f>
        <v>0</v>
      </c>
      <c r="J323" s="133"/>
      <c r="K323" s="81">
        <f>SUM(K324:K326)</f>
        <v>0</v>
      </c>
      <c r="L323" s="83"/>
      <c r="M323" s="132">
        <f>SUM(M324:M326)</f>
        <v>0</v>
      </c>
      <c r="N323" s="133"/>
      <c r="O323" s="81">
        <f>SUM(O324:O326)</f>
        <v>0</v>
      </c>
      <c r="P323" s="85"/>
    </row>
    <row r="324" spans="2:16" ht="17.25" x14ac:dyDescent="0.25">
      <c r="B324" s="145"/>
      <c r="C324" s="8"/>
      <c r="D324" s="8"/>
      <c r="E324" s="8"/>
      <c r="F324" s="8"/>
      <c r="G324" s="8"/>
      <c r="H324" s="192"/>
      <c r="I324" s="102">
        <f>SUM(K324+M324+O324)</f>
        <v>0</v>
      </c>
      <c r="J324" s="103" t="str">
        <f>"(15)"</f>
        <v>(15)</v>
      </c>
      <c r="K324" s="97">
        <f>'kuni 2025 detsember tegevuskava'!W67</f>
        <v>0</v>
      </c>
      <c r="L324" s="98" t="str">
        <f>"(15)"</f>
        <v>(15)</v>
      </c>
      <c r="M324" s="102">
        <f>'kuni 2025 detsember tegevuskava'!Z67</f>
        <v>0</v>
      </c>
      <c r="N324" s="103" t="str">
        <f>"(15)"</f>
        <v>(15)</v>
      </c>
      <c r="O324" s="97">
        <f>'kuni 2025 detsember tegevuskava'!AC67</f>
        <v>0</v>
      </c>
      <c r="P324" s="87" t="str">
        <f>"(15)"</f>
        <v>(15)</v>
      </c>
    </row>
    <row r="325" spans="2:16" ht="17.25" x14ac:dyDescent="0.25">
      <c r="B325" s="145"/>
      <c r="C325" s="8"/>
      <c r="D325" s="8"/>
      <c r="E325" s="8"/>
      <c r="F325" s="8"/>
      <c r="G325" s="8"/>
      <c r="H325" s="192"/>
      <c r="I325" s="102">
        <f>SUM(K325+M325+O325)</f>
        <v>0</v>
      </c>
      <c r="J325" s="103" t="str">
        <f>"(50)"</f>
        <v>(50)</v>
      </c>
      <c r="K325" s="97">
        <f>'kuni 2025 detsember tegevuskava'!X67</f>
        <v>0</v>
      </c>
      <c r="L325" s="98" t="str">
        <f>"(50)"</f>
        <v>(50)</v>
      </c>
      <c r="M325" s="102">
        <f>'kuni 2025 detsember tegevuskava'!AA67</f>
        <v>0</v>
      </c>
      <c r="N325" s="103" t="str">
        <f>"(50)"</f>
        <v>(50)</v>
      </c>
      <c r="O325" s="97">
        <f>'kuni 2025 detsember tegevuskava'!AD67</f>
        <v>0</v>
      </c>
      <c r="P325" s="87" t="str">
        <f>"(50)"</f>
        <v>(50)</v>
      </c>
    </row>
    <row r="326" spans="2:16" ht="17.25" x14ac:dyDescent="0.25">
      <c r="B326" s="145"/>
      <c r="C326" s="8"/>
      <c r="D326" s="8"/>
      <c r="E326" s="8"/>
      <c r="F326" s="8"/>
      <c r="G326" s="8"/>
      <c r="H326" s="192"/>
      <c r="I326" s="104">
        <f>SUM(K326+M326+O326)</f>
        <v>0</v>
      </c>
      <c r="J326" s="105" t="str">
        <f>"(55)"</f>
        <v>(55)</v>
      </c>
      <c r="K326" s="99">
        <f>'kuni 2025 detsember tegevuskava'!Y67</f>
        <v>0</v>
      </c>
      <c r="L326" s="88" t="str">
        <f>"(55)"</f>
        <v>(55)</v>
      </c>
      <c r="M326" s="104">
        <f>'kuni 2025 detsember tegevuskava'!AB67</f>
        <v>0</v>
      </c>
      <c r="N326" s="105" t="str">
        <f>"(55)"</f>
        <v>(55)</v>
      </c>
      <c r="O326" s="99">
        <f>'kuni 2025 detsember tegevuskava'!AE67</f>
        <v>0</v>
      </c>
      <c r="P326" s="90" t="str">
        <f>"(55)"</f>
        <v>(55)</v>
      </c>
    </row>
    <row r="327" spans="2:16" ht="17.25" x14ac:dyDescent="0.25">
      <c r="B327" s="145"/>
      <c r="C327" s="8"/>
      <c r="D327" s="8"/>
      <c r="E327" s="8"/>
      <c r="F327" s="8"/>
      <c r="G327" s="8"/>
      <c r="H327" s="192"/>
      <c r="I327" s="151" t="s">
        <v>298</v>
      </c>
      <c r="J327" s="8"/>
      <c r="K327" s="8"/>
      <c r="L327" s="8"/>
      <c r="M327" s="8"/>
      <c r="N327" s="8"/>
      <c r="O327" s="8"/>
      <c r="P327" s="159"/>
    </row>
    <row r="328" spans="2:16" ht="17.25" x14ac:dyDescent="0.25">
      <c r="B328" s="145"/>
      <c r="C328" s="8"/>
      <c r="D328" s="8"/>
      <c r="E328" s="8"/>
      <c r="F328" s="8"/>
      <c r="G328" s="8"/>
      <c r="H328" s="192"/>
      <c r="I328" s="100">
        <f>SUM(I329:I331)</f>
        <v>0</v>
      </c>
      <c r="J328" s="101"/>
      <c r="K328" s="91">
        <f>SUM(K329:K331)</f>
        <v>0</v>
      </c>
      <c r="L328" s="92"/>
      <c r="M328" s="100">
        <f>SUM(M329:M331)</f>
        <v>0</v>
      </c>
      <c r="N328" s="106"/>
      <c r="O328" s="100">
        <f>SUM(O329:O331)</f>
        <v>0</v>
      </c>
      <c r="P328" s="134"/>
    </row>
    <row r="329" spans="2:16" ht="17.25" x14ac:dyDescent="0.25">
      <c r="B329" s="145"/>
      <c r="C329" s="8"/>
      <c r="D329" s="8"/>
      <c r="E329" s="8"/>
      <c r="F329" s="8"/>
      <c r="G329" s="8"/>
      <c r="H329" s="192"/>
      <c r="I329" s="102">
        <f>SUM(K329+M329+O329)</f>
        <v>0</v>
      </c>
      <c r="J329" s="103" t="str">
        <f>"(15)"</f>
        <v>(15)</v>
      </c>
      <c r="K329" s="97">
        <f>SUM(K324*1.2)</f>
        <v>0</v>
      </c>
      <c r="L329" s="98" t="str">
        <f>"(15)"</f>
        <v>(15)</v>
      </c>
      <c r="M329" s="102">
        <f>SUM(M324*1.22)</f>
        <v>0</v>
      </c>
      <c r="N329" s="103" t="str">
        <f>"(15)"</f>
        <v>(15)</v>
      </c>
      <c r="O329" s="102">
        <f>SUM(O324*1.22)</f>
        <v>0</v>
      </c>
      <c r="P329" s="87" t="str">
        <f>"(15)"</f>
        <v>(15)</v>
      </c>
    </row>
    <row r="330" spans="2:16" ht="17.25" x14ac:dyDescent="0.25">
      <c r="B330" s="145"/>
      <c r="C330" s="8"/>
      <c r="D330" s="8"/>
      <c r="E330" s="8"/>
      <c r="F330" s="8"/>
      <c r="G330" s="8"/>
      <c r="H330" s="192"/>
      <c r="I330" s="102">
        <f>SUM(K330+M330+O330)</f>
        <v>0</v>
      </c>
      <c r="J330" s="103" t="str">
        <f>"(50)"</f>
        <v>(50)</v>
      </c>
      <c r="K330" s="97">
        <f>K325</f>
        <v>0</v>
      </c>
      <c r="L330" s="98" t="str">
        <f>"(50)"</f>
        <v>(50)</v>
      </c>
      <c r="M330" s="102">
        <f>M325</f>
        <v>0</v>
      </c>
      <c r="N330" s="103" t="str">
        <f>"(50)"</f>
        <v>(50)</v>
      </c>
      <c r="O330" s="102">
        <f>O325</f>
        <v>0</v>
      </c>
      <c r="P330" s="87" t="str">
        <f>"(50)"</f>
        <v>(50)</v>
      </c>
    </row>
    <row r="331" spans="2:16" ht="18" thickBot="1" x14ac:dyDescent="0.3">
      <c r="B331" s="160"/>
      <c r="C331" s="161"/>
      <c r="D331" s="161"/>
      <c r="E331" s="161"/>
      <c r="F331" s="161"/>
      <c r="G331" s="161"/>
      <c r="H331" s="193"/>
      <c r="I331" s="130">
        <f>SUM(K331+M331+O331)</f>
        <v>0</v>
      </c>
      <c r="J331" s="131" t="str">
        <f>"(55)"</f>
        <v>(55)</v>
      </c>
      <c r="K331" s="93">
        <f>SUM(K326*1.2)</f>
        <v>0</v>
      </c>
      <c r="L331" s="94" t="str">
        <f>"(55)"</f>
        <v>(55)</v>
      </c>
      <c r="M331" s="130">
        <f>SUM(M326*1.22)</f>
        <v>0</v>
      </c>
      <c r="N331" s="131" t="str">
        <f>"(55)"</f>
        <v>(55)</v>
      </c>
      <c r="O331" s="130">
        <f>SUM(O326*1.22)</f>
        <v>0</v>
      </c>
      <c r="P331" s="96" t="str">
        <f>"(55)"</f>
        <v>(55)</v>
      </c>
    </row>
    <row r="332" spans="2:16" ht="17.25" x14ac:dyDescent="0.25">
      <c r="B332" s="187" t="str">
        <f>'kuni 2025 detsember tegevuskava'!A68&amp;"/"&amp;'kuni 2025 detsember tegevuskava'!C68</f>
        <v>Regionaal- ja Põllumajandusministeerium/</v>
      </c>
      <c r="C332" s="156" t="str">
        <f>'kuni 2025 detsember tegevuskava'!I68</f>
        <v xml:space="preserve">Kliendiga toimuvate kontaktide registreerimine ei ole ühtselt korraldatud ning puudub ühtne kliendikontaktide administreerimine ja talletamine.
Puuduliku administreerimise tõttu ei osata kliendile piisavat infot (teenindaja ei tea, kes ja mis teemal on varem kliendiga suhelnud, milliseid dokumente talle saadetud jne) anda ja seda temalt saada, pole võimalik analüüsida küsimust tekitavaid probleeme, teha ennetustööd korduvate vigade ära hoidmisel või mitmekordsete andmete küsimisel (vajalikud andmed on PRIAs olemas, kuid kliendiga suhtleja ei tea seda). Samuti puuduvad andmed selle kohta, mis infot kliendile kontakti käigus anti.
Puudub tagasiside süsteem, puudub klienditoimik, ühtne teenuskaardisüssteem. </v>
      </c>
      <c r="D332" s="156" t="str">
        <f>'kuni 2025 detsember tegevuskava'!J68</f>
        <v>Kliendihaldussüsteemi arendamine</v>
      </c>
      <c r="E332" s="156" t="str">
        <f>'kuni 2025 detsember tegevuskava'!K68</f>
        <v>1. Loodud on kliendihaldus toetav töökorraldus sh toetav struktuur
2. Tekib ühte terviklik klienditoimik, teame ja tunneme klienti ja võimalus pakkuda talle sobivaid ja proaktiivseid teenuseid
3. Arendatud ja juurutatud CRM süsteem (analüüsitulemusel selgub kas soetatakse karbitarkvara või arendatakse eraldi moodul)</v>
      </c>
      <c r="F332" s="156" t="str">
        <f>'kuni 2025 detsember tegevuskava'!O68&amp;"/"</f>
        <v>SF 21-27 (taotletav raha)/</v>
      </c>
      <c r="G332" s="156" cm="1">
        <f t="array" ref="G332">_xlfn.IFS('kuni 2025 detsember tegevuskava'!G68='kuni 2025 detsember tegevuskava'!$G$97,1,'kuni 2025 detsember tegevuskava'!G68='kuni 2025 detsember tegevuskava'!$G$98,2,'kuni 2025 detsember tegevuskava'!G68='kuni 2025 detsember tegevuskava'!$G$99,3,'kuni 2025 detsember tegevuskava'!G68='kuni 2025 detsember tegevuskava'!$G$100,4)</f>
        <v>1</v>
      </c>
      <c r="H332" s="194" cm="1">
        <f t="array" ref="H332">_xlfn.IFS(OR('kuni 2025 detsember tegevuskava'!O68='kuni 2025 detsember tegevuskava'!$O$97,'kuni 2025 detsember tegevuskava'!O68='kuni 2025 detsember tegevuskava'!$O$99,'kuni 2025 detsember tegevuskava'!O68='kuni 2025 detsember tegevuskava'!$O$100,'kuni 2025 detsember tegevuskava'!O68='kuni 2025 detsember tegevuskava'!$O$101),1,'kuni 2025 detsember tegevuskava'!O68='kuni 2025 detsember tegevuskava'!$O$102,2,'kuni 2025 detsember tegevuskava'!O68='kuni 2025 detsember tegevuskava'!$O$103,2,'kuni 2025 detsember tegevuskava'!O68='kuni 2025 detsember tegevuskava'!$O$98,3)</f>
        <v>2</v>
      </c>
      <c r="I332" s="132">
        <f>SUM(I333:I335)</f>
        <v>198000</v>
      </c>
      <c r="J332" s="133"/>
      <c r="K332" s="81">
        <f>SUM(K333:K335)</f>
        <v>0</v>
      </c>
      <c r="L332" s="83"/>
      <c r="M332" s="132">
        <f>SUM(M333:M335)</f>
        <v>0</v>
      </c>
      <c r="N332" s="133"/>
      <c r="O332" s="81">
        <f>SUM(O333:O335)</f>
        <v>198000</v>
      </c>
      <c r="P332" s="85"/>
    </row>
    <row r="333" spans="2:16" ht="17.25" x14ac:dyDescent="0.25">
      <c r="B333" s="145"/>
      <c r="C333" s="8"/>
      <c r="D333" s="8"/>
      <c r="E333" s="8"/>
      <c r="F333" s="8"/>
      <c r="G333" s="8"/>
      <c r="H333" s="192"/>
      <c r="I333" s="102">
        <f>SUM(K333+M333+O333)</f>
        <v>198000</v>
      </c>
      <c r="J333" s="103" t="str">
        <f>"(15)"</f>
        <v>(15)</v>
      </c>
      <c r="K333" s="97">
        <f>'kuni 2025 detsember tegevuskava'!W68</f>
        <v>0</v>
      </c>
      <c r="L333" s="98" t="str">
        <f>"(15)"</f>
        <v>(15)</v>
      </c>
      <c r="M333" s="102">
        <f>'kuni 2025 detsember tegevuskava'!Z68</f>
        <v>0</v>
      </c>
      <c r="N333" s="103" t="str">
        <f>"(15)"</f>
        <v>(15)</v>
      </c>
      <c r="O333" s="97">
        <f>'kuni 2025 detsember tegevuskava'!AC68</f>
        <v>198000</v>
      </c>
      <c r="P333" s="87" t="str">
        <f>"(15)"</f>
        <v>(15)</v>
      </c>
    </row>
    <row r="334" spans="2:16" ht="17.25" x14ac:dyDescent="0.25">
      <c r="B334" s="145"/>
      <c r="C334" s="8"/>
      <c r="D334" s="8"/>
      <c r="E334" s="8"/>
      <c r="F334" s="8"/>
      <c r="G334" s="8"/>
      <c r="H334" s="192"/>
      <c r="I334" s="102">
        <f>SUM(K334+M334+O334)</f>
        <v>0</v>
      </c>
      <c r="J334" s="103" t="str">
        <f>"(50)"</f>
        <v>(50)</v>
      </c>
      <c r="K334" s="97">
        <f>'kuni 2025 detsember tegevuskava'!X68</f>
        <v>0</v>
      </c>
      <c r="L334" s="98" t="str">
        <f>"(50)"</f>
        <v>(50)</v>
      </c>
      <c r="M334" s="102">
        <f>'kuni 2025 detsember tegevuskava'!AA68</f>
        <v>0</v>
      </c>
      <c r="N334" s="103" t="str">
        <f>"(50)"</f>
        <v>(50)</v>
      </c>
      <c r="O334" s="97">
        <f>'kuni 2025 detsember tegevuskava'!AD68</f>
        <v>0</v>
      </c>
      <c r="P334" s="87" t="str">
        <f>"(50)"</f>
        <v>(50)</v>
      </c>
    </row>
    <row r="335" spans="2:16" ht="17.25" x14ac:dyDescent="0.25">
      <c r="B335" s="145"/>
      <c r="C335" s="8"/>
      <c r="D335" s="8"/>
      <c r="E335" s="8"/>
      <c r="F335" s="8"/>
      <c r="G335" s="8"/>
      <c r="H335" s="192"/>
      <c r="I335" s="104">
        <f>SUM(K335+M335+O335)</f>
        <v>0</v>
      </c>
      <c r="J335" s="105" t="str">
        <f>"(55)"</f>
        <v>(55)</v>
      </c>
      <c r="K335" s="99">
        <f>'kuni 2025 detsember tegevuskava'!Y68</f>
        <v>0</v>
      </c>
      <c r="L335" s="88" t="str">
        <f>"(55)"</f>
        <v>(55)</v>
      </c>
      <c r="M335" s="104">
        <f>'kuni 2025 detsember tegevuskava'!AB68</f>
        <v>0</v>
      </c>
      <c r="N335" s="105" t="str">
        <f>"(55)"</f>
        <v>(55)</v>
      </c>
      <c r="O335" s="99">
        <f>'kuni 2025 detsember tegevuskava'!AE68</f>
        <v>0</v>
      </c>
      <c r="P335" s="90" t="str">
        <f>"(55)"</f>
        <v>(55)</v>
      </c>
    </row>
    <row r="336" spans="2:16" ht="17.25" x14ac:dyDescent="0.25">
      <c r="B336" s="145"/>
      <c r="C336" s="8"/>
      <c r="D336" s="8"/>
      <c r="E336" s="8"/>
      <c r="F336" s="8"/>
      <c r="G336" s="8"/>
      <c r="H336" s="192"/>
      <c r="I336" s="151" t="s">
        <v>298</v>
      </c>
      <c r="J336" s="8"/>
      <c r="K336" s="8"/>
      <c r="L336" s="8"/>
      <c r="M336" s="8"/>
      <c r="N336" s="8"/>
      <c r="O336" s="8"/>
      <c r="P336" s="159"/>
    </row>
    <row r="337" spans="2:16" ht="17.25" x14ac:dyDescent="0.25">
      <c r="B337" s="145"/>
      <c r="C337" s="8"/>
      <c r="D337" s="8"/>
      <c r="E337" s="8"/>
      <c r="F337" s="8"/>
      <c r="G337" s="8"/>
      <c r="H337" s="192"/>
      <c r="I337" s="100">
        <f>SUM(I338:I340)</f>
        <v>241560</v>
      </c>
      <c r="J337" s="101"/>
      <c r="K337" s="91">
        <f>SUM(K338:K340)</f>
        <v>0</v>
      </c>
      <c r="L337" s="92"/>
      <c r="M337" s="100">
        <f>SUM(M338:M340)</f>
        <v>0</v>
      </c>
      <c r="N337" s="106"/>
      <c r="O337" s="100">
        <f>SUM(O338:O340)</f>
        <v>241560</v>
      </c>
      <c r="P337" s="134"/>
    </row>
    <row r="338" spans="2:16" ht="17.25" x14ac:dyDescent="0.25">
      <c r="B338" s="145"/>
      <c r="C338" s="8"/>
      <c r="D338" s="8"/>
      <c r="E338" s="8"/>
      <c r="F338" s="8"/>
      <c r="G338" s="8"/>
      <c r="H338" s="192"/>
      <c r="I338" s="102">
        <f>SUM(K338+M338+O338)</f>
        <v>241560</v>
      </c>
      <c r="J338" s="103" t="str">
        <f>"(15)"</f>
        <v>(15)</v>
      </c>
      <c r="K338" s="97">
        <f>SUM(K333*1.2)</f>
        <v>0</v>
      </c>
      <c r="L338" s="98" t="str">
        <f>"(15)"</f>
        <v>(15)</v>
      </c>
      <c r="M338" s="102">
        <f>SUM(M333*1.22)</f>
        <v>0</v>
      </c>
      <c r="N338" s="103" t="str">
        <f>"(15)"</f>
        <v>(15)</v>
      </c>
      <c r="O338" s="102">
        <f>SUM(O333*1.22)</f>
        <v>241560</v>
      </c>
      <c r="P338" s="87" t="str">
        <f>"(15)"</f>
        <v>(15)</v>
      </c>
    </row>
    <row r="339" spans="2:16" ht="17.25" x14ac:dyDescent="0.25">
      <c r="B339" s="145"/>
      <c r="C339" s="8"/>
      <c r="D339" s="8"/>
      <c r="E339" s="8"/>
      <c r="F339" s="8"/>
      <c r="G339" s="8"/>
      <c r="H339" s="192"/>
      <c r="I339" s="102">
        <f>SUM(K339+M339+O339)</f>
        <v>0</v>
      </c>
      <c r="J339" s="103" t="str">
        <f>"(50)"</f>
        <v>(50)</v>
      </c>
      <c r="K339" s="97">
        <f>K334</f>
        <v>0</v>
      </c>
      <c r="L339" s="98" t="str">
        <f>"(50)"</f>
        <v>(50)</v>
      </c>
      <c r="M339" s="102">
        <f>M334</f>
        <v>0</v>
      </c>
      <c r="N339" s="103" t="str">
        <f>"(50)"</f>
        <v>(50)</v>
      </c>
      <c r="O339" s="102">
        <f>O334</f>
        <v>0</v>
      </c>
      <c r="P339" s="87" t="str">
        <f>"(50)"</f>
        <v>(50)</v>
      </c>
    </row>
    <row r="340" spans="2:16" ht="18" thickBot="1" x14ac:dyDescent="0.3">
      <c r="B340" s="160"/>
      <c r="C340" s="161"/>
      <c r="D340" s="161"/>
      <c r="E340" s="161"/>
      <c r="F340" s="161"/>
      <c r="G340" s="161"/>
      <c r="H340" s="193"/>
      <c r="I340" s="130">
        <f>SUM(K340+M340+O340)</f>
        <v>0</v>
      </c>
      <c r="J340" s="131" t="str">
        <f>"(55)"</f>
        <v>(55)</v>
      </c>
      <c r="K340" s="93">
        <f>SUM(K335*1.2)</f>
        <v>0</v>
      </c>
      <c r="L340" s="94" t="str">
        <f>"(55)"</f>
        <v>(55)</v>
      </c>
      <c r="M340" s="130">
        <f>SUM(M335*1.22)</f>
        <v>0</v>
      </c>
      <c r="N340" s="131" t="str">
        <f>"(55)"</f>
        <v>(55)</v>
      </c>
      <c r="O340" s="130">
        <f>SUM(O335*1.22)</f>
        <v>0</v>
      </c>
      <c r="P340" s="96" t="str">
        <f>"(55)"</f>
        <v>(55)</v>
      </c>
    </row>
    <row r="341" spans="2:16" ht="17.25" x14ac:dyDescent="0.25">
      <c r="B341" s="187" t="str">
        <f>'kuni 2025 detsember tegevuskava'!A69&amp;"/"&amp;'kuni 2025 detsember tegevuskava'!C69</f>
        <v>Regionaal- ja Põllumajandusministeerium/UUS</v>
      </c>
      <c r="C341" s="156" t="str">
        <f>'kuni 2025 detsember tegevuskava'!I69</f>
        <v xml:space="preserve">Kliendiga toimuvate kontaktide registreerimine ei ole ühtselt korraldatud ning puudub ühtne kliendikontaktide administreerimine ja talletamine.
Puuduliku administreerimise tõttu ei osata kliendile piisavat infot (teenindaja ei tea, kes ja mis teemal on varem kliendiga suhelnud, milliseid dokumente talle saadetud jne) anda ja seda temalt saada, pole võimalik analüüsida küsimust tekitavaid probleeme, teha ennetustööd korduvate vigade ära hoidmisel või mitmekordsete andmete küsimisel (vajalikud andmed on PRIAs olemas, kuid kliendiga suhtleja ei tea seda). Samuti puuduvad andmed selle kohta, mis infot kliendile kontakti käigus anti.
Puudub tagasiside süsteem, puudub klienditoimik, ühtne teenuskaardisüssteem. </v>
      </c>
      <c r="D341" s="156" t="str">
        <f>'kuni 2025 detsember tegevuskava'!J69</f>
        <v>Kliendihaldussüsteemi hoolduskulu</v>
      </c>
      <c r="E341" s="156" t="str">
        <f>'kuni 2025 detsember tegevuskava'!K69</f>
        <v>1. Loodud on kliendihaldus toetav töökorraldus sh toetav struktuur
2. Tekib ühte terviklik klienditoimik, teame ja tunneme klienti ja võimalus pakkuda talle sobivaid ja proaktiivseid teenuseid
3. Arendatud ja juurutatud CRM süsteem (analüüsitulemusel selgub kas soetatakse karbitarkvara või arendatakse eraldi moodul)</v>
      </c>
      <c r="F341" s="156" t="str">
        <f>'kuni 2025 detsember tegevuskava'!O69&amp;"/"</f>
        <v>RES IKT (vaja juurde taotleda)/</v>
      </c>
      <c r="G341" s="156" cm="1">
        <f t="array" ref="G341">_xlfn.IFS('kuni 2025 detsember tegevuskava'!G69='kuni 2025 detsember tegevuskava'!$G$97,1,'kuni 2025 detsember tegevuskava'!G69='kuni 2025 detsember tegevuskava'!$G$98,2,'kuni 2025 detsember tegevuskava'!G69='kuni 2025 detsember tegevuskava'!$G$99,3,'kuni 2025 detsember tegevuskava'!G69='kuni 2025 detsember tegevuskava'!$G$100,4)</f>
        <v>1</v>
      </c>
      <c r="H341" s="194" cm="1">
        <f t="array" ref="H341">_xlfn.IFS(OR('kuni 2025 detsember tegevuskava'!O69='kuni 2025 detsember tegevuskava'!$O$97,'kuni 2025 detsember tegevuskava'!O69='kuni 2025 detsember tegevuskava'!$O$99,'kuni 2025 detsember tegevuskava'!O69='kuni 2025 detsember tegevuskava'!$O$100,'kuni 2025 detsember tegevuskava'!O69='kuni 2025 detsember tegevuskava'!$O$101),1,'kuni 2025 detsember tegevuskava'!O69='kuni 2025 detsember tegevuskava'!$O$102,2,'kuni 2025 detsember tegevuskava'!O69='kuni 2025 detsember tegevuskava'!$O$103,2,'kuni 2025 detsember tegevuskava'!O69='kuni 2025 detsember tegevuskava'!$O$98,3)</f>
        <v>1</v>
      </c>
      <c r="I341" s="132">
        <f>SUM(I342:I344)</f>
        <v>0</v>
      </c>
      <c r="J341" s="133"/>
      <c r="K341" s="81">
        <f>SUM(K342:K344)</f>
        <v>0</v>
      </c>
      <c r="L341" s="83"/>
      <c r="M341" s="132">
        <f>SUM(M342:M344)</f>
        <v>0</v>
      </c>
      <c r="N341" s="133"/>
      <c r="O341" s="81">
        <f>SUM(O342:O344)</f>
        <v>0</v>
      </c>
      <c r="P341" s="85"/>
    </row>
    <row r="342" spans="2:16" ht="17.25" x14ac:dyDescent="0.25">
      <c r="B342" s="145"/>
      <c r="C342" s="8"/>
      <c r="D342" s="8"/>
      <c r="E342" s="8"/>
      <c r="F342" s="8"/>
      <c r="G342" s="8"/>
      <c r="H342" s="192"/>
      <c r="I342" s="102">
        <f>SUM(K342+M342+O342)</f>
        <v>0</v>
      </c>
      <c r="J342" s="103" t="str">
        <f>"(15)"</f>
        <v>(15)</v>
      </c>
      <c r="K342" s="97">
        <f>'kuni 2025 detsember tegevuskava'!W69</f>
        <v>0</v>
      </c>
      <c r="L342" s="98" t="str">
        <f>"(15)"</f>
        <v>(15)</v>
      </c>
      <c r="M342" s="102">
        <f>'kuni 2025 detsember tegevuskava'!Z69</f>
        <v>0</v>
      </c>
      <c r="N342" s="103" t="str">
        <f>"(15)"</f>
        <v>(15)</v>
      </c>
      <c r="O342" s="97">
        <f>'kuni 2025 detsember tegevuskava'!AC69</f>
        <v>0</v>
      </c>
      <c r="P342" s="87" t="str">
        <f>"(15)"</f>
        <v>(15)</v>
      </c>
    </row>
    <row r="343" spans="2:16" ht="17.25" x14ac:dyDescent="0.25">
      <c r="B343" s="145"/>
      <c r="C343" s="8"/>
      <c r="D343" s="8"/>
      <c r="E343" s="8"/>
      <c r="F343" s="8"/>
      <c r="G343" s="8"/>
      <c r="H343" s="192"/>
      <c r="I343" s="102">
        <f>SUM(K343+M343+O343)</f>
        <v>0</v>
      </c>
      <c r="J343" s="103" t="str">
        <f>"(50)"</f>
        <v>(50)</v>
      </c>
      <c r="K343" s="97">
        <f>'kuni 2025 detsember tegevuskava'!X69</f>
        <v>0</v>
      </c>
      <c r="L343" s="98" t="str">
        <f>"(50)"</f>
        <v>(50)</v>
      </c>
      <c r="M343" s="102">
        <f>'kuni 2025 detsember tegevuskava'!AA69</f>
        <v>0</v>
      </c>
      <c r="N343" s="103" t="str">
        <f>"(50)"</f>
        <v>(50)</v>
      </c>
      <c r="O343" s="97">
        <f>'kuni 2025 detsember tegevuskava'!AD69</f>
        <v>0</v>
      </c>
      <c r="P343" s="87" t="str">
        <f>"(50)"</f>
        <v>(50)</v>
      </c>
    </row>
    <row r="344" spans="2:16" ht="17.25" x14ac:dyDescent="0.25">
      <c r="B344" s="145"/>
      <c r="C344" s="8"/>
      <c r="D344" s="8"/>
      <c r="E344" s="8"/>
      <c r="F344" s="8"/>
      <c r="G344" s="8"/>
      <c r="H344" s="192"/>
      <c r="I344" s="104">
        <f>SUM(K344+M344+O344)</f>
        <v>0</v>
      </c>
      <c r="J344" s="105" t="str">
        <f>"(55)"</f>
        <v>(55)</v>
      </c>
      <c r="K344" s="99">
        <f>'kuni 2025 detsember tegevuskava'!Y69</f>
        <v>0</v>
      </c>
      <c r="L344" s="88" t="str">
        <f>"(55)"</f>
        <v>(55)</v>
      </c>
      <c r="M344" s="104">
        <f>'kuni 2025 detsember tegevuskava'!AB69</f>
        <v>0</v>
      </c>
      <c r="N344" s="105" t="str">
        <f>"(55)"</f>
        <v>(55)</v>
      </c>
      <c r="O344" s="99">
        <f>'kuni 2025 detsember tegevuskava'!AE69</f>
        <v>0</v>
      </c>
      <c r="P344" s="90" t="str">
        <f>"(55)"</f>
        <v>(55)</v>
      </c>
    </row>
    <row r="345" spans="2:16" ht="17.25" x14ac:dyDescent="0.25">
      <c r="B345" s="145"/>
      <c r="C345" s="8"/>
      <c r="D345" s="8"/>
      <c r="E345" s="8"/>
      <c r="F345" s="8"/>
      <c r="G345" s="8"/>
      <c r="H345" s="192"/>
      <c r="I345" s="151" t="s">
        <v>298</v>
      </c>
      <c r="J345" s="8"/>
      <c r="K345" s="8"/>
      <c r="L345" s="8"/>
      <c r="M345" s="8"/>
      <c r="N345" s="8"/>
      <c r="O345" s="8"/>
      <c r="P345" s="159"/>
    </row>
    <row r="346" spans="2:16" ht="17.25" x14ac:dyDescent="0.25">
      <c r="B346" s="145"/>
      <c r="C346" s="8"/>
      <c r="D346" s="8"/>
      <c r="E346" s="8"/>
      <c r="F346" s="8"/>
      <c r="G346" s="8"/>
      <c r="H346" s="192"/>
      <c r="I346" s="100">
        <f>SUM(I347:I349)</f>
        <v>0</v>
      </c>
      <c r="J346" s="101"/>
      <c r="K346" s="91">
        <f>SUM(K347:K349)</f>
        <v>0</v>
      </c>
      <c r="L346" s="92"/>
      <c r="M346" s="100">
        <f>SUM(M347:M349)</f>
        <v>0</v>
      </c>
      <c r="N346" s="106"/>
      <c r="O346" s="100">
        <f>SUM(O347:O349)</f>
        <v>0</v>
      </c>
      <c r="P346" s="134"/>
    </row>
    <row r="347" spans="2:16" ht="17.25" x14ac:dyDescent="0.25">
      <c r="B347" s="145"/>
      <c r="C347" s="8"/>
      <c r="D347" s="8"/>
      <c r="E347" s="8"/>
      <c r="F347" s="8"/>
      <c r="G347" s="8"/>
      <c r="H347" s="192"/>
      <c r="I347" s="102">
        <f>SUM(K347+M347+O347)</f>
        <v>0</v>
      </c>
      <c r="J347" s="103" t="str">
        <f>"(15)"</f>
        <v>(15)</v>
      </c>
      <c r="K347" s="97">
        <f>SUM(K342*1.2)</f>
        <v>0</v>
      </c>
      <c r="L347" s="98" t="str">
        <f>"(15)"</f>
        <v>(15)</v>
      </c>
      <c r="M347" s="102">
        <f>SUM(M342*1.22)</f>
        <v>0</v>
      </c>
      <c r="N347" s="103" t="str">
        <f>"(15)"</f>
        <v>(15)</v>
      </c>
      <c r="O347" s="102">
        <f>SUM(O342*1.22)</f>
        <v>0</v>
      </c>
      <c r="P347" s="87" t="str">
        <f>"(15)"</f>
        <v>(15)</v>
      </c>
    </row>
    <row r="348" spans="2:16" ht="17.25" x14ac:dyDescent="0.25">
      <c r="B348" s="145"/>
      <c r="C348" s="8"/>
      <c r="D348" s="8"/>
      <c r="E348" s="8"/>
      <c r="F348" s="8"/>
      <c r="G348" s="8"/>
      <c r="H348" s="192"/>
      <c r="I348" s="102">
        <f>SUM(K348+M348+O348)</f>
        <v>0</v>
      </c>
      <c r="J348" s="103" t="str">
        <f>"(50)"</f>
        <v>(50)</v>
      </c>
      <c r="K348" s="97">
        <f>K343</f>
        <v>0</v>
      </c>
      <c r="L348" s="98" t="str">
        <f>"(50)"</f>
        <v>(50)</v>
      </c>
      <c r="M348" s="102">
        <f>M343</f>
        <v>0</v>
      </c>
      <c r="N348" s="103" t="str">
        <f>"(50)"</f>
        <v>(50)</v>
      </c>
      <c r="O348" s="102">
        <f>O343</f>
        <v>0</v>
      </c>
      <c r="P348" s="87" t="str">
        <f>"(50)"</f>
        <v>(50)</v>
      </c>
    </row>
    <row r="349" spans="2:16" ht="18" thickBot="1" x14ac:dyDescent="0.3">
      <c r="B349" s="160"/>
      <c r="C349" s="161"/>
      <c r="D349" s="161"/>
      <c r="E349" s="161"/>
      <c r="F349" s="161"/>
      <c r="G349" s="161"/>
      <c r="H349" s="193"/>
      <c r="I349" s="130">
        <f>SUM(K349+M349+O349)</f>
        <v>0</v>
      </c>
      <c r="J349" s="131" t="str">
        <f>"(55)"</f>
        <v>(55)</v>
      </c>
      <c r="K349" s="93">
        <f>SUM(K344*1.2)</f>
        <v>0</v>
      </c>
      <c r="L349" s="94" t="str">
        <f>"(55)"</f>
        <v>(55)</v>
      </c>
      <c r="M349" s="130">
        <f>SUM(M344*1.22)</f>
        <v>0</v>
      </c>
      <c r="N349" s="131" t="str">
        <f>"(55)"</f>
        <v>(55)</v>
      </c>
      <c r="O349" s="130">
        <f>SUM(O344*1.22)</f>
        <v>0</v>
      </c>
      <c r="P349" s="96" t="str">
        <f>"(55)"</f>
        <v>(55)</v>
      </c>
    </row>
    <row r="350" spans="2:16" ht="17.25" x14ac:dyDescent="0.25">
      <c r="B350" s="187" t="str">
        <f>'kuni 2025 detsember tegevuskava'!A70&amp;"/"&amp;'kuni 2025 detsember tegevuskava'!C70</f>
        <v>Regionaal- ja Põllumajandusministeerium/</v>
      </c>
      <c r="C350" s="156" t="str">
        <f>'kuni 2025 detsember tegevuskava'!I70</f>
        <v xml:space="preserve">Suur osa e-PRIAs olevatest arengutoetuste teenustest on arendatud AngularJS raamistikule. Toe lõppemisel on e-PRIA turvanõrkusega ehk rünnaku korral võib kogu e-PRIA maha kukkuda, mille tagajärjel ei saa  e-teenuseid kasutada ning suur osa EL toetustest jääb rakendamata ja põllumehel taotlemata. 
</v>
      </c>
      <c r="D350" s="156" t="str">
        <f>'kuni 2025 detsember tegevuskava'!J70</f>
        <v xml:space="preserve">PRIA/AngularJS raamistiku uuendamine
</v>
      </c>
      <c r="E350" s="156" t="str">
        <f>'kuni 2025 detsember tegevuskava'!K70</f>
        <v xml:space="preserve">31.12.2026 on AngularJS raamistikule arendatud infosüsteemid/e-teenused on üle viidud Angular raamistikule. Puudtab see ca 30 teenuste kuvasid.
Projekti raames luuakse taaskasutatavaid komponente, mida saab järgmiste infosüsteemide/e-teenuste arendamisel kasutusele võtta ning selle tulemusena on arendused odavamad.
</v>
      </c>
      <c r="F350" s="156" t="str">
        <f>'kuni 2025 detsember tegevuskava'!O70&amp;"/"</f>
        <v>SF 21-27 (taotletav raha)/</v>
      </c>
      <c r="G350" s="156" cm="1">
        <f t="array" ref="G350">_xlfn.IFS('kuni 2025 detsember tegevuskava'!G70='kuni 2025 detsember tegevuskava'!$G$97,1,'kuni 2025 detsember tegevuskava'!G70='kuni 2025 detsember tegevuskava'!$G$98,2,'kuni 2025 detsember tegevuskava'!G70='kuni 2025 detsember tegevuskava'!$G$99,3,'kuni 2025 detsember tegevuskava'!G70='kuni 2025 detsember tegevuskava'!$G$100,4)</f>
        <v>1</v>
      </c>
      <c r="H350" s="194" cm="1">
        <f t="array" ref="H350">_xlfn.IFS(OR('kuni 2025 detsember tegevuskava'!O70='kuni 2025 detsember tegevuskava'!$O$97,'kuni 2025 detsember tegevuskava'!O70='kuni 2025 detsember tegevuskava'!$O$99,'kuni 2025 detsember tegevuskava'!O70='kuni 2025 detsember tegevuskava'!$O$100,'kuni 2025 detsember tegevuskava'!O70='kuni 2025 detsember tegevuskava'!$O$101),1,'kuni 2025 detsember tegevuskava'!O70='kuni 2025 detsember tegevuskava'!$O$102,2,'kuni 2025 detsember tegevuskava'!O70='kuni 2025 detsember tegevuskava'!$O$103,2,'kuni 2025 detsember tegevuskava'!O70='kuni 2025 detsember tegevuskava'!$O$98,3)</f>
        <v>2</v>
      </c>
      <c r="I350" s="132">
        <f>SUM(I351:I353)</f>
        <v>300000</v>
      </c>
      <c r="J350" s="133"/>
      <c r="K350" s="81">
        <f>SUM(K351:K353)</f>
        <v>0</v>
      </c>
      <c r="L350" s="83"/>
      <c r="M350" s="132">
        <f>SUM(M351:M353)</f>
        <v>0</v>
      </c>
      <c r="N350" s="133"/>
      <c r="O350" s="81">
        <f>SUM(O351:O353)</f>
        <v>300000</v>
      </c>
      <c r="P350" s="85"/>
    </row>
    <row r="351" spans="2:16" ht="17.25" x14ac:dyDescent="0.25">
      <c r="B351" s="145"/>
      <c r="C351" s="8"/>
      <c r="D351" s="8"/>
      <c r="E351" s="8"/>
      <c r="F351" s="8"/>
      <c r="G351" s="8"/>
      <c r="H351" s="192"/>
      <c r="I351" s="102">
        <f>SUM(K351+M351+O351)</f>
        <v>300000</v>
      </c>
      <c r="J351" s="103" t="str">
        <f>"(15)"</f>
        <v>(15)</v>
      </c>
      <c r="K351" s="97">
        <f>'kuni 2025 detsember tegevuskava'!W70</f>
        <v>0</v>
      </c>
      <c r="L351" s="98" t="str">
        <f>"(15)"</f>
        <v>(15)</v>
      </c>
      <c r="M351" s="102">
        <f>'kuni 2025 detsember tegevuskava'!Z70</f>
        <v>0</v>
      </c>
      <c r="N351" s="103" t="str">
        <f>"(15)"</f>
        <v>(15)</v>
      </c>
      <c r="O351" s="97">
        <f>'kuni 2025 detsember tegevuskava'!AC70</f>
        <v>300000</v>
      </c>
      <c r="P351" s="87" t="str">
        <f>"(15)"</f>
        <v>(15)</v>
      </c>
    </row>
    <row r="352" spans="2:16" ht="17.25" x14ac:dyDescent="0.25">
      <c r="B352" s="145"/>
      <c r="C352" s="8"/>
      <c r="D352" s="8"/>
      <c r="E352" s="8"/>
      <c r="F352" s="8"/>
      <c r="G352" s="8"/>
      <c r="H352" s="192"/>
      <c r="I352" s="102">
        <f>SUM(K352+M352+O352)</f>
        <v>0</v>
      </c>
      <c r="J352" s="103" t="str">
        <f>"(50)"</f>
        <v>(50)</v>
      </c>
      <c r="K352" s="97">
        <f>'kuni 2025 detsember tegevuskava'!X70</f>
        <v>0</v>
      </c>
      <c r="L352" s="98" t="str">
        <f>"(50)"</f>
        <v>(50)</v>
      </c>
      <c r="M352" s="102">
        <f>'kuni 2025 detsember tegevuskava'!AA70</f>
        <v>0</v>
      </c>
      <c r="N352" s="103" t="str">
        <f>"(50)"</f>
        <v>(50)</v>
      </c>
      <c r="O352" s="97">
        <f>'kuni 2025 detsember tegevuskava'!AD70</f>
        <v>0</v>
      </c>
      <c r="P352" s="87" t="str">
        <f>"(50)"</f>
        <v>(50)</v>
      </c>
    </row>
    <row r="353" spans="2:16" ht="17.25" x14ac:dyDescent="0.25">
      <c r="B353" s="145"/>
      <c r="C353" s="8"/>
      <c r="D353" s="8"/>
      <c r="E353" s="8"/>
      <c r="F353" s="8"/>
      <c r="G353" s="8"/>
      <c r="H353" s="192"/>
      <c r="I353" s="104">
        <f>SUM(K353+M353+O353)</f>
        <v>0</v>
      </c>
      <c r="J353" s="105" t="str">
        <f>"(55)"</f>
        <v>(55)</v>
      </c>
      <c r="K353" s="99">
        <f>'kuni 2025 detsember tegevuskava'!Y70</f>
        <v>0</v>
      </c>
      <c r="L353" s="88" t="str">
        <f>"(55)"</f>
        <v>(55)</v>
      </c>
      <c r="M353" s="104">
        <f>'kuni 2025 detsember tegevuskava'!AB70</f>
        <v>0</v>
      </c>
      <c r="N353" s="105" t="str">
        <f>"(55)"</f>
        <v>(55)</v>
      </c>
      <c r="O353" s="99">
        <f>'kuni 2025 detsember tegevuskava'!AE70</f>
        <v>0</v>
      </c>
      <c r="P353" s="90" t="str">
        <f>"(55)"</f>
        <v>(55)</v>
      </c>
    </row>
    <row r="354" spans="2:16" ht="17.25" x14ac:dyDescent="0.25">
      <c r="B354" s="145"/>
      <c r="C354" s="8"/>
      <c r="D354" s="8"/>
      <c r="E354" s="8"/>
      <c r="F354" s="8"/>
      <c r="G354" s="8"/>
      <c r="H354" s="192"/>
      <c r="I354" s="151" t="s">
        <v>298</v>
      </c>
      <c r="J354" s="8"/>
      <c r="K354" s="8"/>
      <c r="L354" s="8"/>
      <c r="M354" s="8"/>
      <c r="N354" s="8"/>
      <c r="O354" s="8"/>
      <c r="P354" s="159"/>
    </row>
    <row r="355" spans="2:16" ht="17.25" x14ac:dyDescent="0.25">
      <c r="B355" s="145"/>
      <c r="C355" s="8"/>
      <c r="D355" s="8"/>
      <c r="E355" s="8"/>
      <c r="F355" s="8"/>
      <c r="G355" s="8"/>
      <c r="H355" s="192"/>
      <c r="I355" s="100">
        <f>SUM(I356:I358)</f>
        <v>366000</v>
      </c>
      <c r="J355" s="101"/>
      <c r="K355" s="91">
        <f>SUM(K356:K358)</f>
        <v>0</v>
      </c>
      <c r="L355" s="92"/>
      <c r="M355" s="100">
        <f>SUM(M356:M358)</f>
        <v>0</v>
      </c>
      <c r="N355" s="106"/>
      <c r="O355" s="100">
        <f>SUM(O356:O358)</f>
        <v>366000</v>
      </c>
      <c r="P355" s="134"/>
    </row>
    <row r="356" spans="2:16" ht="17.25" x14ac:dyDescent="0.25">
      <c r="B356" s="145"/>
      <c r="C356" s="8"/>
      <c r="D356" s="8"/>
      <c r="E356" s="8"/>
      <c r="F356" s="8"/>
      <c r="G356" s="8"/>
      <c r="H356" s="192"/>
      <c r="I356" s="102">
        <f>SUM(K356+M356+O356)</f>
        <v>366000</v>
      </c>
      <c r="J356" s="103" t="str">
        <f>"(15)"</f>
        <v>(15)</v>
      </c>
      <c r="K356" s="97">
        <f>SUM(K351*1.2)</f>
        <v>0</v>
      </c>
      <c r="L356" s="98" t="str">
        <f>"(15)"</f>
        <v>(15)</v>
      </c>
      <c r="M356" s="102">
        <f>SUM(M351*1.22)</f>
        <v>0</v>
      </c>
      <c r="N356" s="103" t="str">
        <f>"(15)"</f>
        <v>(15)</v>
      </c>
      <c r="O356" s="102">
        <f>SUM(O351*1.22)</f>
        <v>366000</v>
      </c>
      <c r="P356" s="87" t="str">
        <f>"(15)"</f>
        <v>(15)</v>
      </c>
    </row>
    <row r="357" spans="2:16" ht="17.25" x14ac:dyDescent="0.25">
      <c r="B357" s="145"/>
      <c r="C357" s="8"/>
      <c r="D357" s="8"/>
      <c r="E357" s="8"/>
      <c r="F357" s="8"/>
      <c r="G357" s="8"/>
      <c r="H357" s="192"/>
      <c r="I357" s="102">
        <f>SUM(K357+M357+O357)</f>
        <v>0</v>
      </c>
      <c r="J357" s="103" t="str">
        <f>"(50)"</f>
        <v>(50)</v>
      </c>
      <c r="K357" s="97">
        <f>K352</f>
        <v>0</v>
      </c>
      <c r="L357" s="98" t="str">
        <f>"(50)"</f>
        <v>(50)</v>
      </c>
      <c r="M357" s="102">
        <f>M352</f>
        <v>0</v>
      </c>
      <c r="N357" s="103" t="str">
        <f>"(50)"</f>
        <v>(50)</v>
      </c>
      <c r="O357" s="102">
        <f>O352</f>
        <v>0</v>
      </c>
      <c r="P357" s="87" t="str">
        <f>"(50)"</f>
        <v>(50)</v>
      </c>
    </row>
    <row r="358" spans="2:16" ht="18" thickBot="1" x14ac:dyDescent="0.3">
      <c r="B358" s="160"/>
      <c r="C358" s="161"/>
      <c r="D358" s="161"/>
      <c r="E358" s="161"/>
      <c r="F358" s="161"/>
      <c r="G358" s="161"/>
      <c r="H358" s="193"/>
      <c r="I358" s="130">
        <f>SUM(K358+M358+O358)</f>
        <v>0</v>
      </c>
      <c r="J358" s="131" t="str">
        <f>"(55)"</f>
        <v>(55)</v>
      </c>
      <c r="K358" s="93">
        <f>SUM(K353*1.2)</f>
        <v>0</v>
      </c>
      <c r="L358" s="94" t="str">
        <f>"(55)"</f>
        <v>(55)</v>
      </c>
      <c r="M358" s="130">
        <f>SUM(M353*1.22)</f>
        <v>0</v>
      </c>
      <c r="N358" s="131" t="str">
        <f>"(55)"</f>
        <v>(55)</v>
      </c>
      <c r="O358" s="130">
        <f>SUM(O353*1.22)</f>
        <v>0</v>
      </c>
      <c r="P358" s="96" t="str">
        <f>"(55)"</f>
        <v>(55)</v>
      </c>
    </row>
    <row r="359" spans="2:16" ht="17.25" x14ac:dyDescent="0.25">
      <c r="B359" s="187" t="str">
        <f>'kuni 2025 detsember tegevuskava'!A71&amp;"/"&amp;'kuni 2025 detsember tegevuskava'!C71</f>
        <v>Regionaal- ja Põllumajandusministeerium/UUS</v>
      </c>
      <c r="C359" s="156" t="str">
        <f>'kuni 2025 detsember tegevuskava'!I71</f>
        <v xml:space="preserve">Suur osa e-PRIAs olevatest arengutoetuste teenustest on arendatud AngularJS raamistikule. Toe lõppemisel on e-PRIA turvanõrkusega ehk rünnaku korral võib kogu e-PRIA maha kukkuda, mille tagajärjel ei saa  e-teenuseid kasutada ning suur osa EL toetustest jääb rakendamata ja põllumehel taotlemata. 
</v>
      </c>
      <c r="D359" s="156" t="str">
        <f>'kuni 2025 detsember tegevuskava'!J71</f>
        <v xml:space="preserve">PRIA/AngularJS raamistiku uuendamine
</v>
      </c>
      <c r="E359" s="156" t="str">
        <f>'kuni 2025 detsember tegevuskava'!K71</f>
        <v>Uuendatud on kliendiregistri kuvad (angular 16)</v>
      </c>
      <c r="F359" s="156" t="str">
        <f>'kuni 2025 detsember tegevuskava'!O71&amp;"/"</f>
        <v>Muu rahastus/</v>
      </c>
      <c r="G359" s="156" cm="1">
        <f t="array" ref="G359">_xlfn.IFS('kuni 2025 detsember tegevuskava'!G71='kuni 2025 detsember tegevuskava'!$G$97,1,'kuni 2025 detsember tegevuskava'!G71='kuni 2025 detsember tegevuskava'!$G$98,2,'kuni 2025 detsember tegevuskava'!G71='kuni 2025 detsember tegevuskava'!$G$99,3,'kuni 2025 detsember tegevuskava'!G71='kuni 2025 detsember tegevuskava'!$G$100,4)</f>
        <v>1</v>
      </c>
      <c r="H359" s="194" cm="1">
        <f t="array" ref="H359">_xlfn.IFS(OR('kuni 2025 detsember tegevuskava'!O71='kuni 2025 detsember tegevuskava'!$O$97,'kuni 2025 detsember tegevuskava'!O71='kuni 2025 detsember tegevuskava'!$O$99,'kuni 2025 detsember tegevuskava'!O71='kuni 2025 detsember tegevuskava'!$O$100,'kuni 2025 detsember tegevuskava'!O71='kuni 2025 detsember tegevuskava'!$O$101),1,'kuni 2025 detsember tegevuskava'!O71='kuni 2025 detsember tegevuskava'!$O$102,2,'kuni 2025 detsember tegevuskava'!O71='kuni 2025 detsember tegevuskava'!$O$103,2,'kuni 2025 detsember tegevuskava'!O71='kuni 2025 detsember tegevuskava'!$O$98,3)</f>
        <v>3</v>
      </c>
      <c r="I359" s="132">
        <f>SUM(I360:I362)</f>
        <v>200000</v>
      </c>
      <c r="J359" s="133"/>
      <c r="K359" s="81">
        <f>SUM(K360:K362)</f>
        <v>100000</v>
      </c>
      <c r="L359" s="83"/>
      <c r="M359" s="132">
        <f>SUM(M360:M362)</f>
        <v>100000</v>
      </c>
      <c r="N359" s="133"/>
      <c r="O359" s="81">
        <f>SUM(O360:O362)</f>
        <v>0</v>
      </c>
      <c r="P359" s="85"/>
    </row>
    <row r="360" spans="2:16" ht="17.25" x14ac:dyDescent="0.25">
      <c r="B360" s="145"/>
      <c r="C360" s="8"/>
      <c r="D360" s="8"/>
      <c r="E360" s="8"/>
      <c r="F360" s="8"/>
      <c r="G360" s="8"/>
      <c r="H360" s="192"/>
      <c r="I360" s="102">
        <f>SUM(K360+M360+O360)</f>
        <v>200000</v>
      </c>
      <c r="J360" s="103" t="str">
        <f>"(15)"</f>
        <v>(15)</v>
      </c>
      <c r="K360" s="97">
        <f>'kuni 2025 detsember tegevuskava'!W71</f>
        <v>100000</v>
      </c>
      <c r="L360" s="98" t="str">
        <f>"(15)"</f>
        <v>(15)</v>
      </c>
      <c r="M360" s="102">
        <f>'kuni 2025 detsember tegevuskava'!Z71</f>
        <v>100000</v>
      </c>
      <c r="N360" s="103" t="str">
        <f>"(15)"</f>
        <v>(15)</v>
      </c>
      <c r="O360" s="97">
        <f>'kuni 2025 detsember tegevuskava'!AC71</f>
        <v>0</v>
      </c>
      <c r="P360" s="87" t="str">
        <f>"(15)"</f>
        <v>(15)</v>
      </c>
    </row>
    <row r="361" spans="2:16" ht="17.25" x14ac:dyDescent="0.25">
      <c r="B361" s="145"/>
      <c r="C361" s="8"/>
      <c r="D361" s="8"/>
      <c r="E361" s="8"/>
      <c r="F361" s="8"/>
      <c r="G361" s="8"/>
      <c r="H361" s="192"/>
      <c r="I361" s="102">
        <f>SUM(K361+M361+O361)</f>
        <v>0</v>
      </c>
      <c r="J361" s="103" t="str">
        <f>"(50)"</f>
        <v>(50)</v>
      </c>
      <c r="K361" s="97">
        <f>'kuni 2025 detsember tegevuskava'!X71</f>
        <v>0</v>
      </c>
      <c r="L361" s="98" t="str">
        <f>"(50)"</f>
        <v>(50)</v>
      </c>
      <c r="M361" s="102">
        <f>'kuni 2025 detsember tegevuskava'!AA71</f>
        <v>0</v>
      </c>
      <c r="N361" s="103" t="str">
        <f>"(50)"</f>
        <v>(50)</v>
      </c>
      <c r="O361" s="97">
        <f>'kuni 2025 detsember tegevuskava'!AD71</f>
        <v>0</v>
      </c>
      <c r="P361" s="87" t="str">
        <f>"(50)"</f>
        <v>(50)</v>
      </c>
    </row>
    <row r="362" spans="2:16" ht="17.25" x14ac:dyDescent="0.25">
      <c r="B362" s="145"/>
      <c r="C362" s="8"/>
      <c r="D362" s="8"/>
      <c r="E362" s="8"/>
      <c r="F362" s="8"/>
      <c r="G362" s="8"/>
      <c r="H362" s="192"/>
      <c r="I362" s="104">
        <f>SUM(K362+M362+O362)</f>
        <v>0</v>
      </c>
      <c r="J362" s="105" t="str">
        <f>"(55)"</f>
        <v>(55)</v>
      </c>
      <c r="K362" s="99">
        <f>'kuni 2025 detsember tegevuskava'!Y71</f>
        <v>0</v>
      </c>
      <c r="L362" s="88" t="str">
        <f>"(55)"</f>
        <v>(55)</v>
      </c>
      <c r="M362" s="104">
        <f>'kuni 2025 detsember tegevuskava'!AB71</f>
        <v>0</v>
      </c>
      <c r="N362" s="105" t="str">
        <f>"(55)"</f>
        <v>(55)</v>
      </c>
      <c r="O362" s="99">
        <f>'kuni 2025 detsember tegevuskava'!AE71</f>
        <v>0</v>
      </c>
      <c r="P362" s="90" t="str">
        <f>"(55)"</f>
        <v>(55)</v>
      </c>
    </row>
    <row r="363" spans="2:16" ht="17.25" x14ac:dyDescent="0.25">
      <c r="B363" s="145"/>
      <c r="C363" s="8"/>
      <c r="D363" s="8"/>
      <c r="E363" s="8"/>
      <c r="F363" s="8"/>
      <c r="G363" s="8"/>
      <c r="H363" s="192"/>
      <c r="I363" s="151" t="s">
        <v>298</v>
      </c>
      <c r="J363" s="8"/>
      <c r="K363" s="8"/>
      <c r="L363" s="8"/>
      <c r="M363" s="8"/>
      <c r="N363" s="8"/>
      <c r="O363" s="8"/>
      <c r="P363" s="159"/>
    </row>
    <row r="364" spans="2:16" ht="17.25" x14ac:dyDescent="0.25">
      <c r="B364" s="145"/>
      <c r="C364" s="8"/>
      <c r="D364" s="8"/>
      <c r="E364" s="8"/>
      <c r="F364" s="8"/>
      <c r="G364" s="8"/>
      <c r="H364" s="192"/>
      <c r="I364" s="100">
        <f>SUM(I365:I367)</f>
        <v>242000</v>
      </c>
      <c r="J364" s="101"/>
      <c r="K364" s="91">
        <f>SUM(K365:K367)</f>
        <v>120000</v>
      </c>
      <c r="L364" s="92"/>
      <c r="M364" s="100">
        <f>SUM(M365:M367)</f>
        <v>122000</v>
      </c>
      <c r="N364" s="106"/>
      <c r="O364" s="100">
        <f>SUM(O365:O367)</f>
        <v>0</v>
      </c>
      <c r="P364" s="134"/>
    </row>
    <row r="365" spans="2:16" ht="17.25" x14ac:dyDescent="0.25">
      <c r="B365" s="145"/>
      <c r="C365" s="8"/>
      <c r="D365" s="8"/>
      <c r="E365" s="8"/>
      <c r="F365" s="8"/>
      <c r="G365" s="8"/>
      <c r="H365" s="192"/>
      <c r="I365" s="102">
        <f>SUM(K365+M365+O365)</f>
        <v>242000</v>
      </c>
      <c r="J365" s="103" t="str">
        <f>"(15)"</f>
        <v>(15)</v>
      </c>
      <c r="K365" s="97">
        <f>SUM(K360*1.2)</f>
        <v>120000</v>
      </c>
      <c r="L365" s="98" t="str">
        <f>"(15)"</f>
        <v>(15)</v>
      </c>
      <c r="M365" s="102">
        <f>SUM(M360*1.22)</f>
        <v>122000</v>
      </c>
      <c r="N365" s="103" t="str">
        <f>"(15)"</f>
        <v>(15)</v>
      </c>
      <c r="O365" s="102">
        <f>SUM(O360*1.22)</f>
        <v>0</v>
      </c>
      <c r="P365" s="87" t="str">
        <f>"(15)"</f>
        <v>(15)</v>
      </c>
    </row>
    <row r="366" spans="2:16" ht="17.25" x14ac:dyDescent="0.25">
      <c r="B366" s="145"/>
      <c r="C366" s="8"/>
      <c r="D366" s="8"/>
      <c r="E366" s="8"/>
      <c r="F366" s="8"/>
      <c r="G366" s="8"/>
      <c r="H366" s="192"/>
      <c r="I366" s="102">
        <f>SUM(K366+M366+O366)</f>
        <v>0</v>
      </c>
      <c r="J366" s="103" t="str">
        <f>"(50)"</f>
        <v>(50)</v>
      </c>
      <c r="K366" s="97">
        <f>K361</f>
        <v>0</v>
      </c>
      <c r="L366" s="98" t="str">
        <f>"(50)"</f>
        <v>(50)</v>
      </c>
      <c r="M366" s="102">
        <f>M361</f>
        <v>0</v>
      </c>
      <c r="N366" s="103" t="str">
        <f>"(50)"</f>
        <v>(50)</v>
      </c>
      <c r="O366" s="102">
        <f>O361</f>
        <v>0</v>
      </c>
      <c r="P366" s="87" t="str">
        <f>"(50)"</f>
        <v>(50)</v>
      </c>
    </row>
    <row r="367" spans="2:16" ht="18" thickBot="1" x14ac:dyDescent="0.3">
      <c r="B367" s="160"/>
      <c r="C367" s="161"/>
      <c r="D367" s="161"/>
      <c r="E367" s="161"/>
      <c r="F367" s="161"/>
      <c r="G367" s="161"/>
      <c r="H367" s="193"/>
      <c r="I367" s="130">
        <f>SUM(K367+M367+O367)</f>
        <v>0</v>
      </c>
      <c r="J367" s="131" t="str">
        <f>"(55)"</f>
        <v>(55)</v>
      </c>
      <c r="K367" s="93">
        <f>SUM(K362*1.2)</f>
        <v>0</v>
      </c>
      <c r="L367" s="94" t="str">
        <f>"(55)"</f>
        <v>(55)</v>
      </c>
      <c r="M367" s="130">
        <f>SUM(M362*1.22)</f>
        <v>0</v>
      </c>
      <c r="N367" s="131" t="str">
        <f>"(55)"</f>
        <v>(55)</v>
      </c>
      <c r="O367" s="130">
        <f>SUM(O362*1.22)</f>
        <v>0</v>
      </c>
      <c r="P367" s="96" t="str">
        <f>"(55)"</f>
        <v>(55)</v>
      </c>
    </row>
    <row r="368" spans="2:16" ht="17.25" x14ac:dyDescent="0.25">
      <c r="B368" s="187">
        <v>9</v>
      </c>
      <c r="C368" s="156" t="str">
        <f>'kuni 2025 detsember tegevuskava'!I72</f>
        <v xml:space="preserve">Täna menetletakse pindala- ning loomapõhiseid toetuseid 2003. a loodud menetlussüsteemis TAKS (Oracle Forms) ja 2008. a loodud menetlussüsteemis CCS (Aranea). Seega kõik menetlusetappideks kasutatavad infosüsteemid on vananenud ning toimivad eraldiseisvalt. 
Nii Oracle Formsil kui Araneal on suur hulk riske, mis on osaliselt tänaseks realiseerinud: arenduspartnereid pole piisavalt, süsteem kukub kokku kriitilisel hetkel jne jne. 
2025.aastal tuleb alustada uue perioodi sekkumiste arendustega. Kindlasti ei ole mõistlik ja võimalik, et tänased menetlusüsteemist aastast 2003 (ca 30 aastane!) järgmise programmperioodi vastu peavad. Juhul kui me ei alusta täna programmide uuendamisega, ei ole me valmis 2028+ perioodi sekkumisi avama. 
Esimene etapp projektil on eelanalüüsi/lähteülesande koostamine. Eelanalüüsi/lähteülesabde eesmärk on kirjeldadada ootused analüüsiprojekti sisule. </v>
      </c>
      <c r="D368" s="156" t="str">
        <f>'kuni 2025 detsember tegevuskava'!J72</f>
        <v>Pindalatoetuste menetlussüsteemi uuendamise projekti eel-analüüs</v>
      </c>
      <c r="E368" s="156" t="str">
        <f>'kuni 2025 detsember tegevuskava'!K72</f>
        <v xml:space="preserve">Lähteülesande koostamine hõlmab järgnevat:
1. kirjeldatakse senine tööprotsess: koostatakse üldisel tasemel AS-IS protsessijoonised ning vaadatakse üle parenduskohad protsessis, viiakse läbi ajurünnak, et välja selgitada senised suurimad kitsaskohad süsteemides;
2. kirjeldatakse protsess käesoleva programmperioodi info alusel - nt mis meetmed on, mitu taotlusvormi, mis on nõuded valimi koostamisele, kontrollide läbiviimisele, kohustuste jälgimisele, kui palju on kontrolle, mis on seosed teiste asutustega, registritega, 
3. teiste PRIA infosüsteemidega või väliste infosüsteemidega, kasutajate grupid/õigused. 
4. kirjeldatakse TO-BE protsess visioonina, mida täiendatakse analüüsietapis;
5. kirjeldatakse ära tehnilised ootused (meie IT poolt)
6. kirjeldatakse ära ootused analüüsietapile: nt alternatiivsete võimaluste hindamine, MVP koostamine, arendus- ja hooldusmaksumuste hindamine, inimressursi vajaduse hindamine jne  </v>
      </c>
      <c r="F368" s="156" t="str">
        <f>'kuni 2025 detsember tegevuskava'!O72&amp;"/"</f>
        <v>SF 21-27 (taotletav raha)/</v>
      </c>
      <c r="G368" s="156" cm="1">
        <f t="array" ref="G368">_xlfn.IFS('kuni 2025 detsember tegevuskava'!G72='kuni 2025 detsember tegevuskava'!$G$97,1,'kuni 2025 detsember tegevuskava'!G72='kuni 2025 detsember tegevuskava'!$G$98,2,'kuni 2025 detsember tegevuskava'!G72='kuni 2025 detsember tegevuskava'!$G$99,3,'kuni 2025 detsember tegevuskava'!G72='kuni 2025 detsember tegevuskava'!$G$100,4)</f>
        <v>1</v>
      </c>
      <c r="H368" s="194" cm="1">
        <f t="array" ref="H368">_xlfn.IFS(OR('kuni 2025 detsember tegevuskava'!O72='kuni 2025 detsember tegevuskava'!$O$97,'kuni 2025 detsember tegevuskava'!O72='kuni 2025 detsember tegevuskava'!$O$99,'kuni 2025 detsember tegevuskava'!O72='kuni 2025 detsember tegevuskava'!$O$100,'kuni 2025 detsember tegevuskava'!O72='kuni 2025 detsember tegevuskava'!$O$101),1,'kuni 2025 detsember tegevuskava'!O72='kuni 2025 detsember tegevuskava'!$O$102,2,'kuni 2025 detsember tegevuskava'!O72='kuni 2025 detsember tegevuskava'!$O$103,2,'kuni 2025 detsember tegevuskava'!O72='kuni 2025 detsember tegevuskava'!$O$98,3)</f>
        <v>2</v>
      </c>
      <c r="I368" s="132">
        <f>SUM(I369:I371)</f>
        <v>100000</v>
      </c>
      <c r="J368" s="133"/>
      <c r="K368" s="81">
        <f>SUM(K369:K371)</f>
        <v>0</v>
      </c>
      <c r="L368" s="83"/>
      <c r="M368" s="132">
        <f>SUM(M369:M371)</f>
        <v>100000</v>
      </c>
      <c r="N368" s="133"/>
      <c r="O368" s="81">
        <f>SUM(O369:O371)</f>
        <v>0</v>
      </c>
      <c r="P368" s="85"/>
    </row>
    <row r="369" spans="2:16" ht="17.25" x14ac:dyDescent="0.25">
      <c r="B369" s="145"/>
      <c r="C369" s="8"/>
      <c r="D369" s="8"/>
      <c r="E369" s="8"/>
      <c r="F369" s="8"/>
      <c r="G369" s="8"/>
      <c r="H369" s="192"/>
      <c r="I369" s="102">
        <f>SUM(K369+M369+O369)</f>
        <v>0</v>
      </c>
      <c r="J369" s="103" t="str">
        <f>"(15)"</f>
        <v>(15)</v>
      </c>
      <c r="K369" s="97">
        <f>'kuni 2025 detsember tegevuskava'!W72</f>
        <v>0</v>
      </c>
      <c r="L369" s="98" t="str">
        <f>"(15)"</f>
        <v>(15)</v>
      </c>
      <c r="M369" s="102">
        <f>'kuni 2025 detsember tegevuskava'!Z72</f>
        <v>0</v>
      </c>
      <c r="N369" s="103" t="str">
        <f>"(15)"</f>
        <v>(15)</v>
      </c>
      <c r="O369" s="97">
        <f>'kuni 2025 detsember tegevuskava'!AC72</f>
        <v>0</v>
      </c>
      <c r="P369" s="87" t="str">
        <f>"(15)"</f>
        <v>(15)</v>
      </c>
    </row>
    <row r="370" spans="2:16" ht="17.25" x14ac:dyDescent="0.25">
      <c r="B370" s="145"/>
      <c r="C370" s="8"/>
      <c r="D370" s="8"/>
      <c r="E370" s="8"/>
      <c r="F370" s="8"/>
      <c r="G370" s="8"/>
      <c r="H370" s="192"/>
      <c r="I370" s="102">
        <f>SUM(K370+M370+O370)</f>
        <v>0</v>
      </c>
      <c r="J370" s="103" t="str">
        <f>"(50)"</f>
        <v>(50)</v>
      </c>
      <c r="K370" s="97">
        <f>'kuni 2025 detsember tegevuskava'!X72</f>
        <v>0</v>
      </c>
      <c r="L370" s="98" t="str">
        <f>"(50)"</f>
        <v>(50)</v>
      </c>
      <c r="M370" s="102">
        <f>'kuni 2025 detsember tegevuskava'!AA72</f>
        <v>0</v>
      </c>
      <c r="N370" s="103" t="str">
        <f>"(50)"</f>
        <v>(50)</v>
      </c>
      <c r="O370" s="97">
        <f>'kuni 2025 detsember tegevuskava'!AD72</f>
        <v>0</v>
      </c>
      <c r="P370" s="87" t="str">
        <f>"(50)"</f>
        <v>(50)</v>
      </c>
    </row>
    <row r="371" spans="2:16" ht="17.25" x14ac:dyDescent="0.25">
      <c r="B371" s="145"/>
      <c r="C371" s="8"/>
      <c r="D371" s="8"/>
      <c r="E371" s="8"/>
      <c r="F371" s="8"/>
      <c r="G371" s="8"/>
      <c r="H371" s="192"/>
      <c r="I371" s="104">
        <f>SUM(K371+M371+O371)</f>
        <v>100000</v>
      </c>
      <c r="J371" s="105" t="str">
        <f>"(55)"</f>
        <v>(55)</v>
      </c>
      <c r="K371" s="99">
        <f>'kuni 2025 detsember tegevuskava'!Y72</f>
        <v>0</v>
      </c>
      <c r="L371" s="88" t="str">
        <f>"(55)"</f>
        <v>(55)</v>
      </c>
      <c r="M371" s="104">
        <f>'kuni 2025 detsember tegevuskava'!AB72</f>
        <v>100000</v>
      </c>
      <c r="N371" s="105" t="str">
        <f>"(55)"</f>
        <v>(55)</v>
      </c>
      <c r="O371" s="99">
        <f>'kuni 2025 detsember tegevuskava'!AE72</f>
        <v>0</v>
      </c>
      <c r="P371" s="90" t="str">
        <f>"(55)"</f>
        <v>(55)</v>
      </c>
    </row>
    <row r="372" spans="2:16" ht="17.25" x14ac:dyDescent="0.25">
      <c r="B372" s="145"/>
      <c r="C372" s="8"/>
      <c r="D372" s="8"/>
      <c r="E372" s="8"/>
      <c r="F372" s="8"/>
      <c r="G372" s="8"/>
      <c r="H372" s="192"/>
      <c r="I372" s="151" t="s">
        <v>298</v>
      </c>
      <c r="J372" s="8"/>
      <c r="K372" s="8"/>
      <c r="L372" s="8"/>
      <c r="M372" s="8"/>
      <c r="N372" s="8"/>
      <c r="O372" s="8"/>
      <c r="P372" s="159"/>
    </row>
    <row r="373" spans="2:16" ht="17.25" x14ac:dyDescent="0.25">
      <c r="B373" s="145"/>
      <c r="C373" s="8"/>
      <c r="D373" s="8"/>
      <c r="E373" s="8"/>
      <c r="F373" s="8"/>
      <c r="G373" s="8"/>
      <c r="H373" s="192"/>
      <c r="I373" s="100">
        <f>SUM(I374:I376)</f>
        <v>122000</v>
      </c>
      <c r="J373" s="101"/>
      <c r="K373" s="91">
        <f>SUM(K374:K376)</f>
        <v>0</v>
      </c>
      <c r="L373" s="92"/>
      <c r="M373" s="100">
        <f>SUM(M374:M376)</f>
        <v>122000</v>
      </c>
      <c r="N373" s="106"/>
      <c r="O373" s="100">
        <f>SUM(O374:O376)</f>
        <v>0</v>
      </c>
      <c r="P373" s="134"/>
    </row>
    <row r="374" spans="2:16" ht="17.25" x14ac:dyDescent="0.25">
      <c r="B374" s="145"/>
      <c r="C374" s="8"/>
      <c r="D374" s="8"/>
      <c r="E374" s="8"/>
      <c r="F374" s="8"/>
      <c r="G374" s="8"/>
      <c r="H374" s="192"/>
      <c r="I374" s="102">
        <f>SUM(K374+M374+O374)</f>
        <v>0</v>
      </c>
      <c r="J374" s="103" t="str">
        <f>"(15)"</f>
        <v>(15)</v>
      </c>
      <c r="K374" s="97">
        <f>SUM(K369*1.2)</f>
        <v>0</v>
      </c>
      <c r="L374" s="98" t="str">
        <f>"(15)"</f>
        <v>(15)</v>
      </c>
      <c r="M374" s="102">
        <f>SUM(M369*1.22)</f>
        <v>0</v>
      </c>
      <c r="N374" s="103" t="str">
        <f>"(15)"</f>
        <v>(15)</v>
      </c>
      <c r="O374" s="102">
        <f>SUM(O369*1.22)</f>
        <v>0</v>
      </c>
      <c r="P374" s="87" t="str">
        <f>"(15)"</f>
        <v>(15)</v>
      </c>
    </row>
    <row r="375" spans="2:16" ht="17.25" x14ac:dyDescent="0.25">
      <c r="B375" s="145"/>
      <c r="C375" s="8"/>
      <c r="D375" s="8"/>
      <c r="E375" s="8"/>
      <c r="F375" s="8"/>
      <c r="G375" s="8"/>
      <c r="H375" s="192"/>
      <c r="I375" s="102">
        <f>SUM(K375+M375+O375)</f>
        <v>0</v>
      </c>
      <c r="J375" s="103" t="str">
        <f>"(50)"</f>
        <v>(50)</v>
      </c>
      <c r="K375" s="97">
        <f>K370</f>
        <v>0</v>
      </c>
      <c r="L375" s="98" t="str">
        <f>"(50)"</f>
        <v>(50)</v>
      </c>
      <c r="M375" s="102">
        <f>M370</f>
        <v>0</v>
      </c>
      <c r="N375" s="103" t="str">
        <f>"(50)"</f>
        <v>(50)</v>
      </c>
      <c r="O375" s="102">
        <f>O370</f>
        <v>0</v>
      </c>
      <c r="P375" s="87" t="str">
        <f>"(50)"</f>
        <v>(50)</v>
      </c>
    </row>
    <row r="376" spans="2:16" ht="18" thickBot="1" x14ac:dyDescent="0.3">
      <c r="B376" s="160"/>
      <c r="C376" s="161"/>
      <c r="D376" s="161"/>
      <c r="E376" s="161"/>
      <c r="F376" s="161"/>
      <c r="G376" s="161"/>
      <c r="H376" s="193"/>
      <c r="I376" s="130">
        <f>SUM(K376+M376+O376)</f>
        <v>122000</v>
      </c>
      <c r="J376" s="131" t="str">
        <f>"(55)"</f>
        <v>(55)</v>
      </c>
      <c r="K376" s="93">
        <f>SUM(K371*1.2)</f>
        <v>0</v>
      </c>
      <c r="L376" s="94" t="str">
        <f>"(55)"</f>
        <v>(55)</v>
      </c>
      <c r="M376" s="130">
        <f>SUM(M371*1.22)</f>
        <v>122000</v>
      </c>
      <c r="N376" s="131" t="str">
        <f>"(55)"</f>
        <v>(55)</v>
      </c>
      <c r="O376" s="130">
        <f>SUM(O371*1.22)</f>
        <v>0</v>
      </c>
      <c r="P376" s="96" t="str">
        <f>"(55)"</f>
        <v>(55)</v>
      </c>
    </row>
    <row r="377" spans="2:16" ht="17.25" x14ac:dyDescent="0.25">
      <c r="B377" s="187" t="str">
        <f>'kuni 2025 detsember tegevuskava'!A73&amp;"/"&amp;'kuni 2025 detsember tegevuskava'!C73</f>
        <v>Regionaal- ja Põllumajandusministeerium/</v>
      </c>
      <c r="C377" s="156" t="str">
        <f>'kuni 2025 detsember tegevuskava'!I73</f>
        <v xml:space="preserve">Täna menetletakse pindala- ning loomapõhiseid toetuseid 2003. a loodud menetlussüsteemis TAKS (Oracle Forms) ja 2008. a loodud menetlussüsteemis CCS (Aranea). Seega kõik menetlusetappideks kasutatavad infosüsteemid on vananenud ning toimivad eraldiseisvalt. 
Nii Oracle Formsil kui Araneal on suur hulk riske, mis on osaliselt tänaseks realiseerinud: arenduspartnereid pole piisavalt, süsteem kukub kokku kriitilisel hetkel jne jne. 
2025.aastal tuleb alustada uue perioodi sekkumiste arendustega. Kindlasti ei ole mõistlik ja võimalik, et tänased menetlusüsteemist aastast 2003 (ca 30 aastane!) järgmise programmperioodi vastu peavad. Juhul kui me ei alusta täna programmide uuendamisega, ei ole me valmis 2028+ perioodi sekkumisi avama. </v>
      </c>
      <c r="D377" s="156" t="str">
        <f>'kuni 2025 detsember tegevuskava'!J73</f>
        <v>Pindalatoetuste menetlussüsteemi uuendamise projekt</v>
      </c>
      <c r="E377" s="156" t="str">
        <f>'kuni 2025 detsember tegevuskava'!K73</f>
        <v xml:space="preserve">Projekti lõppeesmärk on luua teenusepõhist töökorraldus toetav toetuste menetlussüsteem, mis tagab tõhusa töökorraluse (väiksem halduskoormus nii kliendile kui riigile) ja tähtaegsed maksed kliendile. Projekti edukas elluviimine tagab makseasutuse akrediteerimistingimustele vastavuse. Uueperioodi meetmed võetakse vastu uues infosüsteemis. 
Tegevuskava:
• Lähteülesande koostamine - aprill-juuni 2024, koostab PRIA (vt. eelmine SF analüüsi rida)
• Meeskondade komplekteerimine kõikideks etappideks: 
• Analüüsi läbiviimine - august 2024 - jaanuar 2025, kaasatakse väline arenduspartner, eeldatav rahaline kulu 100 000.-, esitame Digipöörde kavasse.
• Arenduste teostamine - 2025. a teine poolaasta - 2029. a juuli, korraldatakse riigihange arenduspartneri leidmiseks. Täpne arendusvajaduste maksumus selgub analüüsi tulemusena.
</v>
      </c>
      <c r="F377" s="156" t="str">
        <f>'kuni 2025 detsember tegevuskava'!O73&amp;"/"</f>
        <v>SF 21-27 (taotletav raha)/</v>
      </c>
      <c r="G377" s="156" cm="1">
        <f t="array" ref="G377">_xlfn.IFS('kuni 2025 detsember tegevuskava'!G73='kuni 2025 detsember tegevuskava'!$G$97,1,'kuni 2025 detsember tegevuskava'!G73='kuni 2025 detsember tegevuskava'!$G$98,2,'kuni 2025 detsember tegevuskava'!G73='kuni 2025 detsember tegevuskava'!$G$99,3,'kuni 2025 detsember tegevuskava'!G73='kuni 2025 detsember tegevuskava'!$G$100,4)</f>
        <v>1</v>
      </c>
      <c r="H377" s="194" cm="1">
        <f t="array" ref="H377">_xlfn.IFS(OR('kuni 2025 detsember tegevuskava'!O73='kuni 2025 detsember tegevuskava'!$O$97,'kuni 2025 detsember tegevuskava'!O73='kuni 2025 detsember tegevuskava'!$O$99,'kuni 2025 detsember tegevuskava'!O73='kuni 2025 detsember tegevuskava'!$O$100,'kuni 2025 detsember tegevuskava'!O73='kuni 2025 detsember tegevuskava'!$O$101),1,'kuni 2025 detsember tegevuskava'!O73='kuni 2025 detsember tegevuskava'!$O$102,2,'kuni 2025 detsember tegevuskava'!O73='kuni 2025 detsember tegevuskava'!$O$103,2,'kuni 2025 detsember tegevuskava'!O73='kuni 2025 detsember tegevuskava'!$O$98,3)</f>
        <v>2</v>
      </c>
      <c r="I377" s="132">
        <f>SUM(I378:I380)</f>
        <v>726000</v>
      </c>
      <c r="J377" s="133"/>
      <c r="K377" s="81">
        <f>SUM(K378:K380)</f>
        <v>0</v>
      </c>
      <c r="L377" s="83"/>
      <c r="M377" s="132">
        <f>SUM(M378:M380)</f>
        <v>0</v>
      </c>
      <c r="N377" s="133"/>
      <c r="O377" s="81">
        <f>SUM(O378:O380)</f>
        <v>726000</v>
      </c>
      <c r="P377" s="85"/>
    </row>
    <row r="378" spans="2:16" ht="17.25" x14ac:dyDescent="0.25">
      <c r="B378" s="145"/>
      <c r="C378" s="8"/>
      <c r="D378" s="8"/>
      <c r="E378" s="8"/>
      <c r="F378" s="8"/>
      <c r="G378" s="8"/>
      <c r="H378" s="192"/>
      <c r="I378" s="102">
        <f>SUM(K378+M378+O378)</f>
        <v>500000</v>
      </c>
      <c r="J378" s="103" t="str">
        <f>"(15)"</f>
        <v>(15)</v>
      </c>
      <c r="K378" s="97">
        <f>'kuni 2025 detsember tegevuskava'!W73</f>
        <v>0</v>
      </c>
      <c r="L378" s="98" t="str">
        <f>"(15)"</f>
        <v>(15)</v>
      </c>
      <c r="M378" s="102">
        <f>'kuni 2025 detsember tegevuskava'!Z73</f>
        <v>0</v>
      </c>
      <c r="N378" s="103" t="str">
        <f>"(15)"</f>
        <v>(15)</v>
      </c>
      <c r="O378" s="97">
        <f>'kuni 2025 detsember tegevuskava'!AC73</f>
        <v>500000</v>
      </c>
      <c r="P378" s="87" t="str">
        <f>"(15)"</f>
        <v>(15)</v>
      </c>
    </row>
    <row r="379" spans="2:16" ht="17.25" x14ac:dyDescent="0.25">
      <c r="B379" s="145"/>
      <c r="C379" s="8"/>
      <c r="D379" s="8"/>
      <c r="E379" s="8"/>
      <c r="F379" s="8"/>
      <c r="G379" s="8"/>
      <c r="H379" s="192"/>
      <c r="I379" s="102">
        <f>SUM(K379+M379+O379)</f>
        <v>200000</v>
      </c>
      <c r="J379" s="103" t="str">
        <f>"(50)"</f>
        <v>(50)</v>
      </c>
      <c r="K379" s="97">
        <f>'kuni 2025 detsember tegevuskava'!X73</f>
        <v>0</v>
      </c>
      <c r="L379" s="98" t="str">
        <f>"(50)"</f>
        <v>(50)</v>
      </c>
      <c r="M379" s="102">
        <f>'kuni 2025 detsember tegevuskava'!AA73</f>
        <v>0</v>
      </c>
      <c r="N379" s="103" t="str">
        <f>"(50)"</f>
        <v>(50)</v>
      </c>
      <c r="O379" s="97">
        <f>'kuni 2025 detsember tegevuskava'!AD73</f>
        <v>200000</v>
      </c>
      <c r="P379" s="87" t="str">
        <f>"(50)"</f>
        <v>(50)</v>
      </c>
    </row>
    <row r="380" spans="2:16" ht="17.25" x14ac:dyDescent="0.25">
      <c r="B380" s="145"/>
      <c r="C380" s="8"/>
      <c r="D380" s="8"/>
      <c r="E380" s="8"/>
      <c r="F380" s="8"/>
      <c r="G380" s="8"/>
      <c r="H380" s="192"/>
      <c r="I380" s="104">
        <f>SUM(K380+M380+O380)</f>
        <v>26000</v>
      </c>
      <c r="J380" s="105" t="str">
        <f>"(55)"</f>
        <v>(55)</v>
      </c>
      <c r="K380" s="99">
        <f>'kuni 2025 detsember tegevuskava'!Y73</f>
        <v>0</v>
      </c>
      <c r="L380" s="88" t="str">
        <f>"(55)"</f>
        <v>(55)</v>
      </c>
      <c r="M380" s="104">
        <f>'kuni 2025 detsember tegevuskava'!AB73</f>
        <v>0</v>
      </c>
      <c r="N380" s="105" t="str">
        <f>"(55)"</f>
        <v>(55)</v>
      </c>
      <c r="O380" s="99">
        <f>'kuni 2025 detsember tegevuskava'!AE73</f>
        <v>26000</v>
      </c>
      <c r="P380" s="90" t="str">
        <f>"(55)"</f>
        <v>(55)</v>
      </c>
    </row>
    <row r="381" spans="2:16" ht="17.25" x14ac:dyDescent="0.25">
      <c r="B381" s="145"/>
      <c r="C381" s="8"/>
      <c r="D381" s="8"/>
      <c r="E381" s="8"/>
      <c r="F381" s="8"/>
      <c r="G381" s="8"/>
      <c r="H381" s="192"/>
      <c r="I381" s="151" t="s">
        <v>298</v>
      </c>
      <c r="J381" s="8"/>
      <c r="K381" s="8"/>
      <c r="L381" s="8"/>
      <c r="M381" s="8"/>
      <c r="N381" s="8"/>
      <c r="O381" s="8"/>
      <c r="P381" s="159"/>
    </row>
    <row r="382" spans="2:16" ht="17.25" x14ac:dyDescent="0.25">
      <c r="B382" s="145"/>
      <c r="C382" s="8"/>
      <c r="D382" s="8"/>
      <c r="E382" s="8"/>
      <c r="F382" s="8"/>
      <c r="G382" s="8"/>
      <c r="H382" s="192"/>
      <c r="I382" s="100">
        <f>SUM(I383:I385)</f>
        <v>841720</v>
      </c>
      <c r="J382" s="101"/>
      <c r="K382" s="91">
        <f>SUM(K383:K385)</f>
        <v>0</v>
      </c>
      <c r="L382" s="92"/>
      <c r="M382" s="100">
        <f>SUM(M383:M385)</f>
        <v>0</v>
      </c>
      <c r="N382" s="106"/>
      <c r="O382" s="100">
        <f>SUM(O383:O385)</f>
        <v>841720</v>
      </c>
      <c r="P382" s="134"/>
    </row>
    <row r="383" spans="2:16" ht="17.25" x14ac:dyDescent="0.25">
      <c r="B383" s="145"/>
      <c r="C383" s="8"/>
      <c r="D383" s="8"/>
      <c r="E383" s="8"/>
      <c r="F383" s="8"/>
      <c r="G383" s="8"/>
      <c r="H383" s="192"/>
      <c r="I383" s="102">
        <f>SUM(K383+M383+O383)</f>
        <v>610000</v>
      </c>
      <c r="J383" s="103" t="str">
        <f>"(15)"</f>
        <v>(15)</v>
      </c>
      <c r="K383" s="97">
        <f>SUM(K378*1.2)</f>
        <v>0</v>
      </c>
      <c r="L383" s="98" t="str">
        <f>"(15)"</f>
        <v>(15)</v>
      </c>
      <c r="M383" s="102">
        <f>SUM(M378*1.22)</f>
        <v>0</v>
      </c>
      <c r="N383" s="103" t="str">
        <f>"(15)"</f>
        <v>(15)</v>
      </c>
      <c r="O383" s="102">
        <f>SUM(O378*1.22)</f>
        <v>610000</v>
      </c>
      <c r="P383" s="87" t="str">
        <f>"(15)"</f>
        <v>(15)</v>
      </c>
    </row>
    <row r="384" spans="2:16" ht="17.25" x14ac:dyDescent="0.25">
      <c r="B384" s="145"/>
      <c r="C384" s="8"/>
      <c r="D384" s="8"/>
      <c r="E384" s="8"/>
      <c r="F384" s="8"/>
      <c r="G384" s="8"/>
      <c r="H384" s="192"/>
      <c r="I384" s="102">
        <f>SUM(K384+M384+O384)</f>
        <v>200000</v>
      </c>
      <c r="J384" s="103" t="str">
        <f>"(50)"</f>
        <v>(50)</v>
      </c>
      <c r="K384" s="97">
        <f>K379</f>
        <v>0</v>
      </c>
      <c r="L384" s="98" t="str">
        <f>"(50)"</f>
        <v>(50)</v>
      </c>
      <c r="M384" s="102">
        <f>M379</f>
        <v>0</v>
      </c>
      <c r="N384" s="103" t="str">
        <f>"(50)"</f>
        <v>(50)</v>
      </c>
      <c r="O384" s="102">
        <f>O379</f>
        <v>200000</v>
      </c>
      <c r="P384" s="87" t="str">
        <f>"(50)"</f>
        <v>(50)</v>
      </c>
    </row>
    <row r="385" spans="2:16" ht="18" thickBot="1" x14ac:dyDescent="0.3">
      <c r="B385" s="160"/>
      <c r="C385" s="161"/>
      <c r="D385" s="161"/>
      <c r="E385" s="161"/>
      <c r="F385" s="161"/>
      <c r="G385" s="161"/>
      <c r="H385" s="193"/>
      <c r="I385" s="130">
        <f>SUM(K385+M385+O385)</f>
        <v>31720</v>
      </c>
      <c r="J385" s="131" t="str">
        <f>"(55)"</f>
        <v>(55)</v>
      </c>
      <c r="K385" s="93">
        <f>SUM(K380*1.2)</f>
        <v>0</v>
      </c>
      <c r="L385" s="94" t="str">
        <f>"(55)"</f>
        <v>(55)</v>
      </c>
      <c r="M385" s="130">
        <f>SUM(M380*1.22)</f>
        <v>0</v>
      </c>
      <c r="N385" s="131" t="str">
        <f>"(55)"</f>
        <v>(55)</v>
      </c>
      <c r="O385" s="130">
        <f>SUM(O380*1.22)</f>
        <v>31720</v>
      </c>
      <c r="P385" s="96" t="str">
        <f>"(55)"</f>
        <v>(55)</v>
      </c>
    </row>
    <row r="386" spans="2:16" ht="17.25" x14ac:dyDescent="0.25">
      <c r="B386" s="187" t="str">
        <f>'kuni 2025 detsember tegevuskava'!A74&amp;"/"&amp;'kuni 2025 detsember tegevuskava'!C74</f>
        <v>Regionaal- ja Põllumajandusministeerium/</v>
      </c>
      <c r="C386" s="156" t="str">
        <f>'kuni 2025 detsember tegevuskava'!I74</f>
        <v xml:space="preserve">Hetkel kasutusel oleva geoinfosüsteemi (EAGIS) tehnoloogiline arhitektuur on ajale jalgu jäänud – pärinedes aastast 2003. See lahendus seab piirid süsteemi jätkusuutlikkusele, töökindlusele ja ka turvalisusele kasutajate arvu ja funktsionaalsuse keerukuse kasvu jätkudes. Toetuste väljamaksmise aluseks olevate andmete turvalisuse tagamine on raskendatud. EAGIS andmed on aluseks ca 14 000 kliendi pindalameetmete toetuste arvutamisel summas ca 200 miljonit eurot. 
</v>
      </c>
      <c r="D386" s="156" t="str">
        <f>'kuni 2025 detsember tegevuskava'!J74</f>
        <v xml:space="preserve">EAGIS platvormi uuendamine ja turvalisuse tagamine </v>
      </c>
      <c r="E386" s="156" t="str">
        <f>'kuni 2025 detsember tegevuskava'!K74</f>
        <v>2024.-2025.aastal alustatakse pindalatoetuste menetlussüsteemiarendusega, alates 2026. aastal alustatakse kaardivajaduste viimist uuele platvormile</v>
      </c>
      <c r="F386" s="156" t="str">
        <f>'kuni 2025 detsember tegevuskava'!O74&amp;"/"</f>
        <v>SF 21-27 (taotletav raha)/</v>
      </c>
      <c r="G386" s="156" cm="1">
        <f t="array" ref="G386">_xlfn.IFS('kuni 2025 detsember tegevuskava'!G74='kuni 2025 detsember tegevuskava'!$G$97,1,'kuni 2025 detsember tegevuskava'!G74='kuni 2025 detsember tegevuskava'!$G$98,2,'kuni 2025 detsember tegevuskava'!G74='kuni 2025 detsember tegevuskava'!$G$99,3,'kuni 2025 detsember tegevuskava'!G74='kuni 2025 detsember tegevuskava'!$G$100,4)</f>
        <v>1</v>
      </c>
      <c r="H386" s="194" cm="1">
        <f t="array" ref="H386">_xlfn.IFS(OR('kuni 2025 detsember tegevuskava'!O74='kuni 2025 detsember tegevuskava'!$O$97,'kuni 2025 detsember tegevuskava'!O74='kuni 2025 detsember tegevuskava'!$O$99,'kuni 2025 detsember tegevuskava'!O74='kuni 2025 detsember tegevuskava'!$O$100,'kuni 2025 detsember tegevuskava'!O74='kuni 2025 detsember tegevuskava'!$O$101),1,'kuni 2025 detsember tegevuskava'!O74='kuni 2025 detsember tegevuskava'!$O$102,2,'kuni 2025 detsember tegevuskava'!O74='kuni 2025 detsember tegevuskava'!$O$103,2,'kuni 2025 detsember tegevuskava'!O74='kuni 2025 detsember tegevuskava'!$O$98,3)</f>
        <v>2</v>
      </c>
      <c r="I386" s="132">
        <f>SUM(I387:I389)</f>
        <v>0</v>
      </c>
      <c r="J386" s="133"/>
      <c r="K386" s="81">
        <f>SUM(K387:K389)</f>
        <v>0</v>
      </c>
      <c r="L386" s="83"/>
      <c r="M386" s="132">
        <f>SUM(M387:M389)</f>
        <v>0</v>
      </c>
      <c r="N386" s="133"/>
      <c r="O386" s="81">
        <f>SUM(O387:O389)</f>
        <v>0</v>
      </c>
      <c r="P386" s="85"/>
    </row>
    <row r="387" spans="2:16" ht="17.25" x14ac:dyDescent="0.25">
      <c r="B387" s="145"/>
      <c r="C387" s="8"/>
      <c r="D387" s="8"/>
      <c r="E387" s="8"/>
      <c r="F387" s="8"/>
      <c r="G387" s="8"/>
      <c r="H387" s="192"/>
      <c r="I387" s="102">
        <f>SUM(K387+M387+O387)</f>
        <v>0</v>
      </c>
      <c r="J387" s="103" t="str">
        <f>"(15)"</f>
        <v>(15)</v>
      </c>
      <c r="K387" s="97">
        <f>'kuni 2025 detsember tegevuskava'!W74</f>
        <v>0</v>
      </c>
      <c r="L387" s="98" t="str">
        <f>"(15)"</f>
        <v>(15)</v>
      </c>
      <c r="M387" s="102">
        <f>'kuni 2025 detsember tegevuskava'!Z74</f>
        <v>0</v>
      </c>
      <c r="N387" s="103" t="str">
        <f>"(15)"</f>
        <v>(15)</v>
      </c>
      <c r="O387" s="97">
        <f>'kuni 2025 detsember tegevuskava'!AC74</f>
        <v>0</v>
      </c>
      <c r="P387" s="87" t="str">
        <f>"(15)"</f>
        <v>(15)</v>
      </c>
    </row>
    <row r="388" spans="2:16" ht="17.25" x14ac:dyDescent="0.25">
      <c r="B388" s="145"/>
      <c r="C388" s="8"/>
      <c r="D388" s="8"/>
      <c r="E388" s="8"/>
      <c r="F388" s="8"/>
      <c r="G388" s="8"/>
      <c r="H388" s="192"/>
      <c r="I388" s="102">
        <f>SUM(K388+M388+O388)</f>
        <v>0</v>
      </c>
      <c r="J388" s="103" t="str">
        <f>"(50)"</f>
        <v>(50)</v>
      </c>
      <c r="K388" s="97">
        <f>'kuni 2025 detsember tegevuskava'!X74</f>
        <v>0</v>
      </c>
      <c r="L388" s="98" t="str">
        <f>"(50)"</f>
        <v>(50)</v>
      </c>
      <c r="M388" s="102">
        <f>'kuni 2025 detsember tegevuskava'!AA74</f>
        <v>0</v>
      </c>
      <c r="N388" s="103" t="str">
        <f>"(50)"</f>
        <v>(50)</v>
      </c>
      <c r="O388" s="97">
        <f>'kuni 2025 detsember tegevuskava'!AD74</f>
        <v>0</v>
      </c>
      <c r="P388" s="87" t="str">
        <f>"(50)"</f>
        <v>(50)</v>
      </c>
    </row>
    <row r="389" spans="2:16" ht="17.25" x14ac:dyDescent="0.25">
      <c r="B389" s="145"/>
      <c r="C389" s="8"/>
      <c r="D389" s="8"/>
      <c r="E389" s="8"/>
      <c r="F389" s="8"/>
      <c r="G389" s="8"/>
      <c r="H389" s="192"/>
      <c r="I389" s="104">
        <f>SUM(K389+M389+O389)</f>
        <v>0</v>
      </c>
      <c r="J389" s="105" t="str">
        <f>"(55)"</f>
        <v>(55)</v>
      </c>
      <c r="K389" s="99">
        <f>'kuni 2025 detsember tegevuskava'!Y74</f>
        <v>0</v>
      </c>
      <c r="L389" s="88" t="str">
        <f>"(55)"</f>
        <v>(55)</v>
      </c>
      <c r="M389" s="104">
        <f>'kuni 2025 detsember tegevuskava'!AB74</f>
        <v>0</v>
      </c>
      <c r="N389" s="105" t="str">
        <f>"(55)"</f>
        <v>(55)</v>
      </c>
      <c r="O389" s="99">
        <f>'kuni 2025 detsember tegevuskava'!AE74</f>
        <v>0</v>
      </c>
      <c r="P389" s="90" t="str">
        <f>"(55)"</f>
        <v>(55)</v>
      </c>
    </row>
    <row r="390" spans="2:16" ht="17.25" x14ac:dyDescent="0.25">
      <c r="B390" s="145"/>
      <c r="C390" s="8"/>
      <c r="D390" s="8"/>
      <c r="E390" s="8"/>
      <c r="F390" s="8"/>
      <c r="G390" s="8"/>
      <c r="H390" s="192"/>
      <c r="I390" s="151" t="s">
        <v>298</v>
      </c>
      <c r="J390" s="8"/>
      <c r="K390" s="8"/>
      <c r="L390" s="8"/>
      <c r="M390" s="8"/>
      <c r="N390" s="8"/>
      <c r="O390" s="8"/>
      <c r="P390" s="159"/>
    </row>
    <row r="391" spans="2:16" ht="17.25" x14ac:dyDescent="0.25">
      <c r="B391" s="145"/>
      <c r="C391" s="8"/>
      <c r="D391" s="8"/>
      <c r="E391" s="8"/>
      <c r="F391" s="8"/>
      <c r="G391" s="8"/>
      <c r="H391" s="192"/>
      <c r="I391" s="100">
        <f>SUM(I392:I394)</f>
        <v>0</v>
      </c>
      <c r="J391" s="101"/>
      <c r="K391" s="91">
        <f>SUM(K392:K394)</f>
        <v>0</v>
      </c>
      <c r="L391" s="92"/>
      <c r="M391" s="100">
        <f>SUM(M392:M394)</f>
        <v>0</v>
      </c>
      <c r="N391" s="106"/>
      <c r="O391" s="100">
        <f>SUM(O392:O394)</f>
        <v>0</v>
      </c>
      <c r="P391" s="134"/>
    </row>
    <row r="392" spans="2:16" ht="17.25" x14ac:dyDescent="0.25">
      <c r="B392" s="145"/>
      <c r="C392" s="8"/>
      <c r="D392" s="8"/>
      <c r="E392" s="8"/>
      <c r="F392" s="8"/>
      <c r="G392" s="8"/>
      <c r="H392" s="192"/>
      <c r="I392" s="102">
        <f>SUM(K392+M392+O392)</f>
        <v>0</v>
      </c>
      <c r="J392" s="103" t="str">
        <f>"(15)"</f>
        <v>(15)</v>
      </c>
      <c r="K392" s="97">
        <f>SUM(K387*1.2)</f>
        <v>0</v>
      </c>
      <c r="L392" s="98" t="str">
        <f>"(15)"</f>
        <v>(15)</v>
      </c>
      <c r="M392" s="102">
        <f>SUM(M387*1.22)</f>
        <v>0</v>
      </c>
      <c r="N392" s="103" t="str">
        <f>"(15)"</f>
        <v>(15)</v>
      </c>
      <c r="O392" s="102">
        <f>SUM(O387*1.22)</f>
        <v>0</v>
      </c>
      <c r="P392" s="87" t="str">
        <f>"(15)"</f>
        <v>(15)</v>
      </c>
    </row>
    <row r="393" spans="2:16" ht="17.25" x14ac:dyDescent="0.25">
      <c r="B393" s="145"/>
      <c r="C393" s="8"/>
      <c r="D393" s="8"/>
      <c r="E393" s="8"/>
      <c r="F393" s="8"/>
      <c r="G393" s="8"/>
      <c r="H393" s="192"/>
      <c r="I393" s="102">
        <f>SUM(K393+M393+O393)</f>
        <v>0</v>
      </c>
      <c r="J393" s="103" t="str">
        <f>"(50)"</f>
        <v>(50)</v>
      </c>
      <c r="K393" s="97">
        <f>K388</f>
        <v>0</v>
      </c>
      <c r="L393" s="98" t="str">
        <f>"(50)"</f>
        <v>(50)</v>
      </c>
      <c r="M393" s="102">
        <f>M388</f>
        <v>0</v>
      </c>
      <c r="N393" s="103" t="str">
        <f>"(50)"</f>
        <v>(50)</v>
      </c>
      <c r="O393" s="102">
        <f>O388</f>
        <v>0</v>
      </c>
      <c r="P393" s="87" t="str">
        <f>"(50)"</f>
        <v>(50)</v>
      </c>
    </row>
    <row r="394" spans="2:16" ht="18" thickBot="1" x14ac:dyDescent="0.3">
      <c r="B394" s="160"/>
      <c r="C394" s="161"/>
      <c r="D394" s="161"/>
      <c r="E394" s="161"/>
      <c r="F394" s="161"/>
      <c r="G394" s="161"/>
      <c r="H394" s="193"/>
      <c r="I394" s="130">
        <f>SUM(K394+M394+O394)</f>
        <v>0</v>
      </c>
      <c r="J394" s="131" t="str">
        <f>"(55)"</f>
        <v>(55)</v>
      </c>
      <c r="K394" s="93">
        <f>SUM(K389*1.2)</f>
        <v>0</v>
      </c>
      <c r="L394" s="94" t="str">
        <f>"(55)"</f>
        <v>(55)</v>
      </c>
      <c r="M394" s="130">
        <f>SUM(M389*1.22)</f>
        <v>0</v>
      </c>
      <c r="N394" s="131" t="str">
        <f>"(55)"</f>
        <v>(55)</v>
      </c>
      <c r="O394" s="130">
        <f>SUM(O389*1.22)</f>
        <v>0</v>
      </c>
      <c r="P394" s="96" t="str">
        <f>"(55)"</f>
        <v>(55)</v>
      </c>
    </row>
    <row r="395" spans="2:16" ht="17.25" x14ac:dyDescent="0.25">
      <c r="B395" s="187" t="str">
        <f>'kuni 2025 detsember tegevuskava'!A75&amp;"/"&amp;'kuni 2025 detsember tegevuskava'!C75</f>
        <v>Regionaal- ja Põllumajandusministeerium/UUS</v>
      </c>
      <c r="C395" s="156" t="str">
        <f>'kuni 2025 detsember tegevuskava'!I75</f>
        <v xml:space="preserve">Täna menetletakse pindala- ning loomapõhiseid toetuseid 2003. a loodud menetlussüsteemis TAKS (Oracle Forms) ja 2008. a loodud menetlussüsteemis CCS (Aranea). Seega kõik menetlusetappideks kasutatavad infosüsteemid on vananenud ning toimivad eraldiseisvalt. 
Nii Oracle Formsil kui Araneal on suur hulk riske, mis on osaliselt tänaseks realiseerinud: arenduspartnereid pole piisavalt, süsteem kukub kokku kriitilisel hetkel jne jne. 
2025.aastal tuleb alustada uue perioodi sekkumiste arendustega. Kindlasti ei ole mõistlik ja võimalik, et tänased menetlusüsteemist aastast 2003 (ca 30 aastane!) järgmise programmperioodi vastu peavad. Juhul kui me ei alusta täna programmide uuendamisega, ei ole me valmis 2028+ perioodi sekkumisi avama. </v>
      </c>
      <c r="D395" s="156" t="str">
        <f>'kuni 2025 detsember tegevuskava'!J75</f>
        <v>Pindalatoetuste menetlussüsteemi uuendamise projekti tooteomanik</v>
      </c>
      <c r="E395" s="156" t="str">
        <f>'kuni 2025 detsember tegevuskava'!K75</f>
        <v>Tooteomanik/projektijuht on värvatud juuni 2024.</v>
      </c>
      <c r="F395" s="156" t="str">
        <f>'kuni 2025 detsember tegevuskava'!O75&amp;"/"</f>
        <v>Baaseelarve/</v>
      </c>
      <c r="G395" s="156" cm="1">
        <f t="array" ref="G395">_xlfn.IFS('kuni 2025 detsember tegevuskava'!G75='kuni 2025 detsember tegevuskava'!$G$97,1,'kuni 2025 detsember tegevuskava'!G75='kuni 2025 detsember tegevuskava'!$G$98,2,'kuni 2025 detsember tegevuskava'!G75='kuni 2025 detsember tegevuskava'!$G$99,3,'kuni 2025 detsember tegevuskava'!G75='kuni 2025 detsember tegevuskava'!$G$100,4)</f>
        <v>1</v>
      </c>
      <c r="H395" s="194" cm="1">
        <f t="array" ref="H395">_xlfn.IFS(OR('kuni 2025 detsember tegevuskava'!O75='kuni 2025 detsember tegevuskava'!$O$97,'kuni 2025 detsember tegevuskava'!O75='kuni 2025 detsember tegevuskava'!$O$99,'kuni 2025 detsember tegevuskava'!O75='kuni 2025 detsember tegevuskava'!$O$100,'kuni 2025 detsember tegevuskava'!O75='kuni 2025 detsember tegevuskava'!$O$101),1,'kuni 2025 detsember tegevuskava'!O75='kuni 2025 detsember tegevuskava'!$O$102,2,'kuni 2025 detsember tegevuskava'!O75='kuni 2025 detsember tegevuskava'!$O$103,2,'kuni 2025 detsember tegevuskava'!O75='kuni 2025 detsember tegevuskava'!$O$98,3)</f>
        <v>1</v>
      </c>
      <c r="I395" s="132">
        <f>SUM(I396:I398)</f>
        <v>79593.600000000006</v>
      </c>
      <c r="J395" s="133"/>
      <c r="K395" s="81">
        <f>SUM(K396:K398)</f>
        <v>0</v>
      </c>
      <c r="L395" s="83"/>
      <c r="M395" s="132">
        <f>SUM(M396:M398)</f>
        <v>26531.200000000001</v>
      </c>
      <c r="N395" s="133"/>
      <c r="O395" s="81">
        <f>SUM(O396:O398)</f>
        <v>53062.400000000001</v>
      </c>
      <c r="P395" s="85"/>
    </row>
    <row r="396" spans="2:16" ht="17.25" x14ac:dyDescent="0.25">
      <c r="B396" s="145"/>
      <c r="C396" s="8"/>
      <c r="D396" s="8"/>
      <c r="E396" s="8"/>
      <c r="F396" s="8"/>
      <c r="G396" s="8"/>
      <c r="H396" s="192"/>
      <c r="I396" s="102">
        <f>SUM(K396+M396+O396)</f>
        <v>0</v>
      </c>
      <c r="J396" s="103" t="str">
        <f>"(15)"</f>
        <v>(15)</v>
      </c>
      <c r="K396" s="97">
        <f>'kuni 2025 detsember tegevuskava'!W75</f>
        <v>0</v>
      </c>
      <c r="L396" s="98" t="str">
        <f>"(15)"</f>
        <v>(15)</v>
      </c>
      <c r="M396" s="102">
        <f>'kuni 2025 detsember tegevuskava'!Z75</f>
        <v>0</v>
      </c>
      <c r="N396" s="103" t="str">
        <f>"(15)"</f>
        <v>(15)</v>
      </c>
      <c r="O396" s="97">
        <f>'kuni 2025 detsember tegevuskava'!AC75</f>
        <v>0</v>
      </c>
      <c r="P396" s="87" t="str">
        <f>"(15)"</f>
        <v>(15)</v>
      </c>
    </row>
    <row r="397" spans="2:16" ht="17.25" x14ac:dyDescent="0.25">
      <c r="B397" s="145"/>
      <c r="C397" s="8"/>
      <c r="D397" s="8"/>
      <c r="E397" s="8"/>
      <c r="F397" s="8"/>
      <c r="G397" s="8"/>
      <c r="H397" s="192"/>
      <c r="I397" s="102">
        <f>SUM(K397+M397+O397)</f>
        <v>69843.600000000006</v>
      </c>
      <c r="J397" s="103" t="str">
        <f>"(50)"</f>
        <v>(50)</v>
      </c>
      <c r="K397" s="97">
        <f>'kuni 2025 detsember tegevuskava'!X75</f>
        <v>0</v>
      </c>
      <c r="L397" s="98" t="str">
        <f>"(50)"</f>
        <v>(50)</v>
      </c>
      <c r="M397" s="102">
        <f>'kuni 2025 detsember tegevuskava'!AA75</f>
        <v>23281.200000000001</v>
      </c>
      <c r="N397" s="103" t="str">
        <f>"(50)"</f>
        <v>(50)</v>
      </c>
      <c r="O397" s="97">
        <f>'kuni 2025 detsember tegevuskava'!AD75</f>
        <v>46562.400000000001</v>
      </c>
      <c r="P397" s="87" t="str">
        <f>"(50)"</f>
        <v>(50)</v>
      </c>
    </row>
    <row r="398" spans="2:16" ht="17.25" x14ac:dyDescent="0.25">
      <c r="B398" s="145"/>
      <c r="C398" s="8"/>
      <c r="D398" s="8"/>
      <c r="E398" s="8"/>
      <c r="F398" s="8"/>
      <c r="G398" s="8"/>
      <c r="H398" s="192"/>
      <c r="I398" s="104">
        <f>SUM(K398+M398+O398)</f>
        <v>9750</v>
      </c>
      <c r="J398" s="105" t="str">
        <f>"(55)"</f>
        <v>(55)</v>
      </c>
      <c r="K398" s="99">
        <f>'kuni 2025 detsember tegevuskava'!Y75</f>
        <v>0</v>
      </c>
      <c r="L398" s="88" t="str">
        <f>"(55)"</f>
        <v>(55)</v>
      </c>
      <c r="M398" s="104">
        <f>'kuni 2025 detsember tegevuskava'!AB75</f>
        <v>3250</v>
      </c>
      <c r="N398" s="105" t="str">
        <f>"(55)"</f>
        <v>(55)</v>
      </c>
      <c r="O398" s="99">
        <f>'kuni 2025 detsember tegevuskava'!AE75</f>
        <v>6500</v>
      </c>
      <c r="P398" s="90" t="str">
        <f>"(55)"</f>
        <v>(55)</v>
      </c>
    </row>
    <row r="399" spans="2:16" ht="17.25" x14ac:dyDescent="0.25">
      <c r="B399" s="145"/>
      <c r="C399" s="8"/>
      <c r="D399" s="8"/>
      <c r="E399" s="8"/>
      <c r="F399" s="8"/>
      <c r="G399" s="8"/>
      <c r="H399" s="192"/>
      <c r="I399" s="151" t="s">
        <v>298</v>
      </c>
      <c r="J399" s="8"/>
      <c r="K399" s="8"/>
      <c r="L399" s="8"/>
      <c r="M399" s="8"/>
      <c r="N399" s="8"/>
      <c r="O399" s="8"/>
      <c r="P399" s="159"/>
    </row>
    <row r="400" spans="2:16" ht="17.25" x14ac:dyDescent="0.25">
      <c r="B400" s="145"/>
      <c r="C400" s="8"/>
      <c r="D400" s="8"/>
      <c r="E400" s="8"/>
      <c r="F400" s="8"/>
      <c r="G400" s="8"/>
      <c r="H400" s="192"/>
      <c r="I400" s="100">
        <f>SUM(I401:I403)</f>
        <v>81738.600000000006</v>
      </c>
      <c r="J400" s="101"/>
      <c r="K400" s="91">
        <f>SUM(K401:K403)</f>
        <v>0</v>
      </c>
      <c r="L400" s="92"/>
      <c r="M400" s="100">
        <f>SUM(M401:M403)</f>
        <v>27246.2</v>
      </c>
      <c r="N400" s="106"/>
      <c r="O400" s="100">
        <f>SUM(O401:O403)</f>
        <v>54492.4</v>
      </c>
      <c r="P400" s="134"/>
    </row>
    <row r="401" spans="2:16" ht="17.25" x14ac:dyDescent="0.25">
      <c r="B401" s="145"/>
      <c r="C401" s="8"/>
      <c r="D401" s="8"/>
      <c r="E401" s="8"/>
      <c r="F401" s="8"/>
      <c r="G401" s="8"/>
      <c r="H401" s="192"/>
      <c r="I401" s="102">
        <f>SUM(K401+M401+O401)</f>
        <v>0</v>
      </c>
      <c r="J401" s="103" t="str">
        <f>"(15)"</f>
        <v>(15)</v>
      </c>
      <c r="K401" s="97">
        <f>SUM(K396*1.2)</f>
        <v>0</v>
      </c>
      <c r="L401" s="98" t="str">
        <f>"(15)"</f>
        <v>(15)</v>
      </c>
      <c r="M401" s="102">
        <f>SUM(M396*1.22)</f>
        <v>0</v>
      </c>
      <c r="N401" s="103" t="str">
        <f>"(15)"</f>
        <v>(15)</v>
      </c>
      <c r="O401" s="102">
        <f>SUM(O396*1.22)</f>
        <v>0</v>
      </c>
      <c r="P401" s="87" t="str">
        <f>"(15)"</f>
        <v>(15)</v>
      </c>
    </row>
    <row r="402" spans="2:16" ht="17.25" x14ac:dyDescent="0.25">
      <c r="B402" s="145"/>
      <c r="C402" s="8"/>
      <c r="D402" s="8"/>
      <c r="E402" s="8"/>
      <c r="F402" s="8"/>
      <c r="G402" s="8"/>
      <c r="H402" s="192"/>
      <c r="I402" s="102">
        <f>SUM(K402+M402+O402)</f>
        <v>69843.600000000006</v>
      </c>
      <c r="J402" s="103" t="str">
        <f>"(50)"</f>
        <v>(50)</v>
      </c>
      <c r="K402" s="97">
        <f>K397</f>
        <v>0</v>
      </c>
      <c r="L402" s="98" t="str">
        <f>"(50)"</f>
        <v>(50)</v>
      </c>
      <c r="M402" s="102">
        <f>M397</f>
        <v>23281.200000000001</v>
      </c>
      <c r="N402" s="103" t="str">
        <f>"(50)"</f>
        <v>(50)</v>
      </c>
      <c r="O402" s="102">
        <f>O397</f>
        <v>46562.400000000001</v>
      </c>
      <c r="P402" s="87" t="str">
        <f>"(50)"</f>
        <v>(50)</v>
      </c>
    </row>
    <row r="403" spans="2:16" ht="18" thickBot="1" x14ac:dyDescent="0.3">
      <c r="B403" s="160"/>
      <c r="C403" s="161"/>
      <c r="D403" s="161"/>
      <c r="E403" s="161"/>
      <c r="F403" s="161"/>
      <c r="G403" s="161"/>
      <c r="H403" s="193"/>
      <c r="I403" s="130">
        <f>SUM(K403+M403+O403)</f>
        <v>11895</v>
      </c>
      <c r="J403" s="131" t="str">
        <f>"(55)"</f>
        <v>(55)</v>
      </c>
      <c r="K403" s="93">
        <f>SUM(K398*1.2)</f>
        <v>0</v>
      </c>
      <c r="L403" s="94" t="str">
        <f>"(55)"</f>
        <v>(55)</v>
      </c>
      <c r="M403" s="130">
        <f>SUM(M398*1.22)</f>
        <v>3965</v>
      </c>
      <c r="N403" s="131" t="str">
        <f>"(55)"</f>
        <v>(55)</v>
      </c>
      <c r="O403" s="130">
        <f>SUM(O398*1.22)</f>
        <v>7930</v>
      </c>
      <c r="P403" s="96" t="str">
        <f>"(55)"</f>
        <v>(55)</v>
      </c>
    </row>
    <row r="404" spans="2:16" ht="17.25" x14ac:dyDescent="0.25">
      <c r="B404" s="187" t="str">
        <f>'kuni 2025 detsember tegevuskava'!A76&amp;"/"&amp;'kuni 2025 detsember tegevuskava'!C76</f>
        <v>Regionaal- ja Põllumajandusministeerium/</v>
      </c>
      <c r="C404" s="156" t="str">
        <f>'kuni 2025 detsember tegevuskava'!I76</f>
        <v xml:space="preserve">PRIA kasutab toetuste arvestamiseks, maksmiseks, võlgade halduseks ja raamatupidamiseks aastast 2006. kasutusele võetud infosüsteemi. Makseteteostamiseks kasutatakse Aranea tehnoloogial põhinevat süsteemi (ARMA) ning raamatupidamiseks Microsoft Dynamics AX põhinevat süsteemi (PRIAX). Tänane põhiprobleem on see, et Aranea on vananenud tehnoloogia ja arenduseks inimesi turult ei leia. ARMA on PRIA jaoks äärmiselt kriitiline süsteem, kui antud süsteem ei ole töökindel st. ei suudeta tagada korrektseid makseid ja finantsarvestust, ei vasta me Akrediteerimistingimustele! Antud süsteemiga teostatakse igaastaselt ca 40 000le klindilemakseid 400 miljoni ulatuses makseid. </v>
      </c>
      <c r="D404" s="156" t="str">
        <f>'kuni 2025 detsember tegevuskava'!J76</f>
        <v>Arvestuse ja maksete süsteemi uuele platvormile viimine</v>
      </c>
      <c r="E404" s="156" t="str">
        <f>'kuni 2025 detsember tegevuskava'!K76</f>
        <v>1. 2026.aasta tulemuseks on ärianalüüs, mille käigus on
• seotud osapoolte ja nende vajaduste kaardistamine,
• protsesside ja nendega seotud kitsaskohtade kaardistamine,
• võimalike lahendusalternatiivide analüüsimine,
• lahenduse väljavalimine ning muudatuse mõju mõõtmine
Sisendiks punkt 2 realiseerimiseks. 
2. 2028.aastaks on arendatud uus infosüsteem, kus saab teostada finantsarvestust, makseid, võlgadehaldust, edastada sisendit Euroopa ja siseriiklikuks aruandluseks.</v>
      </c>
      <c r="F404" s="156" t="str">
        <f>'kuni 2025 detsember tegevuskava'!O76&amp;"/"</f>
        <v>SF 21-27 (taotletav raha)/</v>
      </c>
      <c r="G404" s="156" cm="1">
        <f t="array" ref="G404">_xlfn.IFS('kuni 2025 detsember tegevuskava'!G76='kuni 2025 detsember tegevuskava'!$G$97,1,'kuni 2025 detsember tegevuskava'!G76='kuni 2025 detsember tegevuskava'!$G$98,2,'kuni 2025 detsember tegevuskava'!G76='kuni 2025 detsember tegevuskava'!$G$99,3,'kuni 2025 detsember tegevuskava'!G76='kuni 2025 detsember tegevuskava'!$G$100,4)</f>
        <v>1</v>
      </c>
      <c r="H404" s="194" cm="1">
        <f t="array" ref="H404">_xlfn.IFS(OR('kuni 2025 detsember tegevuskava'!O76='kuni 2025 detsember tegevuskava'!$O$97,'kuni 2025 detsember tegevuskava'!O76='kuni 2025 detsember tegevuskava'!$O$99,'kuni 2025 detsember tegevuskava'!O76='kuni 2025 detsember tegevuskava'!$O$100,'kuni 2025 detsember tegevuskava'!O76='kuni 2025 detsember tegevuskava'!$O$101),1,'kuni 2025 detsember tegevuskava'!O76='kuni 2025 detsember tegevuskava'!$O$102,2,'kuni 2025 detsember tegevuskava'!O76='kuni 2025 detsember tegevuskava'!$O$103,2,'kuni 2025 detsember tegevuskava'!O76='kuni 2025 detsember tegevuskava'!$O$98,3)</f>
        <v>2</v>
      </c>
      <c r="I404" s="132">
        <f>SUM(I405:I407)</f>
        <v>0</v>
      </c>
      <c r="J404" s="133"/>
      <c r="K404" s="81">
        <f>SUM(K405:K407)</f>
        <v>0</v>
      </c>
      <c r="L404" s="83"/>
      <c r="M404" s="132">
        <f>SUM(M405:M407)</f>
        <v>0</v>
      </c>
      <c r="N404" s="133"/>
      <c r="O404" s="81">
        <f>SUM(O405:O407)</f>
        <v>0</v>
      </c>
      <c r="P404" s="85"/>
    </row>
    <row r="405" spans="2:16" ht="17.25" x14ac:dyDescent="0.25">
      <c r="B405" s="145"/>
      <c r="C405" s="8"/>
      <c r="D405" s="8"/>
      <c r="E405" s="8"/>
      <c r="F405" s="8"/>
      <c r="G405" s="8"/>
      <c r="H405" s="192"/>
      <c r="I405" s="102">
        <f>SUM(K405+M405+O405)</f>
        <v>0</v>
      </c>
      <c r="J405" s="103" t="str">
        <f>"(15)"</f>
        <v>(15)</v>
      </c>
      <c r="K405" s="97">
        <f>'kuni 2025 detsember tegevuskava'!W76</f>
        <v>0</v>
      </c>
      <c r="L405" s="98" t="str">
        <f>"(15)"</f>
        <v>(15)</v>
      </c>
      <c r="M405" s="102">
        <f>'kuni 2025 detsember tegevuskava'!Z76</f>
        <v>0</v>
      </c>
      <c r="N405" s="103" t="str">
        <f>"(15)"</f>
        <v>(15)</v>
      </c>
      <c r="O405" s="97">
        <f>'kuni 2025 detsember tegevuskava'!AC76</f>
        <v>0</v>
      </c>
      <c r="P405" s="87" t="str">
        <f>"(15)"</f>
        <v>(15)</v>
      </c>
    </row>
    <row r="406" spans="2:16" ht="17.25" x14ac:dyDescent="0.25">
      <c r="B406" s="145"/>
      <c r="C406" s="8"/>
      <c r="D406" s="8"/>
      <c r="E406" s="8"/>
      <c r="F406" s="8"/>
      <c r="G406" s="8"/>
      <c r="H406" s="192"/>
      <c r="I406" s="102">
        <f>SUM(K406+M406+O406)</f>
        <v>0</v>
      </c>
      <c r="J406" s="103" t="str">
        <f>"(50)"</f>
        <v>(50)</v>
      </c>
      <c r="K406" s="97">
        <f>'kuni 2025 detsember tegevuskava'!X76</f>
        <v>0</v>
      </c>
      <c r="L406" s="98" t="str">
        <f>"(50)"</f>
        <v>(50)</v>
      </c>
      <c r="M406" s="102">
        <f>'kuni 2025 detsember tegevuskava'!AA76</f>
        <v>0</v>
      </c>
      <c r="N406" s="103" t="str">
        <f>"(50)"</f>
        <v>(50)</v>
      </c>
      <c r="O406" s="97">
        <f>'kuni 2025 detsember tegevuskava'!AD76</f>
        <v>0</v>
      </c>
      <c r="P406" s="87" t="str">
        <f>"(50)"</f>
        <v>(50)</v>
      </c>
    </row>
    <row r="407" spans="2:16" ht="17.25" x14ac:dyDescent="0.25">
      <c r="B407" s="145"/>
      <c r="C407" s="8"/>
      <c r="D407" s="8"/>
      <c r="E407" s="8"/>
      <c r="F407" s="8"/>
      <c r="G407" s="8"/>
      <c r="H407" s="192"/>
      <c r="I407" s="104">
        <f>SUM(K407+M407+O407)</f>
        <v>0</v>
      </c>
      <c r="J407" s="105" t="str">
        <f>"(55)"</f>
        <v>(55)</v>
      </c>
      <c r="K407" s="99">
        <f>'kuni 2025 detsember tegevuskava'!Y76</f>
        <v>0</v>
      </c>
      <c r="L407" s="88" t="str">
        <f>"(55)"</f>
        <v>(55)</v>
      </c>
      <c r="M407" s="104">
        <f>'kuni 2025 detsember tegevuskava'!AB76</f>
        <v>0</v>
      </c>
      <c r="N407" s="105" t="str">
        <f>"(55)"</f>
        <v>(55)</v>
      </c>
      <c r="O407" s="99">
        <f>'kuni 2025 detsember tegevuskava'!AE76</f>
        <v>0</v>
      </c>
      <c r="P407" s="90" t="str">
        <f>"(55)"</f>
        <v>(55)</v>
      </c>
    </row>
    <row r="408" spans="2:16" ht="17.25" x14ac:dyDescent="0.25">
      <c r="B408" s="145"/>
      <c r="C408" s="8"/>
      <c r="D408" s="8"/>
      <c r="E408" s="8"/>
      <c r="F408" s="8"/>
      <c r="G408" s="8"/>
      <c r="H408" s="192"/>
      <c r="I408" s="151" t="s">
        <v>298</v>
      </c>
      <c r="J408" s="8"/>
      <c r="K408" s="8"/>
      <c r="L408" s="8"/>
      <c r="M408" s="8"/>
      <c r="N408" s="8"/>
      <c r="O408" s="8"/>
      <c r="P408" s="159"/>
    </row>
    <row r="409" spans="2:16" ht="17.25" x14ac:dyDescent="0.25">
      <c r="B409" s="145"/>
      <c r="C409" s="8"/>
      <c r="D409" s="8"/>
      <c r="E409" s="8"/>
      <c r="F409" s="8"/>
      <c r="G409" s="8"/>
      <c r="H409" s="192"/>
      <c r="I409" s="100">
        <f>SUM(I410:I412)</f>
        <v>0</v>
      </c>
      <c r="J409" s="101"/>
      <c r="K409" s="91">
        <f>SUM(K410:K412)</f>
        <v>0</v>
      </c>
      <c r="L409" s="92"/>
      <c r="M409" s="100">
        <f>SUM(M410:M412)</f>
        <v>0</v>
      </c>
      <c r="N409" s="106"/>
      <c r="O409" s="100">
        <f>SUM(O410:O412)</f>
        <v>0</v>
      </c>
      <c r="P409" s="134"/>
    </row>
    <row r="410" spans="2:16" ht="17.25" x14ac:dyDescent="0.25">
      <c r="B410" s="145"/>
      <c r="C410" s="8"/>
      <c r="D410" s="8"/>
      <c r="E410" s="8"/>
      <c r="F410" s="8"/>
      <c r="G410" s="8"/>
      <c r="H410" s="192"/>
      <c r="I410" s="102">
        <f>SUM(K410+M410+O410)</f>
        <v>0</v>
      </c>
      <c r="J410" s="103" t="str">
        <f>"(15)"</f>
        <v>(15)</v>
      </c>
      <c r="K410" s="97">
        <f>SUM(K405*1.2)</f>
        <v>0</v>
      </c>
      <c r="L410" s="98" t="str">
        <f>"(15)"</f>
        <v>(15)</v>
      </c>
      <c r="M410" s="102">
        <f>SUM(M405*1.22)</f>
        <v>0</v>
      </c>
      <c r="N410" s="103" t="str">
        <f>"(15)"</f>
        <v>(15)</v>
      </c>
      <c r="O410" s="102">
        <f>SUM(O405*1.22)</f>
        <v>0</v>
      </c>
      <c r="P410" s="87" t="str">
        <f>"(15)"</f>
        <v>(15)</v>
      </c>
    </row>
    <row r="411" spans="2:16" ht="17.25" x14ac:dyDescent="0.25">
      <c r="B411" s="145"/>
      <c r="C411" s="8"/>
      <c r="D411" s="8"/>
      <c r="E411" s="8"/>
      <c r="F411" s="8"/>
      <c r="G411" s="8"/>
      <c r="H411" s="192"/>
      <c r="I411" s="102">
        <f>SUM(K411+M411+O411)</f>
        <v>0</v>
      </c>
      <c r="J411" s="103" t="str">
        <f>"(50)"</f>
        <v>(50)</v>
      </c>
      <c r="K411" s="97">
        <f>K406</f>
        <v>0</v>
      </c>
      <c r="L411" s="98" t="str">
        <f>"(50)"</f>
        <v>(50)</v>
      </c>
      <c r="M411" s="102">
        <f>M406</f>
        <v>0</v>
      </c>
      <c r="N411" s="103" t="str">
        <f>"(50)"</f>
        <v>(50)</v>
      </c>
      <c r="O411" s="102">
        <f>O406</f>
        <v>0</v>
      </c>
      <c r="P411" s="87" t="str">
        <f>"(50)"</f>
        <v>(50)</v>
      </c>
    </row>
    <row r="412" spans="2:16" ht="18" thickBot="1" x14ac:dyDescent="0.3">
      <c r="B412" s="160"/>
      <c r="C412" s="161"/>
      <c r="D412" s="161"/>
      <c r="E412" s="161"/>
      <c r="F412" s="161"/>
      <c r="G412" s="161"/>
      <c r="H412" s="193"/>
      <c r="I412" s="130">
        <f>SUM(K412+M412+O412)</f>
        <v>0</v>
      </c>
      <c r="J412" s="131" t="str">
        <f>"(55)"</f>
        <v>(55)</v>
      </c>
      <c r="K412" s="93">
        <f>SUM(K407*1.2)</f>
        <v>0</v>
      </c>
      <c r="L412" s="94" t="str">
        <f>"(55)"</f>
        <v>(55)</v>
      </c>
      <c r="M412" s="130">
        <f>SUM(M407*1.22)</f>
        <v>0</v>
      </c>
      <c r="N412" s="131" t="str">
        <f>"(55)"</f>
        <v>(55)</v>
      </c>
      <c r="O412" s="130">
        <f>SUM(O407*1.22)</f>
        <v>0</v>
      </c>
      <c r="P412" s="96" t="str">
        <f>"(55)"</f>
        <v>(55)</v>
      </c>
    </row>
    <row r="413" spans="2:16" ht="17.25" x14ac:dyDescent="0.25">
      <c r="B413" s="187" t="str">
        <f>'kuni 2025 detsember tegevuskava'!A77&amp;"/"&amp;'kuni 2025 detsember tegevuskava'!C77</f>
        <v>Regionaal- ja Põllumajandusministeerium/UUS</v>
      </c>
      <c r="C413" s="156" t="str">
        <f>'kuni 2025 detsember tegevuskava'!I77</f>
        <v>PRIA maksete ja arvestussüsteemi hooldamine</v>
      </c>
      <c r="D413" s="156" t="str">
        <f>'kuni 2025 detsember tegevuskava'!J77</f>
        <v>Arvestuse ja maksete süsteemi hoolduskulud</v>
      </c>
      <c r="E413" s="156" t="str">
        <f>'kuni 2025 detsember tegevuskava'!K77</f>
        <v>Süsteem on hooldatud, teenus on pakutud.</v>
      </c>
      <c r="F413" s="156" t="str">
        <f>'kuni 2025 detsember tegevuskava'!O77&amp;"/"</f>
        <v>Baaseelarve/</v>
      </c>
      <c r="G413" s="156" cm="1">
        <f t="array" ref="G413">_xlfn.IFS('kuni 2025 detsember tegevuskava'!G77='kuni 2025 detsember tegevuskava'!$G$97,1,'kuni 2025 detsember tegevuskava'!G77='kuni 2025 detsember tegevuskava'!$G$98,2,'kuni 2025 detsember tegevuskava'!G77='kuni 2025 detsember tegevuskava'!$G$99,3,'kuni 2025 detsember tegevuskava'!G77='kuni 2025 detsember tegevuskava'!$G$100,4)</f>
        <v>1</v>
      </c>
      <c r="H413" s="194" cm="1">
        <f t="array" ref="H413">_xlfn.IFS(OR('kuni 2025 detsember tegevuskava'!O77='kuni 2025 detsember tegevuskava'!$O$97,'kuni 2025 detsember tegevuskava'!O77='kuni 2025 detsember tegevuskava'!$O$99,'kuni 2025 detsember tegevuskava'!O77='kuni 2025 detsember tegevuskava'!$O$100,'kuni 2025 detsember tegevuskava'!O77='kuni 2025 detsember tegevuskava'!$O$101),1,'kuni 2025 detsember tegevuskava'!O77='kuni 2025 detsember tegevuskava'!$O$102,2,'kuni 2025 detsember tegevuskava'!O77='kuni 2025 detsember tegevuskava'!$O$103,2,'kuni 2025 detsember tegevuskava'!O77='kuni 2025 detsember tegevuskava'!$O$98,3)</f>
        <v>1</v>
      </c>
      <c r="I413" s="132">
        <f>SUM(I414:I416)</f>
        <v>0</v>
      </c>
      <c r="J413" s="133"/>
      <c r="K413" s="81">
        <f>SUM(K414:K416)</f>
        <v>0</v>
      </c>
      <c r="L413" s="83"/>
      <c r="M413" s="132">
        <f>SUM(M414:M416)</f>
        <v>0</v>
      </c>
      <c r="N413" s="133"/>
      <c r="O413" s="81">
        <f>SUM(O414:O416)</f>
        <v>0</v>
      </c>
      <c r="P413" s="85"/>
    </row>
    <row r="414" spans="2:16" ht="17.25" x14ac:dyDescent="0.25">
      <c r="B414" s="145"/>
      <c r="C414" s="8"/>
      <c r="D414" s="8"/>
      <c r="E414" s="8"/>
      <c r="F414" s="8"/>
      <c r="G414" s="8"/>
      <c r="H414" s="192"/>
      <c r="I414" s="102">
        <f>SUM(K414+M414+O414)</f>
        <v>0</v>
      </c>
      <c r="J414" s="103" t="str">
        <f>"(15)"</f>
        <v>(15)</v>
      </c>
      <c r="K414" s="97">
        <f>'kuni 2025 detsember tegevuskava'!W77</f>
        <v>0</v>
      </c>
      <c r="L414" s="98" t="str">
        <f>"(15)"</f>
        <v>(15)</v>
      </c>
      <c r="M414" s="102">
        <f>'kuni 2025 detsember tegevuskava'!Z77</f>
        <v>0</v>
      </c>
      <c r="N414" s="103" t="str">
        <f>"(15)"</f>
        <v>(15)</v>
      </c>
      <c r="O414" s="97">
        <f>'kuni 2025 detsember tegevuskava'!AC77</f>
        <v>0</v>
      </c>
      <c r="P414" s="87" t="str">
        <f>"(15)"</f>
        <v>(15)</v>
      </c>
    </row>
    <row r="415" spans="2:16" ht="17.25" x14ac:dyDescent="0.25">
      <c r="B415" s="145"/>
      <c r="C415" s="8"/>
      <c r="D415" s="8"/>
      <c r="E415" s="8"/>
      <c r="F415" s="8"/>
      <c r="G415" s="8"/>
      <c r="H415" s="192"/>
      <c r="I415" s="102">
        <f>SUM(K415+M415+O415)</f>
        <v>0</v>
      </c>
      <c r="J415" s="103" t="str">
        <f>"(50)"</f>
        <v>(50)</v>
      </c>
      <c r="K415" s="97">
        <f>'kuni 2025 detsember tegevuskava'!X77</f>
        <v>0</v>
      </c>
      <c r="L415" s="98" t="str">
        <f>"(50)"</f>
        <v>(50)</v>
      </c>
      <c r="M415" s="102">
        <f>'kuni 2025 detsember tegevuskava'!AA77</f>
        <v>0</v>
      </c>
      <c r="N415" s="103" t="str">
        <f>"(50)"</f>
        <v>(50)</v>
      </c>
      <c r="O415" s="97">
        <f>'kuni 2025 detsember tegevuskava'!AD77</f>
        <v>0</v>
      </c>
      <c r="P415" s="87" t="str">
        <f>"(50)"</f>
        <v>(50)</v>
      </c>
    </row>
    <row r="416" spans="2:16" ht="17.25" x14ac:dyDescent="0.25">
      <c r="B416" s="145"/>
      <c r="C416" s="8"/>
      <c r="D416" s="8"/>
      <c r="E416" s="8"/>
      <c r="F416" s="8"/>
      <c r="G416" s="8"/>
      <c r="H416" s="192"/>
      <c r="I416" s="104">
        <f>SUM(K416+M416+O416)</f>
        <v>0</v>
      </c>
      <c r="J416" s="105" t="str">
        <f>"(55)"</f>
        <v>(55)</v>
      </c>
      <c r="K416" s="99">
        <f>'kuni 2025 detsember tegevuskava'!Y77</f>
        <v>0</v>
      </c>
      <c r="L416" s="88" t="str">
        <f>"(55)"</f>
        <v>(55)</v>
      </c>
      <c r="M416" s="104">
        <f>'kuni 2025 detsember tegevuskava'!AB77</f>
        <v>0</v>
      </c>
      <c r="N416" s="105" t="str">
        <f>"(55)"</f>
        <v>(55)</v>
      </c>
      <c r="O416" s="99">
        <f>'kuni 2025 detsember tegevuskava'!AE77</f>
        <v>0</v>
      </c>
      <c r="P416" s="90" t="str">
        <f>"(55)"</f>
        <v>(55)</v>
      </c>
    </row>
    <row r="417" spans="2:16" ht="17.25" x14ac:dyDescent="0.25">
      <c r="B417" s="145"/>
      <c r="C417" s="8"/>
      <c r="D417" s="8"/>
      <c r="E417" s="8"/>
      <c r="F417" s="8"/>
      <c r="G417" s="8"/>
      <c r="H417" s="192"/>
      <c r="I417" s="151" t="s">
        <v>298</v>
      </c>
      <c r="J417" s="8"/>
      <c r="K417" s="8"/>
      <c r="L417" s="8"/>
      <c r="M417" s="8"/>
      <c r="N417" s="8"/>
      <c r="O417" s="8"/>
      <c r="P417" s="159"/>
    </row>
    <row r="418" spans="2:16" ht="17.25" x14ac:dyDescent="0.25">
      <c r="B418" s="145"/>
      <c r="C418" s="8"/>
      <c r="D418" s="8"/>
      <c r="E418" s="8"/>
      <c r="F418" s="8"/>
      <c r="G418" s="8"/>
      <c r="H418" s="192"/>
      <c r="I418" s="100">
        <f>SUM(I419:I421)</f>
        <v>0</v>
      </c>
      <c r="J418" s="101"/>
      <c r="K418" s="91">
        <f>SUM(K419:K421)</f>
        <v>0</v>
      </c>
      <c r="L418" s="92"/>
      <c r="M418" s="100">
        <f>SUM(M419:M421)</f>
        <v>0</v>
      </c>
      <c r="N418" s="106"/>
      <c r="O418" s="100">
        <f>SUM(O419:O421)</f>
        <v>0</v>
      </c>
      <c r="P418" s="134"/>
    </row>
    <row r="419" spans="2:16" ht="17.25" x14ac:dyDescent="0.25">
      <c r="B419" s="145"/>
      <c r="C419" s="8"/>
      <c r="D419" s="8"/>
      <c r="E419" s="8"/>
      <c r="F419" s="8"/>
      <c r="G419" s="8"/>
      <c r="H419" s="192"/>
      <c r="I419" s="102">
        <f>SUM(K419+M419+O419)</f>
        <v>0</v>
      </c>
      <c r="J419" s="103" t="str">
        <f>"(15)"</f>
        <v>(15)</v>
      </c>
      <c r="K419" s="97">
        <f>SUM(K414*1.2)</f>
        <v>0</v>
      </c>
      <c r="L419" s="98" t="str">
        <f>"(15)"</f>
        <v>(15)</v>
      </c>
      <c r="M419" s="102">
        <f>SUM(M414*1.22)</f>
        <v>0</v>
      </c>
      <c r="N419" s="103" t="str">
        <f>"(15)"</f>
        <v>(15)</v>
      </c>
      <c r="O419" s="102">
        <f>SUM(O414*1.22)</f>
        <v>0</v>
      </c>
      <c r="P419" s="87" t="str">
        <f>"(15)"</f>
        <v>(15)</v>
      </c>
    </row>
    <row r="420" spans="2:16" ht="17.25" x14ac:dyDescent="0.25">
      <c r="B420" s="145"/>
      <c r="C420" s="8"/>
      <c r="D420" s="8"/>
      <c r="E420" s="8"/>
      <c r="F420" s="8"/>
      <c r="G420" s="8"/>
      <c r="H420" s="192"/>
      <c r="I420" s="102">
        <f>SUM(K420+M420+O420)</f>
        <v>0</v>
      </c>
      <c r="J420" s="103" t="str">
        <f>"(50)"</f>
        <v>(50)</v>
      </c>
      <c r="K420" s="97">
        <f>K415</f>
        <v>0</v>
      </c>
      <c r="L420" s="98" t="str">
        <f>"(50)"</f>
        <v>(50)</v>
      </c>
      <c r="M420" s="102">
        <f>M415</f>
        <v>0</v>
      </c>
      <c r="N420" s="103" t="str">
        <f>"(50)"</f>
        <v>(50)</v>
      </c>
      <c r="O420" s="102">
        <f>O415</f>
        <v>0</v>
      </c>
      <c r="P420" s="87" t="str">
        <f>"(50)"</f>
        <v>(50)</v>
      </c>
    </row>
    <row r="421" spans="2:16" ht="18" thickBot="1" x14ac:dyDescent="0.3">
      <c r="B421" s="160"/>
      <c r="C421" s="161"/>
      <c r="D421" s="161"/>
      <c r="E421" s="161"/>
      <c r="F421" s="161"/>
      <c r="G421" s="161"/>
      <c r="H421" s="193"/>
      <c r="I421" s="130">
        <f>SUM(K421+M421+O421)</f>
        <v>0</v>
      </c>
      <c r="J421" s="131" t="str">
        <f>"(55)"</f>
        <v>(55)</v>
      </c>
      <c r="K421" s="93">
        <f>SUM(K416*1.2)</f>
        <v>0</v>
      </c>
      <c r="L421" s="94" t="str">
        <f>"(55)"</f>
        <v>(55)</v>
      </c>
      <c r="M421" s="130">
        <f>SUM(M416*1.22)</f>
        <v>0</v>
      </c>
      <c r="N421" s="131" t="str">
        <f>"(55)"</f>
        <v>(55)</v>
      </c>
      <c r="O421" s="130">
        <f>SUM(O416*1.22)</f>
        <v>0</v>
      </c>
      <c r="P421" s="96" t="str">
        <f>"(55)"</f>
        <v>(55)</v>
      </c>
    </row>
    <row r="422" spans="2:16" ht="17.25" x14ac:dyDescent="0.25">
      <c r="B422" s="187" t="str">
        <f>'kuni 2025 detsember tegevuskava'!A78&amp;"/"&amp;'kuni 2025 detsember tegevuskava'!C78</f>
        <v>/</v>
      </c>
      <c r="C422" s="156">
        <f>'kuni 2025 detsember tegevuskava'!I78</f>
        <v>0</v>
      </c>
      <c r="D422" s="156">
        <f>'kuni 2025 detsember tegevuskava'!J78</f>
        <v>0</v>
      </c>
      <c r="E422" s="156">
        <f>'kuni 2025 detsember tegevuskava'!K78</f>
        <v>0</v>
      </c>
      <c r="F422" s="156" t="str">
        <f>'kuni 2025 detsember tegevuskava'!O78&amp;"/"</f>
        <v>/</v>
      </c>
      <c r="G422" s="156" t="e" cm="1">
        <f t="array" ref="G422">_xlfn.IFS('kuni 2025 detsember tegevuskava'!G78='kuni 2025 detsember tegevuskava'!$G$97,1,'kuni 2025 detsember tegevuskava'!G78='kuni 2025 detsember tegevuskava'!$G$98,2,'kuni 2025 detsember tegevuskava'!G78='kuni 2025 detsember tegevuskava'!$G$99,3,'kuni 2025 detsember tegevuskava'!G78='kuni 2025 detsember tegevuskava'!$G$100,4)</f>
        <v>#N/A</v>
      </c>
      <c r="H422" s="194" t="e" cm="1">
        <f t="array" ref="H422">_xlfn.IFS(OR('kuni 2025 detsember tegevuskava'!O78='kuni 2025 detsember tegevuskava'!$O$97,'kuni 2025 detsember tegevuskava'!O78='kuni 2025 detsember tegevuskava'!$O$99,'kuni 2025 detsember tegevuskava'!O78='kuni 2025 detsember tegevuskava'!$O$100,'kuni 2025 detsember tegevuskava'!O78='kuni 2025 detsember tegevuskava'!$O$101),1,'kuni 2025 detsember tegevuskava'!O78='kuni 2025 detsember tegevuskava'!$O$102,2,'kuni 2025 detsember tegevuskava'!O78='kuni 2025 detsember tegevuskava'!$O$103,2,'kuni 2025 detsember tegevuskava'!O78='kuni 2025 detsember tegevuskava'!$O$98,3)</f>
        <v>#N/A</v>
      </c>
      <c r="I422" s="132">
        <f>SUM(I423:I425)</f>
        <v>0</v>
      </c>
      <c r="J422" s="133"/>
      <c r="K422" s="81">
        <f>SUM(K423:K425)</f>
        <v>0</v>
      </c>
      <c r="L422" s="83"/>
      <c r="M422" s="132">
        <f>SUM(M423:M425)</f>
        <v>0</v>
      </c>
      <c r="N422" s="133"/>
      <c r="O422" s="81">
        <f>SUM(O423:O425)</f>
        <v>0</v>
      </c>
      <c r="P422" s="85"/>
    </row>
    <row r="423" spans="2:16" ht="17.25" x14ac:dyDescent="0.25">
      <c r="B423" s="145"/>
      <c r="C423" s="8"/>
      <c r="D423" s="8"/>
      <c r="E423" s="8"/>
      <c r="F423" s="8"/>
      <c r="G423" s="8"/>
      <c r="H423" s="192"/>
      <c r="I423" s="102">
        <f>SUM(K423+M423+O423)</f>
        <v>0</v>
      </c>
      <c r="J423" s="103" t="str">
        <f>"(15)"</f>
        <v>(15)</v>
      </c>
      <c r="K423" s="97">
        <f>'kuni 2025 detsember tegevuskava'!W78</f>
        <v>0</v>
      </c>
      <c r="L423" s="98" t="str">
        <f>"(15)"</f>
        <v>(15)</v>
      </c>
      <c r="M423" s="102">
        <f>'kuni 2025 detsember tegevuskava'!Z78</f>
        <v>0</v>
      </c>
      <c r="N423" s="103" t="str">
        <f>"(15)"</f>
        <v>(15)</v>
      </c>
      <c r="O423" s="97">
        <f>'kuni 2025 detsember tegevuskava'!AC78</f>
        <v>0</v>
      </c>
      <c r="P423" s="87" t="str">
        <f>"(15)"</f>
        <v>(15)</v>
      </c>
    </row>
    <row r="424" spans="2:16" ht="17.25" x14ac:dyDescent="0.25">
      <c r="B424" s="145"/>
      <c r="C424" s="8"/>
      <c r="D424" s="8"/>
      <c r="E424" s="8"/>
      <c r="F424" s="8"/>
      <c r="G424" s="8"/>
      <c r="H424" s="192"/>
      <c r="I424" s="102">
        <f>SUM(K424+M424+O424)</f>
        <v>0</v>
      </c>
      <c r="J424" s="103" t="str">
        <f>"(50)"</f>
        <v>(50)</v>
      </c>
      <c r="K424" s="97">
        <f>'kuni 2025 detsember tegevuskava'!X78</f>
        <v>0</v>
      </c>
      <c r="L424" s="98" t="str">
        <f>"(50)"</f>
        <v>(50)</v>
      </c>
      <c r="M424" s="102">
        <f>'kuni 2025 detsember tegevuskava'!AA78</f>
        <v>0</v>
      </c>
      <c r="N424" s="103" t="str">
        <f>"(50)"</f>
        <v>(50)</v>
      </c>
      <c r="O424" s="97">
        <f>'kuni 2025 detsember tegevuskava'!AD78</f>
        <v>0</v>
      </c>
      <c r="P424" s="87" t="str">
        <f>"(50)"</f>
        <v>(50)</v>
      </c>
    </row>
    <row r="425" spans="2:16" ht="17.25" x14ac:dyDescent="0.25">
      <c r="B425" s="145"/>
      <c r="C425" s="8"/>
      <c r="D425" s="8"/>
      <c r="E425" s="8"/>
      <c r="F425" s="8"/>
      <c r="G425" s="8"/>
      <c r="H425" s="192"/>
      <c r="I425" s="104">
        <f>SUM(K425+M425+O425)</f>
        <v>0</v>
      </c>
      <c r="J425" s="105" t="str">
        <f>"(55)"</f>
        <v>(55)</v>
      </c>
      <c r="K425" s="99">
        <f>'kuni 2025 detsember tegevuskava'!Y78</f>
        <v>0</v>
      </c>
      <c r="L425" s="88" t="str">
        <f>"(55)"</f>
        <v>(55)</v>
      </c>
      <c r="M425" s="104">
        <f>'kuni 2025 detsember tegevuskava'!AB78</f>
        <v>0</v>
      </c>
      <c r="N425" s="105" t="str">
        <f>"(55)"</f>
        <v>(55)</v>
      </c>
      <c r="O425" s="99">
        <f>'kuni 2025 detsember tegevuskava'!AE78</f>
        <v>0</v>
      </c>
      <c r="P425" s="90" t="str">
        <f>"(55)"</f>
        <v>(55)</v>
      </c>
    </row>
    <row r="426" spans="2:16" ht="17.25" x14ac:dyDescent="0.25">
      <c r="B426" s="145"/>
      <c r="C426" s="8"/>
      <c r="D426" s="8"/>
      <c r="E426" s="8"/>
      <c r="F426" s="8"/>
      <c r="G426" s="8"/>
      <c r="H426" s="192"/>
      <c r="I426" s="151" t="s">
        <v>298</v>
      </c>
      <c r="J426" s="8"/>
      <c r="K426" s="8"/>
      <c r="L426" s="8"/>
      <c r="M426" s="8"/>
      <c r="N426" s="8"/>
      <c r="O426" s="8"/>
      <c r="P426" s="159"/>
    </row>
    <row r="427" spans="2:16" ht="17.25" x14ac:dyDescent="0.25">
      <c r="B427" s="145"/>
      <c r="C427" s="8"/>
      <c r="D427" s="8"/>
      <c r="E427" s="8"/>
      <c r="F427" s="8"/>
      <c r="G427" s="8"/>
      <c r="H427" s="192"/>
      <c r="I427" s="100">
        <f>SUM(I428:I430)</f>
        <v>0</v>
      </c>
      <c r="J427" s="101"/>
      <c r="K427" s="91">
        <f>SUM(K428:K430)</f>
        <v>0</v>
      </c>
      <c r="L427" s="92"/>
      <c r="M427" s="100">
        <f>SUM(M428:M430)</f>
        <v>0</v>
      </c>
      <c r="N427" s="106"/>
      <c r="O427" s="100">
        <f>SUM(O428:O430)</f>
        <v>0</v>
      </c>
      <c r="P427" s="134"/>
    </row>
    <row r="428" spans="2:16" ht="17.25" x14ac:dyDescent="0.25">
      <c r="B428" s="145"/>
      <c r="C428" s="8"/>
      <c r="D428" s="8"/>
      <c r="E428" s="8"/>
      <c r="F428" s="8"/>
      <c r="G428" s="8"/>
      <c r="H428" s="192"/>
      <c r="I428" s="102">
        <f>SUM(K428+M428+O428)</f>
        <v>0</v>
      </c>
      <c r="J428" s="103" t="str">
        <f>"(15)"</f>
        <v>(15)</v>
      </c>
      <c r="K428" s="97">
        <f>SUM(K423*1.2)</f>
        <v>0</v>
      </c>
      <c r="L428" s="98" t="str">
        <f>"(15)"</f>
        <v>(15)</v>
      </c>
      <c r="M428" s="102">
        <f>SUM(M423*1.22)</f>
        <v>0</v>
      </c>
      <c r="N428" s="103" t="str">
        <f>"(15)"</f>
        <v>(15)</v>
      </c>
      <c r="O428" s="102">
        <f>SUM(O423*1.22)</f>
        <v>0</v>
      </c>
      <c r="P428" s="87" t="str">
        <f>"(15)"</f>
        <v>(15)</v>
      </c>
    </row>
    <row r="429" spans="2:16" ht="17.25" x14ac:dyDescent="0.25">
      <c r="B429" s="145"/>
      <c r="C429" s="8"/>
      <c r="D429" s="8"/>
      <c r="E429" s="8"/>
      <c r="F429" s="8"/>
      <c r="G429" s="8"/>
      <c r="H429" s="192"/>
      <c r="I429" s="102">
        <f>SUM(K429+M429+O429)</f>
        <v>0</v>
      </c>
      <c r="J429" s="103" t="str">
        <f>"(50)"</f>
        <v>(50)</v>
      </c>
      <c r="K429" s="97">
        <f>K424</f>
        <v>0</v>
      </c>
      <c r="L429" s="98" t="str">
        <f>"(50)"</f>
        <v>(50)</v>
      </c>
      <c r="M429" s="102">
        <f>M424</f>
        <v>0</v>
      </c>
      <c r="N429" s="103" t="str">
        <f>"(50)"</f>
        <v>(50)</v>
      </c>
      <c r="O429" s="102">
        <f>O424</f>
        <v>0</v>
      </c>
      <c r="P429" s="87" t="str">
        <f>"(50)"</f>
        <v>(50)</v>
      </c>
    </row>
    <row r="430" spans="2:16" ht="18" thickBot="1" x14ac:dyDescent="0.3">
      <c r="B430" s="160"/>
      <c r="C430" s="161"/>
      <c r="D430" s="161"/>
      <c r="E430" s="161"/>
      <c r="F430" s="161"/>
      <c r="G430" s="161"/>
      <c r="H430" s="193"/>
      <c r="I430" s="130">
        <f>SUM(K430+M430+O430)</f>
        <v>0</v>
      </c>
      <c r="J430" s="131" t="str">
        <f>"(55)"</f>
        <v>(55)</v>
      </c>
      <c r="K430" s="93">
        <f>SUM(K425*1.2)</f>
        <v>0</v>
      </c>
      <c r="L430" s="94" t="str">
        <f>"(55)"</f>
        <v>(55)</v>
      </c>
      <c r="M430" s="130">
        <f>SUM(M425*1.22)</f>
        <v>0</v>
      </c>
      <c r="N430" s="131" t="str">
        <f>"(55)"</f>
        <v>(55)</v>
      </c>
      <c r="O430" s="130">
        <f>SUM(O425*1.22)</f>
        <v>0</v>
      </c>
      <c r="P430" s="96" t="str">
        <f>"(55)"</f>
        <v>(55)</v>
      </c>
    </row>
    <row r="431" spans="2:16" ht="17.25" x14ac:dyDescent="0.25">
      <c r="B431" s="187" t="str">
        <f>'kuni 2025 detsember tegevuskava'!A79&amp;"/"&amp;'kuni 2025 detsember tegevuskava'!C79</f>
        <v>Regionaal- ja Põllumajandusministeerium/UUS</v>
      </c>
      <c r="C431" s="156" t="str">
        <f>'kuni 2025 detsember tegevuskava'!I79</f>
        <v>Turukorraldusmeetmete (sekkumiskokkuost, eraladustamine, eksporditoetused) menetlemiseks ja litsentside väljastamiseks kasutatakse infosüstseemi hooldamine</v>
      </c>
      <c r="D431" s="156" t="str">
        <f>'kuni 2025 detsember tegevuskava'!J79</f>
        <v>Turukorraldusmeetmete menetlemise ja litsentside väljastamise infostseemi hoolduskulud</v>
      </c>
      <c r="E431" s="156" t="str">
        <f>'kuni 2025 detsember tegevuskava'!K79</f>
        <v>Süsteem on hooldatud, teenus on pakutud.</v>
      </c>
      <c r="F431" s="156" t="str">
        <f>'kuni 2025 detsember tegevuskava'!O79&amp;"/"</f>
        <v>Baaseelarve/</v>
      </c>
      <c r="G431" s="156" cm="1">
        <f t="array" ref="G431">_xlfn.IFS('kuni 2025 detsember tegevuskava'!G79='kuni 2025 detsember tegevuskava'!$G$97,1,'kuni 2025 detsember tegevuskava'!G79='kuni 2025 detsember tegevuskava'!$G$98,2,'kuni 2025 detsember tegevuskava'!G79='kuni 2025 detsember tegevuskava'!$G$99,3,'kuni 2025 detsember tegevuskava'!G79='kuni 2025 detsember tegevuskava'!$G$100,4)</f>
        <v>1</v>
      </c>
      <c r="H431" s="194" cm="1">
        <f t="array" ref="H431">_xlfn.IFS(OR('kuni 2025 detsember tegevuskava'!O79='kuni 2025 detsember tegevuskava'!$O$97,'kuni 2025 detsember tegevuskava'!O79='kuni 2025 detsember tegevuskava'!$O$99,'kuni 2025 detsember tegevuskava'!O79='kuni 2025 detsember tegevuskava'!$O$100,'kuni 2025 detsember tegevuskava'!O79='kuni 2025 detsember tegevuskava'!$O$101),1,'kuni 2025 detsember tegevuskava'!O79='kuni 2025 detsember tegevuskava'!$O$102,2,'kuni 2025 detsember tegevuskava'!O79='kuni 2025 detsember tegevuskava'!$O$103,2,'kuni 2025 detsember tegevuskava'!O79='kuni 2025 detsember tegevuskava'!$O$98,3)</f>
        <v>1</v>
      </c>
      <c r="I431" s="132">
        <f>SUM(I432:I434)</f>
        <v>0</v>
      </c>
      <c r="J431" s="133"/>
      <c r="K431" s="81">
        <f>SUM(K432:K434)</f>
        <v>0</v>
      </c>
      <c r="L431" s="83"/>
      <c r="M431" s="132">
        <f>SUM(M432:M434)</f>
        <v>0</v>
      </c>
      <c r="N431" s="133"/>
      <c r="O431" s="81">
        <f>SUM(O432:O434)</f>
        <v>0</v>
      </c>
      <c r="P431" s="85"/>
    </row>
    <row r="432" spans="2:16" ht="17.25" x14ac:dyDescent="0.25">
      <c r="B432" s="145"/>
      <c r="C432" s="8"/>
      <c r="D432" s="8"/>
      <c r="E432" s="8"/>
      <c r="F432" s="8"/>
      <c r="G432" s="8"/>
      <c r="H432" s="192"/>
      <c r="I432" s="102">
        <f>SUM(K432+M432+O432)</f>
        <v>0</v>
      </c>
      <c r="J432" s="103" t="str">
        <f>"(15)"</f>
        <v>(15)</v>
      </c>
      <c r="K432" s="97">
        <f>'kuni 2025 detsember tegevuskava'!W79</f>
        <v>0</v>
      </c>
      <c r="L432" s="98" t="str">
        <f>"(15)"</f>
        <v>(15)</v>
      </c>
      <c r="M432" s="102">
        <f>'kuni 2025 detsember tegevuskava'!Z79</f>
        <v>0</v>
      </c>
      <c r="N432" s="103" t="str">
        <f>"(15)"</f>
        <v>(15)</v>
      </c>
      <c r="O432" s="97">
        <f>'kuni 2025 detsember tegevuskava'!AC79</f>
        <v>0</v>
      </c>
      <c r="P432" s="87" t="str">
        <f>"(15)"</f>
        <v>(15)</v>
      </c>
    </row>
    <row r="433" spans="2:16" ht="17.25" x14ac:dyDescent="0.25">
      <c r="B433" s="145"/>
      <c r="C433" s="8"/>
      <c r="D433" s="8"/>
      <c r="E433" s="8"/>
      <c r="F433" s="8"/>
      <c r="G433" s="8"/>
      <c r="H433" s="192"/>
      <c r="I433" s="102">
        <f>SUM(K433+M433+O433)</f>
        <v>0</v>
      </c>
      <c r="J433" s="103" t="str">
        <f>"(50)"</f>
        <v>(50)</v>
      </c>
      <c r="K433" s="97">
        <f>'kuni 2025 detsember tegevuskava'!X79</f>
        <v>0</v>
      </c>
      <c r="L433" s="98" t="str">
        <f>"(50)"</f>
        <v>(50)</v>
      </c>
      <c r="M433" s="102">
        <f>'kuni 2025 detsember tegevuskava'!AA79</f>
        <v>0</v>
      </c>
      <c r="N433" s="103" t="str">
        <f>"(50)"</f>
        <v>(50)</v>
      </c>
      <c r="O433" s="97">
        <f>'kuni 2025 detsember tegevuskava'!AD79</f>
        <v>0</v>
      </c>
      <c r="P433" s="87" t="str">
        <f>"(50)"</f>
        <v>(50)</v>
      </c>
    </row>
    <row r="434" spans="2:16" ht="17.25" x14ac:dyDescent="0.25">
      <c r="B434" s="145"/>
      <c r="C434" s="8"/>
      <c r="D434" s="8"/>
      <c r="E434" s="8"/>
      <c r="F434" s="8"/>
      <c r="G434" s="8"/>
      <c r="H434" s="192"/>
      <c r="I434" s="104">
        <f>SUM(K434+M434+O434)</f>
        <v>0</v>
      </c>
      <c r="J434" s="105" t="str">
        <f>"(55)"</f>
        <v>(55)</v>
      </c>
      <c r="K434" s="99">
        <f>'kuni 2025 detsember tegevuskava'!Y79</f>
        <v>0</v>
      </c>
      <c r="L434" s="88" t="str">
        <f>"(55)"</f>
        <v>(55)</v>
      </c>
      <c r="M434" s="104">
        <f>'kuni 2025 detsember tegevuskava'!AB79</f>
        <v>0</v>
      </c>
      <c r="N434" s="105" t="str">
        <f>"(55)"</f>
        <v>(55)</v>
      </c>
      <c r="O434" s="99">
        <f>'kuni 2025 detsember tegevuskava'!AE79</f>
        <v>0</v>
      </c>
      <c r="P434" s="90" t="str">
        <f>"(55)"</f>
        <v>(55)</v>
      </c>
    </row>
    <row r="435" spans="2:16" ht="17.25" x14ac:dyDescent="0.25">
      <c r="B435" s="145"/>
      <c r="C435" s="8"/>
      <c r="D435" s="8"/>
      <c r="E435" s="8"/>
      <c r="F435" s="8"/>
      <c r="G435" s="8"/>
      <c r="H435" s="192"/>
      <c r="I435" s="151" t="s">
        <v>298</v>
      </c>
      <c r="J435" s="8"/>
      <c r="K435" s="8"/>
      <c r="L435" s="8"/>
      <c r="M435" s="8"/>
      <c r="N435" s="8"/>
      <c r="O435" s="8"/>
      <c r="P435" s="159"/>
    </row>
    <row r="436" spans="2:16" ht="17.25" x14ac:dyDescent="0.25">
      <c r="B436" s="145"/>
      <c r="C436" s="8"/>
      <c r="D436" s="8"/>
      <c r="E436" s="8"/>
      <c r="F436" s="8"/>
      <c r="G436" s="8"/>
      <c r="H436" s="192"/>
      <c r="I436" s="100">
        <f>SUM(I437:I439)</f>
        <v>0</v>
      </c>
      <c r="J436" s="101"/>
      <c r="K436" s="91">
        <f>SUM(K437:K439)</f>
        <v>0</v>
      </c>
      <c r="L436" s="92"/>
      <c r="M436" s="100">
        <f>SUM(M437:M439)</f>
        <v>0</v>
      </c>
      <c r="N436" s="106"/>
      <c r="O436" s="100">
        <f>SUM(O437:O439)</f>
        <v>0</v>
      </c>
      <c r="P436" s="134"/>
    </row>
    <row r="437" spans="2:16" ht="17.25" x14ac:dyDescent="0.25">
      <c r="B437" s="145"/>
      <c r="C437" s="8"/>
      <c r="D437" s="8"/>
      <c r="E437" s="8"/>
      <c r="F437" s="8"/>
      <c r="G437" s="8"/>
      <c r="H437" s="192"/>
      <c r="I437" s="102">
        <f>SUM(K437+M437+O437)</f>
        <v>0</v>
      </c>
      <c r="J437" s="103" t="str">
        <f>"(15)"</f>
        <v>(15)</v>
      </c>
      <c r="K437" s="97">
        <f>SUM(K432*1.2)</f>
        <v>0</v>
      </c>
      <c r="L437" s="98" t="str">
        <f>"(15)"</f>
        <v>(15)</v>
      </c>
      <c r="M437" s="102">
        <f>SUM(M432*1.22)</f>
        <v>0</v>
      </c>
      <c r="N437" s="103" t="str">
        <f>"(15)"</f>
        <v>(15)</v>
      </c>
      <c r="O437" s="102">
        <f>SUM(O432*1.22)</f>
        <v>0</v>
      </c>
      <c r="P437" s="87" t="str">
        <f>"(15)"</f>
        <v>(15)</v>
      </c>
    </row>
    <row r="438" spans="2:16" ht="17.25" x14ac:dyDescent="0.25">
      <c r="B438" s="145"/>
      <c r="C438" s="8"/>
      <c r="D438" s="8"/>
      <c r="E438" s="8"/>
      <c r="F438" s="8"/>
      <c r="G438" s="8"/>
      <c r="H438" s="192"/>
      <c r="I438" s="102">
        <f>SUM(K438+M438+O438)</f>
        <v>0</v>
      </c>
      <c r="J438" s="103" t="str">
        <f>"(50)"</f>
        <v>(50)</v>
      </c>
      <c r="K438" s="97">
        <f>K433</f>
        <v>0</v>
      </c>
      <c r="L438" s="98" t="str">
        <f>"(50)"</f>
        <v>(50)</v>
      </c>
      <c r="M438" s="102">
        <f>M433</f>
        <v>0</v>
      </c>
      <c r="N438" s="103" t="str">
        <f>"(50)"</f>
        <v>(50)</v>
      </c>
      <c r="O438" s="102">
        <f>O433</f>
        <v>0</v>
      </c>
      <c r="P438" s="87" t="str">
        <f>"(50)"</f>
        <v>(50)</v>
      </c>
    </row>
    <row r="439" spans="2:16" ht="18" thickBot="1" x14ac:dyDescent="0.3">
      <c r="B439" s="160"/>
      <c r="C439" s="161"/>
      <c r="D439" s="161"/>
      <c r="E439" s="161"/>
      <c r="F439" s="161"/>
      <c r="G439" s="161"/>
      <c r="H439" s="193"/>
      <c r="I439" s="130">
        <f>SUM(K439+M439+O439)</f>
        <v>0</v>
      </c>
      <c r="J439" s="131" t="str">
        <f>"(55)"</f>
        <v>(55)</v>
      </c>
      <c r="K439" s="93">
        <f>SUM(K434*1.2)</f>
        <v>0</v>
      </c>
      <c r="L439" s="94" t="str">
        <f>"(55)"</f>
        <v>(55)</v>
      </c>
      <c r="M439" s="130">
        <f>SUM(M434*1.22)</f>
        <v>0</v>
      </c>
      <c r="N439" s="131" t="str">
        <f>"(55)"</f>
        <v>(55)</v>
      </c>
      <c r="O439" s="130">
        <f>SUM(O434*1.22)</f>
        <v>0</v>
      </c>
      <c r="P439" s="96" t="str">
        <f>"(55)"</f>
        <v>(55)</v>
      </c>
    </row>
    <row r="440" spans="2:16" ht="17.25" x14ac:dyDescent="0.25">
      <c r="B440" s="187" t="str">
        <f>'kuni 2025 detsember tegevuskava'!A80&amp;"/"&amp;'kuni 2025 detsember tegevuskava'!C80</f>
        <v>Regionaal- ja Põllumajandusministeerium/</v>
      </c>
      <c r="C440" s="156" t="str">
        <f>'kuni 2025 detsember tegevuskava'!I80</f>
        <v>Alates 2027.aastas on riiklik kohutus pidada lemmikloomade registrit. Antud kohutust tuleneb Euroopa Parlamendi ja Nõukogu määruse (EL), milles käsitletakse koerte ja kasside heaolu ja nende jälgitavust
Artikkel 17 lg 2 ja artikli 19 kohaselt, mis sätestab, et  pädevad asutused loovad alates [kolm aastat pärast käesoleva määruse jõustumise kuupäeva] mikrokiibitud koerte ja kasside registreerimiseks andmebaasi ja haldavad seda.</v>
      </c>
      <c r="D440" s="156" t="str">
        <f>'kuni 2025 detsember tegevuskava'!J80</f>
        <v>Lemmikloomade registreerimisteenuse realiseerimine</v>
      </c>
      <c r="E440" s="156" t="str">
        <f>'kuni 2025 detsember tegevuskava'!K80</f>
        <v>Parandada olukorda lemmikloomade jälgitavusega, millega tagatakse parem olukord loomatervise ja loomade heaolu valdkondades läbi alljärgneva:
1. tehakse kohustuslikuks lemmikloomade (kass, koer ja valgetuhkur) identifitseerimine kiibiga;
2. identifitseerimisandmete kandmine riiklikku andmekogusse.
3. loodud on registriteenused ja kasutusele võetud 01.01.2027.</v>
      </c>
      <c r="F440" s="156" t="str">
        <f>'kuni 2025 detsember tegevuskava'!O80&amp;"/"</f>
        <v>SF 21-27 (taotletav raha)/</v>
      </c>
      <c r="G440" s="156" cm="1">
        <f t="array" ref="G440">_xlfn.IFS('kuni 2025 detsember tegevuskava'!G80='kuni 2025 detsember tegevuskava'!$G$97,1,'kuni 2025 detsember tegevuskava'!G80='kuni 2025 detsember tegevuskava'!$G$98,2,'kuni 2025 detsember tegevuskava'!G80='kuni 2025 detsember tegevuskava'!$G$99,3,'kuni 2025 detsember tegevuskava'!G80='kuni 2025 detsember tegevuskava'!$G$100,4)</f>
        <v>1</v>
      </c>
      <c r="H440" s="194" cm="1">
        <f t="array" ref="H440">_xlfn.IFS(OR('kuni 2025 detsember tegevuskava'!O80='kuni 2025 detsember tegevuskava'!$O$97,'kuni 2025 detsember tegevuskava'!O80='kuni 2025 detsember tegevuskava'!$O$99,'kuni 2025 detsember tegevuskava'!O80='kuni 2025 detsember tegevuskava'!$O$100,'kuni 2025 detsember tegevuskava'!O80='kuni 2025 detsember tegevuskava'!$O$101),1,'kuni 2025 detsember tegevuskava'!O80='kuni 2025 detsember tegevuskava'!$O$102,2,'kuni 2025 detsember tegevuskava'!O80='kuni 2025 detsember tegevuskava'!$O$103,2,'kuni 2025 detsember tegevuskava'!O80='kuni 2025 detsember tegevuskava'!$O$98,3)</f>
        <v>2</v>
      </c>
      <c r="I440" s="132">
        <f>SUM(I441:I443)</f>
        <v>0</v>
      </c>
      <c r="J440" s="133"/>
      <c r="K440" s="81">
        <f>SUM(K441:K443)</f>
        <v>0</v>
      </c>
      <c r="L440" s="83"/>
      <c r="M440" s="132">
        <f>SUM(M441:M443)</f>
        <v>0</v>
      </c>
      <c r="N440" s="133"/>
      <c r="O440" s="81">
        <f>SUM(O441:O443)</f>
        <v>0</v>
      </c>
      <c r="P440" s="85"/>
    </row>
    <row r="441" spans="2:16" ht="17.25" x14ac:dyDescent="0.25">
      <c r="B441" s="145"/>
      <c r="C441" s="8"/>
      <c r="D441" s="8"/>
      <c r="E441" s="8"/>
      <c r="F441" s="8"/>
      <c r="G441" s="8"/>
      <c r="H441" s="192"/>
      <c r="I441" s="102">
        <f>SUM(K441+M441+O441)</f>
        <v>0</v>
      </c>
      <c r="J441" s="103" t="str">
        <f>"(15)"</f>
        <v>(15)</v>
      </c>
      <c r="K441" s="97">
        <f>'kuni 2025 detsember tegevuskava'!W80</f>
        <v>0</v>
      </c>
      <c r="L441" s="98" t="str">
        <f>"(15)"</f>
        <v>(15)</v>
      </c>
      <c r="M441" s="102">
        <f>'kuni 2025 detsember tegevuskava'!Z80</f>
        <v>0</v>
      </c>
      <c r="N441" s="103" t="str">
        <f>"(15)"</f>
        <v>(15)</v>
      </c>
      <c r="O441" s="97">
        <f>'kuni 2025 detsember tegevuskava'!AC80</f>
        <v>0</v>
      </c>
      <c r="P441" s="87" t="str">
        <f>"(15)"</f>
        <v>(15)</v>
      </c>
    </row>
    <row r="442" spans="2:16" ht="17.25" x14ac:dyDescent="0.25">
      <c r="B442" s="145"/>
      <c r="C442" s="8"/>
      <c r="D442" s="8"/>
      <c r="E442" s="8"/>
      <c r="F442" s="8"/>
      <c r="G442" s="8"/>
      <c r="H442" s="192"/>
      <c r="I442" s="102">
        <f>SUM(K442+M442+O442)</f>
        <v>0</v>
      </c>
      <c r="J442" s="103" t="str">
        <f>"(50)"</f>
        <v>(50)</v>
      </c>
      <c r="K442" s="97">
        <f>'kuni 2025 detsember tegevuskava'!X80</f>
        <v>0</v>
      </c>
      <c r="L442" s="98" t="str">
        <f>"(50)"</f>
        <v>(50)</v>
      </c>
      <c r="M442" s="102">
        <f>'kuni 2025 detsember tegevuskava'!AA80</f>
        <v>0</v>
      </c>
      <c r="N442" s="103" t="str">
        <f>"(50)"</f>
        <v>(50)</v>
      </c>
      <c r="O442" s="97">
        <f>'kuni 2025 detsember tegevuskava'!AD80</f>
        <v>0</v>
      </c>
      <c r="P442" s="87" t="str">
        <f>"(50)"</f>
        <v>(50)</v>
      </c>
    </row>
    <row r="443" spans="2:16" ht="17.25" x14ac:dyDescent="0.25">
      <c r="B443" s="145"/>
      <c r="C443" s="8"/>
      <c r="D443" s="8"/>
      <c r="E443" s="8"/>
      <c r="F443" s="8"/>
      <c r="G443" s="8"/>
      <c r="H443" s="192"/>
      <c r="I443" s="104">
        <f>SUM(K443+M443+O443)</f>
        <v>0</v>
      </c>
      <c r="J443" s="105" t="str">
        <f>"(55)"</f>
        <v>(55)</v>
      </c>
      <c r="K443" s="99">
        <f>'kuni 2025 detsember tegevuskava'!Y80</f>
        <v>0</v>
      </c>
      <c r="L443" s="88" t="str">
        <f>"(55)"</f>
        <v>(55)</v>
      </c>
      <c r="M443" s="104">
        <f>'kuni 2025 detsember tegevuskava'!AB80</f>
        <v>0</v>
      </c>
      <c r="N443" s="105" t="str">
        <f>"(55)"</f>
        <v>(55)</v>
      </c>
      <c r="O443" s="99">
        <f>'kuni 2025 detsember tegevuskava'!AE80</f>
        <v>0</v>
      </c>
      <c r="P443" s="90" t="str">
        <f>"(55)"</f>
        <v>(55)</v>
      </c>
    </row>
    <row r="444" spans="2:16" ht="17.25" x14ac:dyDescent="0.25">
      <c r="B444" s="145"/>
      <c r="C444" s="8"/>
      <c r="D444" s="8"/>
      <c r="E444" s="8"/>
      <c r="F444" s="8"/>
      <c r="G444" s="8"/>
      <c r="H444" s="192"/>
      <c r="I444" s="151" t="s">
        <v>298</v>
      </c>
      <c r="J444" s="8"/>
      <c r="K444" s="8"/>
      <c r="L444" s="8"/>
      <c r="M444" s="8"/>
      <c r="N444" s="8"/>
      <c r="O444" s="8"/>
      <c r="P444" s="159"/>
    </row>
    <row r="445" spans="2:16" ht="17.25" x14ac:dyDescent="0.25">
      <c r="B445" s="145"/>
      <c r="C445" s="8"/>
      <c r="D445" s="8"/>
      <c r="E445" s="8"/>
      <c r="F445" s="8"/>
      <c r="G445" s="8"/>
      <c r="H445" s="192"/>
      <c r="I445" s="100">
        <f>SUM(I446:I448)</f>
        <v>0</v>
      </c>
      <c r="J445" s="101"/>
      <c r="K445" s="91">
        <f>SUM(K446:K448)</f>
        <v>0</v>
      </c>
      <c r="L445" s="92"/>
      <c r="M445" s="100">
        <f>SUM(M446:M448)</f>
        <v>0</v>
      </c>
      <c r="N445" s="106"/>
      <c r="O445" s="100">
        <f>SUM(O446:O448)</f>
        <v>0</v>
      </c>
      <c r="P445" s="134"/>
    </row>
    <row r="446" spans="2:16" ht="17.25" x14ac:dyDescent="0.25">
      <c r="B446" s="145"/>
      <c r="C446" s="8"/>
      <c r="D446" s="8"/>
      <c r="E446" s="8"/>
      <c r="F446" s="8"/>
      <c r="G446" s="8"/>
      <c r="H446" s="192"/>
      <c r="I446" s="102">
        <f>SUM(K446+M446+O446)</f>
        <v>0</v>
      </c>
      <c r="J446" s="103" t="str">
        <f>"(15)"</f>
        <v>(15)</v>
      </c>
      <c r="K446" s="97">
        <f>SUM(K441*1.2)</f>
        <v>0</v>
      </c>
      <c r="L446" s="98" t="str">
        <f>"(15)"</f>
        <v>(15)</v>
      </c>
      <c r="M446" s="102">
        <f>SUM(M441*1.22)</f>
        <v>0</v>
      </c>
      <c r="N446" s="103" t="str">
        <f>"(15)"</f>
        <v>(15)</v>
      </c>
      <c r="O446" s="102">
        <f>SUM(O441*1.22)</f>
        <v>0</v>
      </c>
      <c r="P446" s="87" t="str">
        <f>"(15)"</f>
        <v>(15)</v>
      </c>
    </row>
    <row r="447" spans="2:16" ht="17.25" x14ac:dyDescent="0.25">
      <c r="B447" s="145"/>
      <c r="C447" s="8"/>
      <c r="D447" s="8"/>
      <c r="E447" s="8"/>
      <c r="F447" s="8"/>
      <c r="G447" s="8"/>
      <c r="H447" s="192"/>
      <c r="I447" s="102">
        <f>SUM(K447+M447+O447)</f>
        <v>0</v>
      </c>
      <c r="J447" s="103" t="str">
        <f>"(50)"</f>
        <v>(50)</v>
      </c>
      <c r="K447" s="97">
        <f>K442</f>
        <v>0</v>
      </c>
      <c r="L447" s="98" t="str">
        <f>"(50)"</f>
        <v>(50)</v>
      </c>
      <c r="M447" s="102">
        <f>M442</f>
        <v>0</v>
      </c>
      <c r="N447" s="103" t="str">
        <f>"(50)"</f>
        <v>(50)</v>
      </c>
      <c r="O447" s="102">
        <f>O442</f>
        <v>0</v>
      </c>
      <c r="P447" s="87" t="str">
        <f>"(50)"</f>
        <v>(50)</v>
      </c>
    </row>
    <row r="448" spans="2:16" ht="18" thickBot="1" x14ac:dyDescent="0.3">
      <c r="B448" s="160"/>
      <c r="C448" s="161"/>
      <c r="D448" s="161"/>
      <c r="E448" s="161"/>
      <c r="F448" s="161"/>
      <c r="G448" s="161"/>
      <c r="H448" s="193"/>
      <c r="I448" s="130">
        <f>SUM(K448+M448+O448)</f>
        <v>0</v>
      </c>
      <c r="J448" s="131" t="str">
        <f>"(55)"</f>
        <v>(55)</v>
      </c>
      <c r="K448" s="93">
        <f>SUM(K443*1.2)</f>
        <v>0</v>
      </c>
      <c r="L448" s="94" t="str">
        <f>"(55)"</f>
        <v>(55)</v>
      </c>
      <c r="M448" s="130">
        <f>SUM(M443*1.22)</f>
        <v>0</v>
      </c>
      <c r="N448" s="131" t="str">
        <f>"(55)"</f>
        <v>(55)</v>
      </c>
      <c r="O448" s="130">
        <f>SUM(O443*1.22)</f>
        <v>0</v>
      </c>
      <c r="P448" s="96" t="str">
        <f>"(55)"</f>
        <v>(55)</v>
      </c>
    </row>
    <row r="449" spans="2:16" ht="17.25" x14ac:dyDescent="0.25">
      <c r="B449" s="187" t="str">
        <f>'kuni 2025 detsember tegevuskava'!A81&amp;"/"&amp;'kuni 2025 detsember tegevuskava'!C81</f>
        <v>Regionaal- ja Põllumajandusministeerium/UUS</v>
      </c>
      <c r="C449" s="156" t="str">
        <f>'kuni 2025 detsember tegevuskava'!I81</f>
        <v>Alates 2027.aastas on riiklik kohutus pidada lemmikloomade registrit. Antud kohutust tuleneb Euroopa Parlamendi ja Nõukogu määruse (EL), milles käsitletakse koerte ja kasside heaolu ja nende jälgitavust
Artikkel 17 lg 2 ja artikli 19 kohaselt, mis sätestab, et  pädevad asutused loovad alates [kolm aastat pärast käesoleva määruse jõustumise kuupäeva] mikrokiibitud koerte ja kasside registreerimiseks andmebaasi ja haldavad seda.</v>
      </c>
      <c r="D449" s="156" t="str">
        <f>'kuni 2025 detsember tegevuskava'!J81</f>
        <v>Lemmikloomade registreerimisteenuse pakkumine</v>
      </c>
      <c r="E449" s="156" t="str">
        <f>'kuni 2025 detsember tegevuskava'!K81</f>
        <v>Registri teenus on pakutud, süsteem on hooldatud</v>
      </c>
      <c r="F449" s="156" t="str">
        <f>'kuni 2025 detsember tegevuskava'!O81&amp;"/"</f>
        <v>RES IKT (vaja juurde taotleda)/</v>
      </c>
      <c r="G449" s="156" cm="1">
        <f t="array" ref="G449">_xlfn.IFS('kuni 2025 detsember tegevuskava'!G81='kuni 2025 detsember tegevuskava'!$G$97,1,'kuni 2025 detsember tegevuskava'!G81='kuni 2025 detsember tegevuskava'!$G$98,2,'kuni 2025 detsember tegevuskava'!G81='kuni 2025 detsember tegevuskava'!$G$99,3,'kuni 2025 detsember tegevuskava'!G81='kuni 2025 detsember tegevuskava'!$G$100,4)</f>
        <v>1</v>
      </c>
      <c r="H449" s="194" cm="1">
        <f t="array" ref="H449">_xlfn.IFS(OR('kuni 2025 detsember tegevuskava'!O81='kuni 2025 detsember tegevuskava'!$O$97,'kuni 2025 detsember tegevuskava'!O81='kuni 2025 detsember tegevuskava'!$O$99,'kuni 2025 detsember tegevuskava'!O81='kuni 2025 detsember tegevuskava'!$O$100,'kuni 2025 detsember tegevuskava'!O81='kuni 2025 detsember tegevuskava'!$O$101),1,'kuni 2025 detsember tegevuskava'!O81='kuni 2025 detsember tegevuskava'!$O$102,2,'kuni 2025 detsember tegevuskava'!O81='kuni 2025 detsember tegevuskava'!$O$103,2,'kuni 2025 detsember tegevuskava'!O81='kuni 2025 detsember tegevuskava'!$O$98,3)</f>
        <v>1</v>
      </c>
      <c r="I449" s="132">
        <f>SUM(I450:I452)</f>
        <v>57879.199999999997</v>
      </c>
      <c r="J449" s="133"/>
      <c r="K449" s="81">
        <f>SUM(K450:K452)</f>
        <v>0</v>
      </c>
      <c r="L449" s="83"/>
      <c r="M449" s="132">
        <f>SUM(M450:M452)</f>
        <v>0</v>
      </c>
      <c r="N449" s="133"/>
      <c r="O449" s="81">
        <f>SUM(O450:O452)</f>
        <v>57879.199999999997</v>
      </c>
      <c r="P449" s="85"/>
    </row>
    <row r="450" spans="2:16" ht="17.25" x14ac:dyDescent="0.25">
      <c r="B450" s="145"/>
      <c r="C450" s="8"/>
      <c r="D450" s="8"/>
      <c r="E450" s="8"/>
      <c r="F450" s="8"/>
      <c r="G450" s="8"/>
      <c r="H450" s="192"/>
      <c r="I450" s="102">
        <f>SUM(K450+M450+O450)</f>
        <v>0</v>
      </c>
      <c r="J450" s="103" t="str">
        <f>"(15)"</f>
        <v>(15)</v>
      </c>
      <c r="K450" s="97">
        <f>'kuni 2025 detsember tegevuskava'!W81</f>
        <v>0</v>
      </c>
      <c r="L450" s="98" t="str">
        <f>"(15)"</f>
        <v>(15)</v>
      </c>
      <c r="M450" s="102">
        <f>'kuni 2025 detsember tegevuskava'!Z81</f>
        <v>0</v>
      </c>
      <c r="N450" s="103" t="str">
        <f>"(15)"</f>
        <v>(15)</v>
      </c>
      <c r="O450" s="97">
        <f>'kuni 2025 detsember tegevuskava'!AC81</f>
        <v>0</v>
      </c>
      <c r="P450" s="87" t="str">
        <f>"(15)"</f>
        <v>(15)</v>
      </c>
    </row>
    <row r="451" spans="2:16" ht="17.25" x14ac:dyDescent="0.25">
      <c r="B451" s="145"/>
      <c r="C451" s="8"/>
      <c r="D451" s="8"/>
      <c r="E451" s="8"/>
      <c r="F451" s="8"/>
      <c r="G451" s="8"/>
      <c r="H451" s="192"/>
      <c r="I451" s="102">
        <f>SUM(K451+M451+O451)</f>
        <v>51379.199999999997</v>
      </c>
      <c r="J451" s="103" t="str">
        <f>"(50)"</f>
        <v>(50)</v>
      </c>
      <c r="K451" s="97">
        <f>'kuni 2025 detsember tegevuskava'!X81</f>
        <v>0</v>
      </c>
      <c r="L451" s="98" t="str">
        <f>"(50)"</f>
        <v>(50)</v>
      </c>
      <c r="M451" s="102">
        <f>'kuni 2025 detsember tegevuskava'!AA81</f>
        <v>0</v>
      </c>
      <c r="N451" s="103" t="str">
        <f>"(50)"</f>
        <v>(50)</v>
      </c>
      <c r="O451" s="97">
        <f>'kuni 2025 detsember tegevuskava'!AD81</f>
        <v>51379.199999999997</v>
      </c>
      <c r="P451" s="87" t="str">
        <f>"(50)"</f>
        <v>(50)</v>
      </c>
    </row>
    <row r="452" spans="2:16" ht="17.25" x14ac:dyDescent="0.25">
      <c r="B452" s="145"/>
      <c r="C452" s="8"/>
      <c r="D452" s="8"/>
      <c r="E452" s="8"/>
      <c r="F452" s="8"/>
      <c r="G452" s="8"/>
      <c r="H452" s="192"/>
      <c r="I452" s="104">
        <f>SUM(K452+M452+O452)</f>
        <v>6500</v>
      </c>
      <c r="J452" s="105" t="str">
        <f>"(55)"</f>
        <v>(55)</v>
      </c>
      <c r="K452" s="99">
        <f>'kuni 2025 detsember tegevuskava'!Y81</f>
        <v>0</v>
      </c>
      <c r="L452" s="88" t="str">
        <f>"(55)"</f>
        <v>(55)</v>
      </c>
      <c r="M452" s="104">
        <f>'kuni 2025 detsember tegevuskava'!AB81</f>
        <v>0</v>
      </c>
      <c r="N452" s="105" t="str">
        <f>"(55)"</f>
        <v>(55)</v>
      </c>
      <c r="O452" s="99">
        <f>'kuni 2025 detsember tegevuskava'!AE81</f>
        <v>6500</v>
      </c>
      <c r="P452" s="90" t="str">
        <f>"(55)"</f>
        <v>(55)</v>
      </c>
    </row>
    <row r="453" spans="2:16" ht="17.25" x14ac:dyDescent="0.25">
      <c r="B453" s="145"/>
      <c r="C453" s="8"/>
      <c r="D453" s="8"/>
      <c r="E453" s="8"/>
      <c r="F453" s="8"/>
      <c r="G453" s="8"/>
      <c r="H453" s="192"/>
      <c r="I453" s="151" t="s">
        <v>298</v>
      </c>
      <c r="J453" s="8"/>
      <c r="K453" s="8"/>
      <c r="L453" s="8"/>
      <c r="M453" s="8"/>
      <c r="N453" s="8"/>
      <c r="O453" s="8"/>
      <c r="P453" s="159"/>
    </row>
    <row r="454" spans="2:16" ht="17.25" x14ac:dyDescent="0.25">
      <c r="B454" s="145"/>
      <c r="C454" s="8"/>
      <c r="D454" s="8"/>
      <c r="E454" s="8"/>
      <c r="F454" s="8"/>
      <c r="G454" s="8"/>
      <c r="H454" s="192"/>
      <c r="I454" s="100">
        <f>SUM(I455:I457)</f>
        <v>59309.2</v>
      </c>
      <c r="J454" s="101"/>
      <c r="K454" s="91">
        <f>SUM(K455:K457)</f>
        <v>0</v>
      </c>
      <c r="L454" s="92"/>
      <c r="M454" s="100">
        <f>SUM(M455:M457)</f>
        <v>0</v>
      </c>
      <c r="N454" s="106"/>
      <c r="O454" s="100">
        <f>SUM(O455:O457)</f>
        <v>59309.2</v>
      </c>
      <c r="P454" s="134"/>
    </row>
    <row r="455" spans="2:16" ht="17.25" x14ac:dyDescent="0.25">
      <c r="B455" s="145"/>
      <c r="C455" s="8"/>
      <c r="D455" s="8"/>
      <c r="E455" s="8"/>
      <c r="F455" s="8"/>
      <c r="G455" s="8"/>
      <c r="H455" s="192"/>
      <c r="I455" s="102">
        <f>SUM(K455+M455+O455)</f>
        <v>0</v>
      </c>
      <c r="J455" s="103" t="str">
        <f>"(15)"</f>
        <v>(15)</v>
      </c>
      <c r="K455" s="97">
        <f>SUM(K450*1.2)</f>
        <v>0</v>
      </c>
      <c r="L455" s="98" t="str">
        <f>"(15)"</f>
        <v>(15)</v>
      </c>
      <c r="M455" s="102">
        <f>SUM(M450*1.22)</f>
        <v>0</v>
      </c>
      <c r="N455" s="103" t="str">
        <f>"(15)"</f>
        <v>(15)</v>
      </c>
      <c r="O455" s="102">
        <f>SUM(O450*1.22)</f>
        <v>0</v>
      </c>
      <c r="P455" s="87" t="str">
        <f>"(15)"</f>
        <v>(15)</v>
      </c>
    </row>
    <row r="456" spans="2:16" ht="17.25" x14ac:dyDescent="0.25">
      <c r="B456" s="145"/>
      <c r="C456" s="8"/>
      <c r="D456" s="8"/>
      <c r="E456" s="8"/>
      <c r="F456" s="8"/>
      <c r="G456" s="8"/>
      <c r="H456" s="192"/>
      <c r="I456" s="102">
        <f>SUM(K456+M456+O456)</f>
        <v>51379.199999999997</v>
      </c>
      <c r="J456" s="103" t="str">
        <f>"(50)"</f>
        <v>(50)</v>
      </c>
      <c r="K456" s="97">
        <f>K451</f>
        <v>0</v>
      </c>
      <c r="L456" s="98" t="str">
        <f>"(50)"</f>
        <v>(50)</v>
      </c>
      <c r="M456" s="102">
        <f>M451</f>
        <v>0</v>
      </c>
      <c r="N456" s="103" t="str">
        <f>"(50)"</f>
        <v>(50)</v>
      </c>
      <c r="O456" s="102">
        <f>O451</f>
        <v>51379.199999999997</v>
      </c>
      <c r="P456" s="87" t="str">
        <f>"(50)"</f>
        <v>(50)</v>
      </c>
    </row>
    <row r="457" spans="2:16" ht="18" thickBot="1" x14ac:dyDescent="0.3">
      <c r="B457" s="160"/>
      <c r="C457" s="161"/>
      <c r="D457" s="161"/>
      <c r="E457" s="161"/>
      <c r="F457" s="161"/>
      <c r="G457" s="161"/>
      <c r="H457" s="193"/>
      <c r="I457" s="130">
        <f>SUM(K457+M457+O457)</f>
        <v>7930</v>
      </c>
      <c r="J457" s="131" t="str">
        <f>"(55)"</f>
        <v>(55)</v>
      </c>
      <c r="K457" s="93">
        <f>SUM(K452*1.2)</f>
        <v>0</v>
      </c>
      <c r="L457" s="94" t="str">
        <f>"(55)"</f>
        <v>(55)</v>
      </c>
      <c r="M457" s="130">
        <f>SUM(M452*1.22)</f>
        <v>0</v>
      </c>
      <c r="N457" s="131" t="str">
        <f>"(55)"</f>
        <v>(55)</v>
      </c>
      <c r="O457" s="130">
        <f>SUM(O452*1.22)</f>
        <v>7930</v>
      </c>
      <c r="P457" s="96" t="str">
        <f>"(55)"</f>
        <v>(55)</v>
      </c>
    </row>
    <row r="458" spans="2:16" ht="17.25" x14ac:dyDescent="0.25">
      <c r="B458" s="187" t="str">
        <f>'kuni 2025 detsember tegevuskava'!A82&amp;"/"&amp;'kuni 2025 detsember tegevuskava'!C82</f>
        <v>Regionaal- ja Põllumajandusministeerium/</v>
      </c>
      <c r="C458" s="156" t="str">
        <f>'kuni 2025 detsember tegevuskava'!I82</f>
        <v xml:space="preserve">PRIA strateegiline eesmärk on teadmusteenuste pakkumine ning selle elluviimise  üheks tegevuseks on ettenähtud andmestrateegia koostamine. Strateegiaga soovime fikseerida põhimõtted kuidas tagatakse andmete kvaliteet, konfitsetsiaalsus, kättesaadavus. Täna sellised kokkulepped PRIAs puuduvad. Strateegia koostamisel tuleb analüüsida ka andmeaida tulevik st. tuleb analüüsida nii vajadusi lähtuvalt uuenevast strateegiast kui pakutavaid erinevaid võimalusi, arvestades et tänane SAP BO tugi ca 2027+ perioodil lõpeb. </v>
      </c>
      <c r="D458" s="156" t="str">
        <f>'kuni 2025 detsember tegevuskava'!J82</f>
        <v>Andmestrateegia koostamine</v>
      </c>
      <c r="E458" s="156" t="str">
        <f>'kuni 2025 detsember tegevuskava'!K82</f>
        <v xml:space="preserve"> 
* PRIA andmestrateegia on koostatud, ettepanekud esitatud</v>
      </c>
      <c r="F458" s="156" t="str">
        <f>'kuni 2025 detsember tegevuskava'!O82&amp;"/"</f>
        <v>SF 21-27 (taotletav raha)/</v>
      </c>
      <c r="G458" s="156" cm="1">
        <f t="array" ref="G458">_xlfn.IFS('kuni 2025 detsember tegevuskava'!G82='kuni 2025 detsember tegevuskava'!$G$97,1,'kuni 2025 detsember tegevuskava'!G82='kuni 2025 detsember tegevuskava'!$G$98,2,'kuni 2025 detsember tegevuskava'!G82='kuni 2025 detsember tegevuskava'!$G$99,3,'kuni 2025 detsember tegevuskava'!G82='kuni 2025 detsember tegevuskava'!$G$100,4)</f>
        <v>1</v>
      </c>
      <c r="H458" s="194" cm="1">
        <f t="array" ref="H458">_xlfn.IFS(OR('kuni 2025 detsember tegevuskava'!O82='kuni 2025 detsember tegevuskava'!$O$97,'kuni 2025 detsember tegevuskava'!O82='kuni 2025 detsember tegevuskava'!$O$99,'kuni 2025 detsember tegevuskava'!O82='kuni 2025 detsember tegevuskava'!$O$100,'kuni 2025 detsember tegevuskava'!O82='kuni 2025 detsember tegevuskava'!$O$101),1,'kuni 2025 detsember tegevuskava'!O82='kuni 2025 detsember tegevuskava'!$O$102,2,'kuni 2025 detsember tegevuskava'!O82='kuni 2025 detsember tegevuskava'!$O$103,2,'kuni 2025 detsember tegevuskava'!O82='kuni 2025 detsember tegevuskava'!$O$98,3)</f>
        <v>2</v>
      </c>
      <c r="I458" s="132">
        <f>SUM(I459:I461)</f>
        <v>50000</v>
      </c>
      <c r="J458" s="133"/>
      <c r="K458" s="81">
        <f>SUM(K459:K461)</f>
        <v>0</v>
      </c>
      <c r="L458" s="83"/>
      <c r="M458" s="132">
        <f>SUM(M459:M461)</f>
        <v>0</v>
      </c>
      <c r="N458" s="133"/>
      <c r="O458" s="81">
        <f>SUM(O459:O461)</f>
        <v>50000</v>
      </c>
      <c r="P458" s="85"/>
    </row>
    <row r="459" spans="2:16" ht="17.25" x14ac:dyDescent="0.25">
      <c r="B459" s="145"/>
      <c r="C459" s="8"/>
      <c r="D459" s="8"/>
      <c r="E459" s="8"/>
      <c r="F459" s="8"/>
      <c r="G459" s="8"/>
      <c r="H459" s="192"/>
      <c r="I459" s="102">
        <f>SUM(K459+M459+O459)</f>
        <v>0</v>
      </c>
      <c r="J459" s="103" t="str">
        <f>"(15)"</f>
        <v>(15)</v>
      </c>
      <c r="K459" s="97">
        <f>'kuni 2025 detsember tegevuskava'!W82</f>
        <v>0</v>
      </c>
      <c r="L459" s="98" t="str">
        <f>"(15)"</f>
        <v>(15)</v>
      </c>
      <c r="M459" s="102">
        <f>'kuni 2025 detsember tegevuskava'!Z82</f>
        <v>0</v>
      </c>
      <c r="N459" s="103" t="str">
        <f>"(15)"</f>
        <v>(15)</v>
      </c>
      <c r="O459" s="97">
        <f>'kuni 2025 detsember tegevuskava'!AC82</f>
        <v>0</v>
      </c>
      <c r="P459" s="87" t="str">
        <f>"(15)"</f>
        <v>(15)</v>
      </c>
    </row>
    <row r="460" spans="2:16" ht="17.25" x14ac:dyDescent="0.25">
      <c r="B460" s="145"/>
      <c r="C460" s="8"/>
      <c r="D460" s="8"/>
      <c r="E460" s="8"/>
      <c r="F460" s="8"/>
      <c r="G460" s="8"/>
      <c r="H460" s="192"/>
      <c r="I460" s="102">
        <f>SUM(K460+M460+O460)</f>
        <v>0</v>
      </c>
      <c r="J460" s="103" t="str">
        <f>"(50)"</f>
        <v>(50)</v>
      </c>
      <c r="K460" s="97">
        <f>'kuni 2025 detsember tegevuskava'!X82</f>
        <v>0</v>
      </c>
      <c r="L460" s="98" t="str">
        <f>"(50)"</f>
        <v>(50)</v>
      </c>
      <c r="M460" s="102">
        <f>'kuni 2025 detsember tegevuskava'!AA82</f>
        <v>0</v>
      </c>
      <c r="N460" s="103" t="str">
        <f>"(50)"</f>
        <v>(50)</v>
      </c>
      <c r="O460" s="97">
        <f>'kuni 2025 detsember tegevuskava'!AD82</f>
        <v>0</v>
      </c>
      <c r="P460" s="87" t="str">
        <f>"(50)"</f>
        <v>(50)</v>
      </c>
    </row>
    <row r="461" spans="2:16" ht="17.25" x14ac:dyDescent="0.25">
      <c r="B461" s="145"/>
      <c r="C461" s="8"/>
      <c r="D461" s="8"/>
      <c r="E461" s="8"/>
      <c r="F461" s="8"/>
      <c r="G461" s="8"/>
      <c r="H461" s="192"/>
      <c r="I461" s="104">
        <f>SUM(K461+M461+O461)</f>
        <v>50000</v>
      </c>
      <c r="J461" s="105" t="str">
        <f>"(55)"</f>
        <v>(55)</v>
      </c>
      <c r="K461" s="99">
        <f>'kuni 2025 detsember tegevuskava'!Y82</f>
        <v>0</v>
      </c>
      <c r="L461" s="88" t="str">
        <f>"(55)"</f>
        <v>(55)</v>
      </c>
      <c r="M461" s="104">
        <f>'kuni 2025 detsember tegevuskava'!AB82</f>
        <v>0</v>
      </c>
      <c r="N461" s="105" t="str">
        <f>"(55)"</f>
        <v>(55)</v>
      </c>
      <c r="O461" s="99">
        <f>'kuni 2025 detsember tegevuskava'!AE82</f>
        <v>50000</v>
      </c>
      <c r="P461" s="90" t="str">
        <f>"(55)"</f>
        <v>(55)</v>
      </c>
    </row>
    <row r="462" spans="2:16" ht="17.25" x14ac:dyDescent="0.25">
      <c r="B462" s="145"/>
      <c r="C462" s="8"/>
      <c r="D462" s="8"/>
      <c r="E462" s="8"/>
      <c r="F462" s="8"/>
      <c r="G462" s="8"/>
      <c r="H462" s="192"/>
      <c r="I462" s="151" t="s">
        <v>298</v>
      </c>
      <c r="J462" s="8"/>
      <c r="K462" s="8"/>
      <c r="L462" s="8"/>
      <c r="M462" s="8"/>
      <c r="N462" s="8"/>
      <c r="O462" s="8"/>
      <c r="P462" s="159"/>
    </row>
    <row r="463" spans="2:16" ht="17.25" x14ac:dyDescent="0.25">
      <c r="B463" s="145"/>
      <c r="C463" s="8"/>
      <c r="D463" s="8"/>
      <c r="E463" s="8"/>
      <c r="F463" s="8"/>
      <c r="G463" s="8"/>
      <c r="H463" s="192"/>
      <c r="I463" s="100">
        <f>SUM(I464:I466)</f>
        <v>61000</v>
      </c>
      <c r="J463" s="101"/>
      <c r="K463" s="91">
        <f>SUM(K464:K466)</f>
        <v>0</v>
      </c>
      <c r="L463" s="92"/>
      <c r="M463" s="100">
        <f>SUM(M464:M466)</f>
        <v>0</v>
      </c>
      <c r="N463" s="106"/>
      <c r="O463" s="100">
        <f>SUM(O464:O466)</f>
        <v>61000</v>
      </c>
      <c r="P463" s="134"/>
    </row>
    <row r="464" spans="2:16" ht="17.25" x14ac:dyDescent="0.25">
      <c r="B464" s="145"/>
      <c r="C464" s="8"/>
      <c r="D464" s="8"/>
      <c r="E464" s="8"/>
      <c r="F464" s="8"/>
      <c r="G464" s="8"/>
      <c r="H464" s="192"/>
      <c r="I464" s="102">
        <f>SUM(K464+M464+O464)</f>
        <v>0</v>
      </c>
      <c r="J464" s="103" t="str">
        <f>"(15)"</f>
        <v>(15)</v>
      </c>
      <c r="K464" s="97">
        <f>SUM(K459*1.2)</f>
        <v>0</v>
      </c>
      <c r="L464" s="98" t="str">
        <f>"(15)"</f>
        <v>(15)</v>
      </c>
      <c r="M464" s="102">
        <f>SUM(M459*1.22)</f>
        <v>0</v>
      </c>
      <c r="N464" s="103" t="str">
        <f>"(15)"</f>
        <v>(15)</v>
      </c>
      <c r="O464" s="102">
        <f>SUM(O459*1.22)</f>
        <v>0</v>
      </c>
      <c r="P464" s="87" t="str">
        <f>"(15)"</f>
        <v>(15)</v>
      </c>
    </row>
    <row r="465" spans="2:16" ht="17.25" x14ac:dyDescent="0.25">
      <c r="B465" s="145"/>
      <c r="C465" s="8"/>
      <c r="D465" s="8"/>
      <c r="E465" s="8"/>
      <c r="F465" s="8"/>
      <c r="G465" s="8"/>
      <c r="H465" s="192"/>
      <c r="I465" s="102">
        <f>SUM(K465+M465+O465)</f>
        <v>0</v>
      </c>
      <c r="J465" s="103" t="str">
        <f>"(50)"</f>
        <v>(50)</v>
      </c>
      <c r="K465" s="97">
        <f>K460</f>
        <v>0</v>
      </c>
      <c r="L465" s="98" t="str">
        <f>"(50)"</f>
        <v>(50)</v>
      </c>
      <c r="M465" s="102">
        <f>M460</f>
        <v>0</v>
      </c>
      <c r="N465" s="103" t="str">
        <f>"(50)"</f>
        <v>(50)</v>
      </c>
      <c r="O465" s="102">
        <f>O460</f>
        <v>0</v>
      </c>
      <c r="P465" s="87" t="str">
        <f>"(50)"</f>
        <v>(50)</v>
      </c>
    </row>
    <row r="466" spans="2:16" ht="18" thickBot="1" x14ac:dyDescent="0.3">
      <c r="B466" s="160"/>
      <c r="C466" s="161"/>
      <c r="D466" s="161"/>
      <c r="E466" s="161"/>
      <c r="F466" s="161"/>
      <c r="G466" s="161"/>
      <c r="H466" s="193"/>
      <c r="I466" s="130">
        <f>SUM(K466+M466+O466)</f>
        <v>61000</v>
      </c>
      <c r="J466" s="131" t="str">
        <f>"(55)"</f>
        <v>(55)</v>
      </c>
      <c r="K466" s="93">
        <f>SUM(K461*1.2)</f>
        <v>0</v>
      </c>
      <c r="L466" s="94" t="str">
        <f>"(55)"</f>
        <v>(55)</v>
      </c>
      <c r="M466" s="130">
        <f>SUM(M461*1.22)</f>
        <v>0</v>
      </c>
      <c r="N466" s="131" t="str">
        <f>"(55)"</f>
        <v>(55)</v>
      </c>
      <c r="O466" s="130">
        <f>SUM(O461*1.22)</f>
        <v>61000</v>
      </c>
      <c r="P466" s="96" t="str">
        <f>"(55)"</f>
        <v>(55)</v>
      </c>
    </row>
    <row r="467" spans="2:16" ht="17.25" x14ac:dyDescent="0.25">
      <c r="B467" s="187" t="str">
        <f>'kuni 2025 detsember tegevuskava'!A83&amp;"/"&amp;'kuni 2025 detsember tegevuskava'!C83</f>
        <v>Regionaal- ja Põllumajandusministeerium/</v>
      </c>
      <c r="C467" s="156" t="str">
        <f>'kuni 2025 detsember tegevuskava'!I83</f>
        <v xml:space="preserve">Meile teadaolevalt on 2027. aastal lõppemas PRIA Andmeaida tarkvara SAP BO tarkvaraline tugi ning selle kasutamisega kaasnevad taakvara kasutamisest lähtuvad infoturbe riskid. Kuna Andmeait sisaldab nii isikuandmeid kui asutuse siseseks kasutamiseks ette nähtud andmeid nii PRIA enda registritest kui ka väljastpoolt, siis on tegemist kõrgeima taseme riskiga. Samas on Andmeaidast kujunenud keskne tarkvara, millel baseerub kogu Euroopa Komisjoni aruandlus, PRIA ja ka REM valitsemisala ning sektori tegevust toetav juhtimisaruandlus ning ka asutusest välja kuvatavad avaandmed (sh BI töölauad). PRIA arengukavast lähtuvad teadmusteenuste arendused on Andmeaida kasutusvajadust veelgi laiendamas ja intensiivistamas. </v>
      </c>
      <c r="D467" s="156" t="str">
        <f>'kuni 2025 detsember tegevuskava'!J83</f>
        <v>Andmeteenuste töökeskkonna andmeaida korrastamine ja uuendamine</v>
      </c>
      <c r="E467" s="156" t="str">
        <f>'kuni 2025 detsember tegevuskava'!K83</f>
        <v xml:space="preserve">
*2026 uue andmeteenuste keskkonna tehniline analüüs on teostatud
*2027-2028 uue andmeteenuste keskkonna arendus ja juurutamine
* 2028+ hooldusfaasi liikumine
*2025+ püsikuluna PowerBI litsentside viimine järgmisele tasemele
</v>
      </c>
      <c r="F467" s="156" t="str">
        <f>'kuni 2025 detsember tegevuskava'!O83&amp;"/"</f>
        <v>SF 21-27 (taotletav raha)/</v>
      </c>
      <c r="G467" s="156" cm="1">
        <f t="array" ref="G467">_xlfn.IFS('kuni 2025 detsember tegevuskava'!G83='kuni 2025 detsember tegevuskava'!$G$97,1,'kuni 2025 detsember tegevuskava'!G83='kuni 2025 detsember tegevuskava'!$G$98,2,'kuni 2025 detsember tegevuskava'!G83='kuni 2025 detsember tegevuskava'!$G$99,3,'kuni 2025 detsember tegevuskava'!G83='kuni 2025 detsember tegevuskava'!$G$100,4)</f>
        <v>1</v>
      </c>
      <c r="H467" s="194" cm="1">
        <f t="array" ref="H467">_xlfn.IFS(OR('kuni 2025 detsember tegevuskava'!O83='kuni 2025 detsember tegevuskava'!$O$97,'kuni 2025 detsember tegevuskava'!O83='kuni 2025 detsember tegevuskava'!$O$99,'kuni 2025 detsember tegevuskava'!O83='kuni 2025 detsember tegevuskava'!$O$100,'kuni 2025 detsember tegevuskava'!O83='kuni 2025 detsember tegevuskava'!$O$101),1,'kuni 2025 detsember tegevuskava'!O83='kuni 2025 detsember tegevuskava'!$O$102,2,'kuni 2025 detsember tegevuskava'!O83='kuni 2025 detsember tegevuskava'!$O$103,2,'kuni 2025 detsember tegevuskava'!O83='kuni 2025 detsember tegevuskava'!$O$98,3)</f>
        <v>2</v>
      </c>
      <c r="I467" s="132">
        <f>SUM(I468:I470)</f>
        <v>0</v>
      </c>
      <c r="J467" s="133"/>
      <c r="K467" s="81">
        <f>SUM(K468:K470)</f>
        <v>0</v>
      </c>
      <c r="L467" s="83"/>
      <c r="M467" s="132">
        <f>SUM(M468:M470)</f>
        <v>0</v>
      </c>
      <c r="N467" s="133"/>
      <c r="O467" s="81">
        <f>SUM(O468:O470)</f>
        <v>0</v>
      </c>
      <c r="P467" s="85"/>
    </row>
    <row r="468" spans="2:16" ht="17.25" x14ac:dyDescent="0.25">
      <c r="B468" s="145"/>
      <c r="C468" s="8"/>
      <c r="D468" s="8"/>
      <c r="E468" s="8"/>
      <c r="F468" s="8"/>
      <c r="G468" s="8"/>
      <c r="H468" s="192"/>
      <c r="I468" s="102">
        <f>SUM(K468+M468+O468)</f>
        <v>0</v>
      </c>
      <c r="J468" s="103" t="str">
        <f>"(15)"</f>
        <v>(15)</v>
      </c>
      <c r="K468" s="97">
        <f>'kuni 2025 detsember tegevuskava'!W83</f>
        <v>0</v>
      </c>
      <c r="L468" s="98" t="str">
        <f>"(15)"</f>
        <v>(15)</v>
      </c>
      <c r="M468" s="102">
        <f>'kuni 2025 detsember tegevuskava'!Z83</f>
        <v>0</v>
      </c>
      <c r="N468" s="103" t="str">
        <f>"(15)"</f>
        <v>(15)</v>
      </c>
      <c r="O468" s="97">
        <f>'kuni 2025 detsember tegevuskava'!AC83</f>
        <v>0</v>
      </c>
      <c r="P468" s="87" t="str">
        <f>"(15)"</f>
        <v>(15)</v>
      </c>
    </row>
    <row r="469" spans="2:16" ht="17.25" x14ac:dyDescent="0.25">
      <c r="B469" s="145"/>
      <c r="C469" s="8"/>
      <c r="D469" s="8"/>
      <c r="E469" s="8"/>
      <c r="F469" s="8"/>
      <c r="G469" s="8"/>
      <c r="H469" s="192"/>
      <c r="I469" s="102">
        <f>SUM(K469+M469+O469)</f>
        <v>0</v>
      </c>
      <c r="J469" s="103" t="str">
        <f>"(50)"</f>
        <v>(50)</v>
      </c>
      <c r="K469" s="97">
        <f>'kuni 2025 detsember tegevuskava'!X83</f>
        <v>0</v>
      </c>
      <c r="L469" s="98" t="str">
        <f>"(50)"</f>
        <v>(50)</v>
      </c>
      <c r="M469" s="102">
        <f>'kuni 2025 detsember tegevuskava'!AA83</f>
        <v>0</v>
      </c>
      <c r="N469" s="103" t="str">
        <f>"(50)"</f>
        <v>(50)</v>
      </c>
      <c r="O469" s="97">
        <f>'kuni 2025 detsember tegevuskava'!AD83</f>
        <v>0</v>
      </c>
      <c r="P469" s="87" t="str">
        <f>"(50)"</f>
        <v>(50)</v>
      </c>
    </row>
    <row r="470" spans="2:16" ht="17.25" x14ac:dyDescent="0.25">
      <c r="B470" s="145"/>
      <c r="C470" s="8"/>
      <c r="D470" s="8"/>
      <c r="E470" s="8"/>
      <c r="F470" s="8"/>
      <c r="G470" s="8"/>
      <c r="H470" s="192"/>
      <c r="I470" s="104">
        <f>SUM(K470+M470+O470)</f>
        <v>0</v>
      </c>
      <c r="J470" s="105" t="str">
        <f>"(55)"</f>
        <v>(55)</v>
      </c>
      <c r="K470" s="99">
        <f>'kuni 2025 detsember tegevuskava'!Y83</f>
        <v>0</v>
      </c>
      <c r="L470" s="88" t="str">
        <f>"(55)"</f>
        <v>(55)</v>
      </c>
      <c r="M470" s="104">
        <f>'kuni 2025 detsember tegevuskava'!AB83</f>
        <v>0</v>
      </c>
      <c r="N470" s="105" t="str">
        <f>"(55)"</f>
        <v>(55)</v>
      </c>
      <c r="O470" s="99">
        <f>'kuni 2025 detsember tegevuskava'!AE83</f>
        <v>0</v>
      </c>
      <c r="P470" s="90" t="str">
        <f>"(55)"</f>
        <v>(55)</v>
      </c>
    </row>
    <row r="471" spans="2:16" ht="17.25" x14ac:dyDescent="0.25">
      <c r="B471" s="145"/>
      <c r="C471" s="8"/>
      <c r="D471" s="8"/>
      <c r="E471" s="8"/>
      <c r="F471" s="8"/>
      <c r="G471" s="8"/>
      <c r="H471" s="192"/>
      <c r="I471" s="151" t="s">
        <v>298</v>
      </c>
      <c r="J471" s="8"/>
      <c r="K471" s="8"/>
      <c r="L471" s="8"/>
      <c r="M471" s="8"/>
      <c r="N471" s="8"/>
      <c r="O471" s="8"/>
      <c r="P471" s="159"/>
    </row>
    <row r="472" spans="2:16" ht="17.25" x14ac:dyDescent="0.25">
      <c r="B472" s="145"/>
      <c r="C472" s="8"/>
      <c r="D472" s="8"/>
      <c r="E472" s="8"/>
      <c r="F472" s="8"/>
      <c r="G472" s="8"/>
      <c r="H472" s="192"/>
      <c r="I472" s="100">
        <f>SUM(I473:I475)</f>
        <v>0</v>
      </c>
      <c r="J472" s="101"/>
      <c r="K472" s="91">
        <f>SUM(K473:K475)</f>
        <v>0</v>
      </c>
      <c r="L472" s="92"/>
      <c r="M472" s="100">
        <f>SUM(M473:M475)</f>
        <v>0</v>
      </c>
      <c r="N472" s="106"/>
      <c r="O472" s="100">
        <f>SUM(O473:O475)</f>
        <v>0</v>
      </c>
      <c r="P472" s="134"/>
    </row>
    <row r="473" spans="2:16" ht="17.25" x14ac:dyDescent="0.25">
      <c r="B473" s="145"/>
      <c r="C473" s="8"/>
      <c r="D473" s="8"/>
      <c r="E473" s="8"/>
      <c r="F473" s="8"/>
      <c r="G473" s="8"/>
      <c r="H473" s="192"/>
      <c r="I473" s="102">
        <f>SUM(K473+M473+O473)</f>
        <v>0</v>
      </c>
      <c r="J473" s="103" t="str">
        <f>"(15)"</f>
        <v>(15)</v>
      </c>
      <c r="K473" s="97">
        <f>SUM(K468*1.2)</f>
        <v>0</v>
      </c>
      <c r="L473" s="98" t="str">
        <f>"(15)"</f>
        <v>(15)</v>
      </c>
      <c r="M473" s="102">
        <f>SUM(M468*1.22)</f>
        <v>0</v>
      </c>
      <c r="N473" s="103" t="str">
        <f>"(15)"</f>
        <v>(15)</v>
      </c>
      <c r="O473" s="102">
        <f>SUM(O468*1.22)</f>
        <v>0</v>
      </c>
      <c r="P473" s="87" t="str">
        <f>"(15)"</f>
        <v>(15)</v>
      </c>
    </row>
    <row r="474" spans="2:16" ht="17.25" x14ac:dyDescent="0.25">
      <c r="B474" s="145"/>
      <c r="C474" s="8"/>
      <c r="D474" s="8"/>
      <c r="E474" s="8"/>
      <c r="F474" s="8"/>
      <c r="G474" s="8"/>
      <c r="H474" s="192"/>
      <c r="I474" s="102">
        <f>SUM(K474+M474+O474)</f>
        <v>0</v>
      </c>
      <c r="J474" s="103" t="str">
        <f>"(50)"</f>
        <v>(50)</v>
      </c>
      <c r="K474" s="97">
        <f>K469</f>
        <v>0</v>
      </c>
      <c r="L474" s="98" t="str">
        <f>"(50)"</f>
        <v>(50)</v>
      </c>
      <c r="M474" s="102">
        <f>M469</f>
        <v>0</v>
      </c>
      <c r="N474" s="103" t="str">
        <f>"(50)"</f>
        <v>(50)</v>
      </c>
      <c r="O474" s="102">
        <f>O469</f>
        <v>0</v>
      </c>
      <c r="P474" s="87" t="str">
        <f>"(50)"</f>
        <v>(50)</v>
      </c>
    </row>
    <row r="475" spans="2:16" ht="18" thickBot="1" x14ac:dyDescent="0.3">
      <c r="B475" s="160"/>
      <c r="C475" s="161"/>
      <c r="D475" s="161"/>
      <c r="E475" s="161"/>
      <c r="F475" s="161"/>
      <c r="G475" s="161"/>
      <c r="H475" s="193"/>
      <c r="I475" s="130">
        <f>SUM(K475+M475+O475)</f>
        <v>0</v>
      </c>
      <c r="J475" s="131" t="str">
        <f>"(55)"</f>
        <v>(55)</v>
      </c>
      <c r="K475" s="93">
        <f>SUM(K470*1.2)</f>
        <v>0</v>
      </c>
      <c r="L475" s="94" t="str">
        <f>"(55)"</f>
        <v>(55)</v>
      </c>
      <c r="M475" s="130">
        <f>SUM(M470*1.22)</f>
        <v>0</v>
      </c>
      <c r="N475" s="131" t="str">
        <f>"(55)"</f>
        <v>(55)</v>
      </c>
      <c r="O475" s="130">
        <f>SUM(O470*1.22)</f>
        <v>0</v>
      </c>
      <c r="P475" s="96" t="str">
        <f>"(55)"</f>
        <v>(55)</v>
      </c>
    </row>
    <row r="476" spans="2:16" ht="17.25" x14ac:dyDescent="0.25">
      <c r="B476" s="187" t="str">
        <f>'kuni 2025 detsember tegevuskava'!A84&amp;"/"&amp;'kuni 2025 detsember tegevuskava'!C84</f>
        <v>Regionaal- ja Põllumajandusministeerium/UUS</v>
      </c>
      <c r="C476" s="156" t="str">
        <f>'kuni 2025 detsember tegevuskava'!I84</f>
        <v>Andmeteenuste töökeskkonna andmeaida korrastamine ja uuendamisega seotud jätkusuutlikkuse kulud</v>
      </c>
      <c r="D476" s="156" t="str">
        <f>'kuni 2025 detsember tegevuskava'!J84</f>
        <v>Andmeteenuste töökeskkonna hoolduskulud</v>
      </c>
      <c r="E476" s="156" t="str">
        <f>'kuni 2025 detsember tegevuskava'!K84</f>
        <v>* Alates 2025.aastast uute teadmusteenuste pakkumiseks vajalik kallima PowerBI litsenstikulu
* Alates 2028.a süsteem on hooldatud, teenus on pakutud.</v>
      </c>
      <c r="F476" s="156" t="str">
        <f>'kuni 2025 detsember tegevuskava'!O84&amp;"/"</f>
        <v>RES IKT (vaja juurde taotleda)/</v>
      </c>
      <c r="G476" s="156" cm="1">
        <f t="array" ref="G476">_xlfn.IFS('kuni 2025 detsember tegevuskava'!G84='kuni 2025 detsember tegevuskava'!$G$97,1,'kuni 2025 detsember tegevuskava'!G84='kuni 2025 detsember tegevuskava'!$G$98,2,'kuni 2025 detsember tegevuskava'!G84='kuni 2025 detsember tegevuskava'!$G$99,3,'kuni 2025 detsember tegevuskava'!G84='kuni 2025 detsember tegevuskava'!$G$100,4)</f>
        <v>1</v>
      </c>
      <c r="H476" s="194" cm="1">
        <f t="array" ref="H476">_xlfn.IFS(OR('kuni 2025 detsember tegevuskava'!O84='kuni 2025 detsember tegevuskava'!$O$97,'kuni 2025 detsember tegevuskava'!O84='kuni 2025 detsember tegevuskava'!$O$99,'kuni 2025 detsember tegevuskava'!O84='kuni 2025 detsember tegevuskava'!$O$100,'kuni 2025 detsember tegevuskava'!O84='kuni 2025 detsember tegevuskava'!$O$101),1,'kuni 2025 detsember tegevuskava'!O84='kuni 2025 detsember tegevuskava'!$O$102,2,'kuni 2025 detsember tegevuskava'!O84='kuni 2025 detsember tegevuskava'!$O$103,2,'kuni 2025 detsember tegevuskava'!O84='kuni 2025 detsember tegevuskava'!$O$98,3)</f>
        <v>1</v>
      </c>
      <c r="I476" s="132">
        <f>SUM(I477:I479)</f>
        <v>100000</v>
      </c>
      <c r="J476" s="133"/>
      <c r="K476" s="81">
        <f>SUM(K477:K479)</f>
        <v>0</v>
      </c>
      <c r="L476" s="83"/>
      <c r="M476" s="132">
        <f>SUM(M477:M479)</f>
        <v>0</v>
      </c>
      <c r="N476" s="133"/>
      <c r="O476" s="81">
        <f>SUM(O477:O479)</f>
        <v>100000</v>
      </c>
      <c r="P476" s="85"/>
    </row>
    <row r="477" spans="2:16" ht="17.25" x14ac:dyDescent="0.25">
      <c r="B477" s="145"/>
      <c r="C477" s="8"/>
      <c r="D477" s="8"/>
      <c r="E477" s="8"/>
      <c r="F477" s="8"/>
      <c r="G477" s="8"/>
      <c r="H477" s="192"/>
      <c r="I477" s="102">
        <f>SUM(K477+M477+O477)</f>
        <v>0</v>
      </c>
      <c r="J477" s="103" t="str">
        <f>"(15)"</f>
        <v>(15)</v>
      </c>
      <c r="K477" s="97">
        <f>'kuni 2025 detsember tegevuskava'!W84</f>
        <v>0</v>
      </c>
      <c r="L477" s="98" t="str">
        <f>"(15)"</f>
        <v>(15)</v>
      </c>
      <c r="M477" s="102">
        <f>'kuni 2025 detsember tegevuskava'!Z84</f>
        <v>0</v>
      </c>
      <c r="N477" s="103" t="str">
        <f>"(15)"</f>
        <v>(15)</v>
      </c>
      <c r="O477" s="97">
        <f>'kuni 2025 detsember tegevuskava'!AC84</f>
        <v>0</v>
      </c>
      <c r="P477" s="87" t="str">
        <f>"(15)"</f>
        <v>(15)</v>
      </c>
    </row>
    <row r="478" spans="2:16" ht="17.25" x14ac:dyDescent="0.25">
      <c r="B478" s="145"/>
      <c r="C478" s="8"/>
      <c r="D478" s="8"/>
      <c r="E478" s="8"/>
      <c r="F478" s="8"/>
      <c r="G478" s="8"/>
      <c r="H478" s="192"/>
      <c r="I478" s="102">
        <f>SUM(K478+M478+O478)</f>
        <v>0</v>
      </c>
      <c r="J478" s="103" t="str">
        <f>"(50)"</f>
        <v>(50)</v>
      </c>
      <c r="K478" s="97">
        <f>'kuni 2025 detsember tegevuskava'!X84</f>
        <v>0</v>
      </c>
      <c r="L478" s="98" t="str">
        <f>"(50)"</f>
        <v>(50)</v>
      </c>
      <c r="M478" s="102">
        <f>'kuni 2025 detsember tegevuskava'!AA84</f>
        <v>0</v>
      </c>
      <c r="N478" s="103" t="str">
        <f>"(50)"</f>
        <v>(50)</v>
      </c>
      <c r="O478" s="97">
        <f>'kuni 2025 detsember tegevuskava'!AD84</f>
        <v>0</v>
      </c>
      <c r="P478" s="87" t="str">
        <f>"(50)"</f>
        <v>(50)</v>
      </c>
    </row>
    <row r="479" spans="2:16" ht="17.25" x14ac:dyDescent="0.25">
      <c r="B479" s="145"/>
      <c r="C479" s="8"/>
      <c r="D479" s="8"/>
      <c r="E479" s="8"/>
      <c r="F479" s="8"/>
      <c r="G479" s="8"/>
      <c r="H479" s="192"/>
      <c r="I479" s="104">
        <f>SUM(K479+M479+O479)</f>
        <v>100000</v>
      </c>
      <c r="J479" s="105" t="str">
        <f>"(55)"</f>
        <v>(55)</v>
      </c>
      <c r="K479" s="99">
        <f>'kuni 2025 detsember tegevuskava'!Y84</f>
        <v>0</v>
      </c>
      <c r="L479" s="88" t="str">
        <f>"(55)"</f>
        <v>(55)</v>
      </c>
      <c r="M479" s="104">
        <f>'kuni 2025 detsember tegevuskava'!AB84</f>
        <v>0</v>
      </c>
      <c r="N479" s="105" t="str">
        <f>"(55)"</f>
        <v>(55)</v>
      </c>
      <c r="O479" s="99">
        <f>'kuni 2025 detsember tegevuskava'!AE84</f>
        <v>100000</v>
      </c>
      <c r="P479" s="90" t="str">
        <f>"(55)"</f>
        <v>(55)</v>
      </c>
    </row>
    <row r="480" spans="2:16" ht="17.25" x14ac:dyDescent="0.25">
      <c r="B480" s="145"/>
      <c r="C480" s="8"/>
      <c r="D480" s="8"/>
      <c r="E480" s="8"/>
      <c r="F480" s="8"/>
      <c r="G480" s="8"/>
      <c r="H480" s="192"/>
      <c r="I480" s="151" t="s">
        <v>298</v>
      </c>
      <c r="J480" s="8"/>
      <c r="K480" s="8"/>
      <c r="L480" s="8"/>
      <c r="M480" s="8"/>
      <c r="N480" s="8"/>
      <c r="O480" s="8"/>
      <c r="P480" s="159"/>
    </row>
    <row r="481" spans="2:16" ht="17.25" x14ac:dyDescent="0.25">
      <c r="B481" s="145"/>
      <c r="C481" s="8"/>
      <c r="D481" s="8"/>
      <c r="E481" s="8"/>
      <c r="F481" s="8"/>
      <c r="G481" s="8"/>
      <c r="H481" s="192"/>
      <c r="I481" s="100">
        <f>SUM(I482:I484)</f>
        <v>122000</v>
      </c>
      <c r="J481" s="101"/>
      <c r="K481" s="91">
        <f>SUM(K482:K484)</f>
        <v>0</v>
      </c>
      <c r="L481" s="92"/>
      <c r="M481" s="100">
        <f>SUM(M482:M484)</f>
        <v>0</v>
      </c>
      <c r="N481" s="106"/>
      <c r="O481" s="100">
        <f>SUM(O482:O484)</f>
        <v>122000</v>
      </c>
      <c r="P481" s="134"/>
    </row>
    <row r="482" spans="2:16" ht="17.25" x14ac:dyDescent="0.25">
      <c r="B482" s="145"/>
      <c r="C482" s="8"/>
      <c r="D482" s="8"/>
      <c r="E482" s="8"/>
      <c r="F482" s="8"/>
      <c r="G482" s="8"/>
      <c r="H482" s="192"/>
      <c r="I482" s="102">
        <f>SUM(K482+M482+O482)</f>
        <v>0</v>
      </c>
      <c r="J482" s="103" t="str">
        <f>"(15)"</f>
        <v>(15)</v>
      </c>
      <c r="K482" s="97">
        <f>SUM(K477*1.2)</f>
        <v>0</v>
      </c>
      <c r="L482" s="98" t="str">
        <f>"(15)"</f>
        <v>(15)</v>
      </c>
      <c r="M482" s="102">
        <f>SUM(M477*1.22)</f>
        <v>0</v>
      </c>
      <c r="N482" s="103" t="str">
        <f>"(15)"</f>
        <v>(15)</v>
      </c>
      <c r="O482" s="102">
        <f>SUM(O477*1.22)</f>
        <v>0</v>
      </c>
      <c r="P482" s="87" t="str">
        <f>"(15)"</f>
        <v>(15)</v>
      </c>
    </row>
    <row r="483" spans="2:16" ht="17.25" x14ac:dyDescent="0.25">
      <c r="B483" s="145"/>
      <c r="C483" s="8"/>
      <c r="D483" s="8"/>
      <c r="E483" s="8"/>
      <c r="F483" s="8"/>
      <c r="G483" s="8"/>
      <c r="H483" s="192"/>
      <c r="I483" s="102">
        <f>SUM(K483+M483+O483)</f>
        <v>0</v>
      </c>
      <c r="J483" s="103" t="str">
        <f>"(50)"</f>
        <v>(50)</v>
      </c>
      <c r="K483" s="97">
        <f>K478</f>
        <v>0</v>
      </c>
      <c r="L483" s="98" t="str">
        <f>"(50)"</f>
        <v>(50)</v>
      </c>
      <c r="M483" s="102">
        <f>M478</f>
        <v>0</v>
      </c>
      <c r="N483" s="103" t="str">
        <f>"(50)"</f>
        <v>(50)</v>
      </c>
      <c r="O483" s="102">
        <f>O478</f>
        <v>0</v>
      </c>
      <c r="P483" s="87" t="str">
        <f>"(50)"</f>
        <v>(50)</v>
      </c>
    </row>
    <row r="484" spans="2:16" ht="18" thickBot="1" x14ac:dyDescent="0.3">
      <c r="B484" s="160"/>
      <c r="C484" s="161"/>
      <c r="D484" s="161"/>
      <c r="E484" s="161"/>
      <c r="F484" s="161"/>
      <c r="G484" s="161"/>
      <c r="H484" s="193"/>
      <c r="I484" s="130">
        <f>SUM(K484+M484+O484)</f>
        <v>122000</v>
      </c>
      <c r="J484" s="131" t="str">
        <f>"(55)"</f>
        <v>(55)</v>
      </c>
      <c r="K484" s="93">
        <f>SUM(K479*1.2)</f>
        <v>0</v>
      </c>
      <c r="L484" s="94" t="str">
        <f>"(55)"</f>
        <v>(55)</v>
      </c>
      <c r="M484" s="130">
        <f>SUM(M479*1.22)</f>
        <v>0</v>
      </c>
      <c r="N484" s="131" t="str">
        <f>"(55)"</f>
        <v>(55)</v>
      </c>
      <c r="O484" s="130">
        <f>SUM(O479*1.22)</f>
        <v>122000</v>
      </c>
      <c r="P484" s="96" t="str">
        <f>"(55)"</f>
        <v>(55)</v>
      </c>
    </row>
    <row r="485" spans="2:16" ht="17.25" x14ac:dyDescent="0.25">
      <c r="B485" s="187" t="str">
        <f>'kuni 2025 detsember tegevuskava'!A85&amp;"/"&amp;'kuni 2025 detsember tegevuskava'!C85</f>
        <v>Regionaal- ja Põllumajandusministeerium/UUS</v>
      </c>
      <c r="C485" s="156" t="str">
        <f>'kuni 2025 detsember tegevuskava'!I85</f>
        <v xml:space="preserve">• PRIA klientide ja töötajate jaoks tarvilikud infosüsteemid ja andmestikud on seni majutatud PRIA serveriruumis. Riigipilves asub vaid üks rakendus. Kogu taristu on seni üles ehitatud üle õla põhimõttel ja tehnilise toega põhimõttel 8/5. Ehk taristu ei ole dubleeritud vähimalgi määral. See kokku loob arusaadavalt väga riskantse komplekti ja sisuliselt iga pisem inimlik või tehniline viga võib kogu süsteemi rivist välja viia päevadeks või nädalateks (kui tekib vajadus taastada kogu süsteem koopiatelt), rääkimata igapäevastest häirivatest pisikatkestustest säärase süsteemi korral.
• PRIA taotlusvoorud ja kliendikoormus on väga hooajalised – periooditi tuleb ette kümnekordselt  suuremat ressursivajadust kui tavapäraselt.
• Administraatorite igapäevatöö koormavaks ja ebahuvitavaks osaks on taristu turvalisuse ja versiooniuuenduste tagamine.
</v>
      </c>
      <c r="D485" s="156" t="str">
        <f>'kuni 2025 detsember tegevuskava'!J85</f>
        <v>Pilvele üleminek</v>
      </c>
      <c r="E485" s="156" t="str">
        <f>'kuni 2025 detsember tegevuskava'!K85</f>
        <v xml:space="preserve">• 2024.aastal on pilevele ülemineku plaan koostatud, pilvekonspetsioon on olemas (SF)
* Kõik PRIA pilvekõlbulikud lahendused on viidud pilve ja loodud seal kahe õlaga turvaline ja dubleeriv süsteem.
• Olemas oleva riistvara hoiame samuti käigus – esialgu teise õlana, hiljem kasutus vastavalt vajadusele. Üks suuremaid vajadusi on kindlasti veel aastaid Oracle andmebaas ja sellega sidusad lahendused (sh taakvaralised). 
• Süsteem on turvaline ja käideldav, vajadusel on koheselt ja ainult selleks puhuks saadaval tehniline lisaressurss, administraatorid saavad enam tegeleda arendustööga.
</v>
      </c>
      <c r="F485" s="156" t="str">
        <f>'kuni 2025 detsember tegevuskava'!O85&amp;"/"</f>
        <v>RES IKT (vaja juurde taotleda)/</v>
      </c>
      <c r="G485" s="156" cm="1">
        <f t="array" ref="G485">_xlfn.IFS('kuni 2025 detsember tegevuskava'!G85='kuni 2025 detsember tegevuskava'!$G$97,1,'kuni 2025 detsember tegevuskava'!G85='kuni 2025 detsember tegevuskava'!$G$98,2,'kuni 2025 detsember tegevuskava'!G85='kuni 2025 detsember tegevuskava'!$G$99,3,'kuni 2025 detsember tegevuskava'!G85='kuni 2025 detsember tegevuskava'!$G$100,4)</f>
        <v>2</v>
      </c>
      <c r="H485" s="194" cm="1">
        <f t="array" ref="H485">_xlfn.IFS(OR('kuni 2025 detsember tegevuskava'!O85='kuni 2025 detsember tegevuskava'!$O$97,'kuni 2025 detsember tegevuskava'!O85='kuni 2025 detsember tegevuskava'!$O$99,'kuni 2025 detsember tegevuskava'!O85='kuni 2025 detsember tegevuskava'!$O$100,'kuni 2025 detsember tegevuskava'!O85='kuni 2025 detsember tegevuskava'!$O$101),1,'kuni 2025 detsember tegevuskava'!O85='kuni 2025 detsember tegevuskava'!$O$102,2,'kuni 2025 detsember tegevuskava'!O85='kuni 2025 detsember tegevuskava'!$O$103,2,'kuni 2025 detsember tegevuskava'!O85='kuni 2025 detsember tegevuskava'!$O$98,3)</f>
        <v>1</v>
      </c>
      <c r="I485" s="132">
        <f>SUM(I486:I488)</f>
        <v>24000</v>
      </c>
      <c r="J485" s="133"/>
      <c r="K485" s="81">
        <f>SUM(K486:K488)</f>
        <v>0</v>
      </c>
      <c r="L485" s="83"/>
      <c r="M485" s="132">
        <f>SUM(M486:M488)</f>
        <v>0</v>
      </c>
      <c r="N485" s="133"/>
      <c r="O485" s="81">
        <f>SUM(O486:O488)</f>
        <v>24000</v>
      </c>
      <c r="P485" s="85"/>
    </row>
    <row r="486" spans="2:16" ht="17.25" x14ac:dyDescent="0.25">
      <c r="B486" s="145"/>
      <c r="C486" s="8"/>
      <c r="D486" s="8"/>
      <c r="E486" s="8"/>
      <c r="F486" s="8"/>
      <c r="G486" s="8"/>
      <c r="H486" s="192"/>
      <c r="I486" s="102">
        <f>SUM(K486+M486+O486)</f>
        <v>0</v>
      </c>
      <c r="J486" s="103" t="str">
        <f>"(15)"</f>
        <v>(15)</v>
      </c>
      <c r="K486" s="97">
        <f>'kuni 2025 detsember tegevuskava'!W85</f>
        <v>0</v>
      </c>
      <c r="L486" s="98" t="str">
        <f>"(15)"</f>
        <v>(15)</v>
      </c>
      <c r="M486" s="102">
        <f>'kuni 2025 detsember tegevuskava'!Z85</f>
        <v>0</v>
      </c>
      <c r="N486" s="103" t="str">
        <f>"(15)"</f>
        <v>(15)</v>
      </c>
      <c r="O486" s="97">
        <f>'kuni 2025 detsember tegevuskava'!AC85</f>
        <v>0</v>
      </c>
      <c r="P486" s="87" t="str">
        <f>"(15)"</f>
        <v>(15)</v>
      </c>
    </row>
    <row r="487" spans="2:16" ht="17.25" x14ac:dyDescent="0.25">
      <c r="B487" s="145"/>
      <c r="C487" s="8"/>
      <c r="D487" s="8"/>
      <c r="E487" s="8"/>
      <c r="F487" s="8"/>
      <c r="G487" s="8"/>
      <c r="H487" s="192"/>
      <c r="I487" s="102">
        <f>SUM(K487+M487+O487)</f>
        <v>0</v>
      </c>
      <c r="J487" s="103" t="str">
        <f>"(50)"</f>
        <v>(50)</v>
      </c>
      <c r="K487" s="97">
        <f>'kuni 2025 detsember tegevuskava'!X85</f>
        <v>0</v>
      </c>
      <c r="L487" s="98" t="str">
        <f>"(50)"</f>
        <v>(50)</v>
      </c>
      <c r="M487" s="102">
        <f>'kuni 2025 detsember tegevuskava'!AA85</f>
        <v>0</v>
      </c>
      <c r="N487" s="103" t="str">
        <f>"(50)"</f>
        <v>(50)</v>
      </c>
      <c r="O487" s="97">
        <f>'kuni 2025 detsember tegevuskava'!AD85</f>
        <v>0</v>
      </c>
      <c r="P487" s="87" t="str">
        <f>"(50)"</f>
        <v>(50)</v>
      </c>
    </row>
    <row r="488" spans="2:16" ht="17.25" x14ac:dyDescent="0.25">
      <c r="B488" s="145"/>
      <c r="C488" s="8"/>
      <c r="D488" s="8"/>
      <c r="E488" s="8"/>
      <c r="F488" s="8"/>
      <c r="G488" s="8"/>
      <c r="H488" s="192"/>
      <c r="I488" s="104">
        <f>SUM(K488+M488+O488)</f>
        <v>24000</v>
      </c>
      <c r="J488" s="105" t="str">
        <f>"(55)"</f>
        <v>(55)</v>
      </c>
      <c r="K488" s="99">
        <f>'kuni 2025 detsember tegevuskava'!Y85</f>
        <v>0</v>
      </c>
      <c r="L488" s="88" t="str">
        <f>"(55)"</f>
        <v>(55)</v>
      </c>
      <c r="M488" s="104">
        <f>'kuni 2025 detsember tegevuskava'!AB85</f>
        <v>0</v>
      </c>
      <c r="N488" s="105" t="str">
        <f>"(55)"</f>
        <v>(55)</v>
      </c>
      <c r="O488" s="99">
        <f>'kuni 2025 detsember tegevuskava'!AE85</f>
        <v>24000</v>
      </c>
      <c r="P488" s="90" t="str">
        <f>"(55)"</f>
        <v>(55)</v>
      </c>
    </row>
    <row r="489" spans="2:16" ht="17.25" x14ac:dyDescent="0.25">
      <c r="B489" s="145"/>
      <c r="C489" s="8"/>
      <c r="D489" s="8"/>
      <c r="E489" s="8"/>
      <c r="F489" s="8"/>
      <c r="G489" s="8"/>
      <c r="H489" s="192"/>
      <c r="I489" s="151" t="s">
        <v>298</v>
      </c>
      <c r="J489" s="8"/>
      <c r="K489" s="8"/>
      <c r="L489" s="8"/>
      <c r="M489" s="8"/>
      <c r="N489" s="8"/>
      <c r="O489" s="8"/>
      <c r="P489" s="159"/>
    </row>
    <row r="490" spans="2:16" ht="17.25" x14ac:dyDescent="0.25">
      <c r="B490" s="145"/>
      <c r="C490" s="8"/>
      <c r="D490" s="8"/>
      <c r="E490" s="8"/>
      <c r="F490" s="8"/>
      <c r="G490" s="8"/>
      <c r="H490" s="192"/>
      <c r="I490" s="100">
        <f>SUM(I491:I493)</f>
        <v>29280</v>
      </c>
      <c r="J490" s="101"/>
      <c r="K490" s="91">
        <f>SUM(K491:K493)</f>
        <v>0</v>
      </c>
      <c r="L490" s="92"/>
      <c r="M490" s="100">
        <f>SUM(M491:M493)</f>
        <v>0</v>
      </c>
      <c r="N490" s="106"/>
      <c r="O490" s="100">
        <f>SUM(O491:O493)</f>
        <v>29280</v>
      </c>
      <c r="P490" s="134"/>
    </row>
    <row r="491" spans="2:16" ht="17.25" x14ac:dyDescent="0.25">
      <c r="B491" s="145"/>
      <c r="C491" s="8"/>
      <c r="D491" s="8"/>
      <c r="E491" s="8"/>
      <c r="F491" s="8"/>
      <c r="G491" s="8"/>
      <c r="H491" s="192"/>
      <c r="I491" s="102">
        <f>SUM(K491+M491+O491)</f>
        <v>0</v>
      </c>
      <c r="J491" s="103" t="str">
        <f>"(15)"</f>
        <v>(15)</v>
      </c>
      <c r="K491" s="97">
        <f>SUM(K486*1.2)</f>
        <v>0</v>
      </c>
      <c r="L491" s="98" t="str">
        <f>"(15)"</f>
        <v>(15)</v>
      </c>
      <c r="M491" s="102">
        <f>SUM(M486*1.22)</f>
        <v>0</v>
      </c>
      <c r="N491" s="103" t="str">
        <f>"(15)"</f>
        <v>(15)</v>
      </c>
      <c r="O491" s="102">
        <f>SUM(O486*1.22)</f>
        <v>0</v>
      </c>
      <c r="P491" s="87" t="str">
        <f>"(15)"</f>
        <v>(15)</v>
      </c>
    </row>
    <row r="492" spans="2:16" ht="17.25" x14ac:dyDescent="0.25">
      <c r="B492" s="145"/>
      <c r="C492" s="8"/>
      <c r="D492" s="8"/>
      <c r="E492" s="8"/>
      <c r="F492" s="8"/>
      <c r="G492" s="8"/>
      <c r="H492" s="192"/>
      <c r="I492" s="102">
        <f>SUM(K492+M492+O492)</f>
        <v>0</v>
      </c>
      <c r="J492" s="103" t="str">
        <f>"(50)"</f>
        <v>(50)</v>
      </c>
      <c r="K492" s="97">
        <f>K487</f>
        <v>0</v>
      </c>
      <c r="L492" s="98" t="str">
        <f>"(50)"</f>
        <v>(50)</v>
      </c>
      <c r="M492" s="102">
        <f>M487</f>
        <v>0</v>
      </c>
      <c r="N492" s="103" t="str">
        <f>"(50)"</f>
        <v>(50)</v>
      </c>
      <c r="O492" s="102">
        <f>O487</f>
        <v>0</v>
      </c>
      <c r="P492" s="87" t="str">
        <f>"(50)"</f>
        <v>(50)</v>
      </c>
    </row>
    <row r="493" spans="2:16" ht="18" thickBot="1" x14ac:dyDescent="0.3">
      <c r="B493" s="160"/>
      <c r="C493" s="161"/>
      <c r="D493" s="161"/>
      <c r="E493" s="161"/>
      <c r="F493" s="161"/>
      <c r="G493" s="161"/>
      <c r="H493" s="193"/>
      <c r="I493" s="130">
        <f>SUM(K493+M493+O493)</f>
        <v>29280</v>
      </c>
      <c r="J493" s="131" t="str">
        <f>"(55)"</f>
        <v>(55)</v>
      </c>
      <c r="K493" s="93">
        <f>SUM(K488*1.2)</f>
        <v>0</v>
      </c>
      <c r="L493" s="94" t="str">
        <f>"(55)"</f>
        <v>(55)</v>
      </c>
      <c r="M493" s="130">
        <f>SUM(M488*1.22)</f>
        <v>0</v>
      </c>
      <c r="N493" s="131" t="str">
        <f>"(55)"</f>
        <v>(55)</v>
      </c>
      <c r="O493" s="130">
        <f>SUM(O488*1.22)</f>
        <v>29280</v>
      </c>
      <c r="P493" s="96" t="str">
        <f>"(55)"</f>
        <v>(55)</v>
      </c>
    </row>
    <row r="494" spans="2:16" ht="17.25" x14ac:dyDescent="0.25">
      <c r="B494" s="187" t="str">
        <f>'kuni 2025 detsember tegevuskava'!A86&amp;"/"&amp;'kuni 2025 detsember tegevuskava'!C86</f>
        <v>/</v>
      </c>
      <c r="C494" s="156">
        <f>'kuni 2025 detsember tegevuskava'!I86</f>
        <v>0</v>
      </c>
      <c r="D494" s="156">
        <f>'kuni 2025 detsember tegevuskava'!J86</f>
        <v>0</v>
      </c>
      <c r="E494" s="156">
        <f>'kuni 2025 detsember tegevuskava'!K86</f>
        <v>0</v>
      </c>
      <c r="F494" s="156" t="str">
        <f>'kuni 2025 detsember tegevuskava'!O86&amp;"/"</f>
        <v>/</v>
      </c>
      <c r="G494" s="156" t="e" cm="1">
        <f t="array" ref="G494">_xlfn.IFS('kuni 2025 detsember tegevuskava'!G86='kuni 2025 detsember tegevuskava'!$G$97,1,'kuni 2025 detsember tegevuskava'!G86='kuni 2025 detsember tegevuskava'!$G$98,2,'kuni 2025 detsember tegevuskava'!G86='kuni 2025 detsember tegevuskava'!$G$99,3,'kuni 2025 detsember tegevuskava'!G86='kuni 2025 detsember tegevuskava'!$G$100,4)</f>
        <v>#N/A</v>
      </c>
      <c r="H494" s="194" t="e" cm="1">
        <f t="array" ref="H494">_xlfn.IFS(OR('kuni 2025 detsember tegevuskava'!O86='kuni 2025 detsember tegevuskava'!$O$97,'kuni 2025 detsember tegevuskava'!O86='kuni 2025 detsember tegevuskava'!$O$99,'kuni 2025 detsember tegevuskava'!O86='kuni 2025 detsember tegevuskava'!$O$100,'kuni 2025 detsember tegevuskava'!O86='kuni 2025 detsember tegevuskava'!$O$101),1,'kuni 2025 detsember tegevuskava'!O86='kuni 2025 detsember tegevuskava'!$O$102,2,'kuni 2025 detsember tegevuskava'!O86='kuni 2025 detsember tegevuskava'!$O$103,2,'kuni 2025 detsember tegevuskava'!O86='kuni 2025 detsember tegevuskava'!$O$98,3)</f>
        <v>#N/A</v>
      </c>
      <c r="I494" s="132">
        <f>SUM(I495:I497)</f>
        <v>0</v>
      </c>
      <c r="J494" s="133"/>
      <c r="K494" s="81">
        <f>SUM(K495:K497)</f>
        <v>0</v>
      </c>
      <c r="L494" s="83"/>
      <c r="M494" s="132">
        <f>SUM(M495:M497)</f>
        <v>0</v>
      </c>
      <c r="N494" s="133"/>
      <c r="O494" s="81">
        <f>SUM(O495:O497)</f>
        <v>0</v>
      </c>
      <c r="P494" s="85"/>
    </row>
    <row r="495" spans="2:16" ht="17.25" x14ac:dyDescent="0.25">
      <c r="B495" s="145"/>
      <c r="C495" s="8"/>
      <c r="D495" s="8"/>
      <c r="E495" s="8"/>
      <c r="F495" s="8"/>
      <c r="G495" s="8"/>
      <c r="H495" s="192"/>
      <c r="I495" s="102">
        <f>SUM(K495+M495+O495)</f>
        <v>0</v>
      </c>
      <c r="J495" s="103" t="str">
        <f>"(15)"</f>
        <v>(15)</v>
      </c>
      <c r="K495" s="97">
        <f>'kuni 2025 detsember tegevuskava'!W86</f>
        <v>0</v>
      </c>
      <c r="L495" s="98" t="str">
        <f>"(15)"</f>
        <v>(15)</v>
      </c>
      <c r="M495" s="102">
        <f>'kuni 2025 detsember tegevuskava'!Z86</f>
        <v>0</v>
      </c>
      <c r="N495" s="103" t="str">
        <f>"(15)"</f>
        <v>(15)</v>
      </c>
      <c r="O495" s="97">
        <f>'kuni 2025 detsember tegevuskava'!AC86</f>
        <v>0</v>
      </c>
      <c r="P495" s="87" t="str">
        <f>"(15)"</f>
        <v>(15)</v>
      </c>
    </row>
    <row r="496" spans="2:16" ht="17.25" x14ac:dyDescent="0.25">
      <c r="B496" s="145"/>
      <c r="C496" s="8"/>
      <c r="D496" s="8"/>
      <c r="E496" s="8"/>
      <c r="F496" s="8"/>
      <c r="G496" s="8"/>
      <c r="H496" s="192"/>
      <c r="I496" s="102">
        <f>SUM(K496+M496+O496)</f>
        <v>0</v>
      </c>
      <c r="J496" s="103" t="str">
        <f>"(50)"</f>
        <v>(50)</v>
      </c>
      <c r="K496" s="97">
        <f>'kuni 2025 detsember tegevuskava'!X86</f>
        <v>0</v>
      </c>
      <c r="L496" s="98" t="str">
        <f>"(50)"</f>
        <v>(50)</v>
      </c>
      <c r="M496" s="102">
        <f>'kuni 2025 detsember tegevuskava'!AA86</f>
        <v>0</v>
      </c>
      <c r="N496" s="103" t="str">
        <f>"(50)"</f>
        <v>(50)</v>
      </c>
      <c r="O496" s="97">
        <f>'kuni 2025 detsember tegevuskava'!AD86</f>
        <v>0</v>
      </c>
      <c r="P496" s="87" t="str">
        <f>"(50)"</f>
        <v>(50)</v>
      </c>
    </row>
    <row r="497" spans="2:16" ht="17.25" x14ac:dyDescent="0.25">
      <c r="B497" s="145"/>
      <c r="C497" s="8"/>
      <c r="D497" s="8"/>
      <c r="E497" s="8"/>
      <c r="F497" s="8"/>
      <c r="G497" s="8"/>
      <c r="H497" s="192"/>
      <c r="I497" s="102">
        <f>SUM(K497+M497+O497)</f>
        <v>0</v>
      </c>
      <c r="J497" s="103" t="str">
        <f>"(55)"</f>
        <v>(55)</v>
      </c>
      <c r="K497" s="97">
        <f>'kuni 2025 detsember tegevuskava'!Y86</f>
        <v>0</v>
      </c>
      <c r="L497" s="98" t="str">
        <f>"(55)"</f>
        <v>(55)</v>
      </c>
      <c r="M497" s="102">
        <f>'kuni 2025 detsember tegevuskava'!AB86</f>
        <v>0</v>
      </c>
      <c r="N497" s="103" t="str">
        <f>"(55)"</f>
        <v>(55)</v>
      </c>
      <c r="O497" s="97">
        <f>'kuni 2025 detsember tegevuskava'!AE86</f>
        <v>0</v>
      </c>
      <c r="P497" s="87" t="str">
        <f>"(55)"</f>
        <v>(55)</v>
      </c>
    </row>
    <row r="498" spans="2:16" ht="17.25" x14ac:dyDescent="0.25">
      <c r="B498" s="145"/>
      <c r="C498" s="8"/>
      <c r="D498" s="8"/>
      <c r="E498" s="8"/>
      <c r="F498" s="8"/>
      <c r="G498" s="8"/>
      <c r="H498" s="192"/>
      <c r="I498" s="183" t="s">
        <v>298</v>
      </c>
      <c r="J498" s="195"/>
      <c r="K498" s="195"/>
      <c r="L498" s="195"/>
      <c r="M498" s="195"/>
      <c r="N498" s="195"/>
      <c r="O498" s="195"/>
      <c r="P498" s="196"/>
    </row>
    <row r="499" spans="2:16" ht="17.25" x14ac:dyDescent="0.25">
      <c r="B499" s="145"/>
      <c r="C499" s="8"/>
      <c r="D499" s="8"/>
      <c r="E499" s="8"/>
      <c r="F499" s="8"/>
      <c r="G499" s="8"/>
      <c r="H499" s="192"/>
      <c r="I499" s="179">
        <f>SUM(I500:I502)</f>
        <v>0</v>
      </c>
      <c r="J499" s="103"/>
      <c r="K499" s="172">
        <f>SUM(K500:K502)</f>
        <v>0</v>
      </c>
      <c r="L499" s="184"/>
      <c r="M499" s="179">
        <f>SUM(M500:M502)</f>
        <v>0</v>
      </c>
      <c r="N499" s="168"/>
      <c r="O499" s="179">
        <f>SUM(O500:O502)</f>
        <v>0</v>
      </c>
      <c r="P499" s="69"/>
    </row>
    <row r="500" spans="2:16" ht="17.25" x14ac:dyDescent="0.25">
      <c r="B500" s="145"/>
      <c r="C500" s="8"/>
      <c r="D500" s="8"/>
      <c r="E500" s="8"/>
      <c r="F500" s="8"/>
      <c r="G500" s="8"/>
      <c r="H500" s="192"/>
      <c r="I500" s="102">
        <f>SUM(K500+M500+O500)</f>
        <v>0</v>
      </c>
      <c r="J500" s="103" t="str">
        <f>"(15)"</f>
        <v>(15)</v>
      </c>
      <c r="K500" s="97">
        <f>SUM(K495*1.2)</f>
        <v>0</v>
      </c>
      <c r="L500" s="98" t="str">
        <f>"(15)"</f>
        <v>(15)</v>
      </c>
      <c r="M500" s="102">
        <f>SUM(M495*1.22)</f>
        <v>0</v>
      </c>
      <c r="N500" s="103" t="str">
        <f>"(15)"</f>
        <v>(15)</v>
      </c>
      <c r="O500" s="102">
        <f>SUM(O495*1.22)</f>
        <v>0</v>
      </c>
      <c r="P500" s="87" t="str">
        <f>"(15)"</f>
        <v>(15)</v>
      </c>
    </row>
    <row r="501" spans="2:16" ht="17.25" x14ac:dyDescent="0.25">
      <c r="B501" s="145"/>
      <c r="C501" s="8"/>
      <c r="D501" s="8"/>
      <c r="E501" s="8"/>
      <c r="F501" s="8"/>
      <c r="G501" s="8"/>
      <c r="H501" s="192"/>
      <c r="I501" s="102">
        <f>SUM(K501+M501+O501)</f>
        <v>0</v>
      </c>
      <c r="J501" s="103" t="str">
        <f>"(50)"</f>
        <v>(50)</v>
      </c>
      <c r="K501" s="97">
        <f>K496</f>
        <v>0</v>
      </c>
      <c r="L501" s="98" t="str">
        <f>"(50)"</f>
        <v>(50)</v>
      </c>
      <c r="M501" s="102">
        <f>M496</f>
        <v>0</v>
      </c>
      <c r="N501" s="103" t="str">
        <f>"(50)"</f>
        <v>(50)</v>
      </c>
      <c r="O501" s="102">
        <f>O496</f>
        <v>0</v>
      </c>
      <c r="P501" s="87" t="str">
        <f>"(50)"</f>
        <v>(50)</v>
      </c>
    </row>
    <row r="502" spans="2:16" ht="18" thickBot="1" x14ac:dyDescent="0.3">
      <c r="B502" s="160"/>
      <c r="C502" s="161"/>
      <c r="D502" s="161"/>
      <c r="E502" s="161"/>
      <c r="F502" s="161"/>
      <c r="G502" s="161"/>
      <c r="H502" s="193"/>
      <c r="I502" s="130">
        <f>SUM(K502+M502+O502)</f>
        <v>0</v>
      </c>
      <c r="J502" s="131" t="str">
        <f>"(55)"</f>
        <v>(55)</v>
      </c>
      <c r="K502" s="93">
        <f>SUM(K497*1.2)</f>
        <v>0</v>
      </c>
      <c r="L502" s="94" t="str">
        <f>"(55)"</f>
        <v>(55)</v>
      </c>
      <c r="M502" s="130">
        <f>SUM(M497*1.22)</f>
        <v>0</v>
      </c>
      <c r="N502" s="131" t="str">
        <f>"(55)"</f>
        <v>(55)</v>
      </c>
      <c r="O502" s="130">
        <f>SUM(O497*1.22)</f>
        <v>0</v>
      </c>
      <c r="P502" s="96" t="str">
        <f>"(55)"</f>
        <v>(55)</v>
      </c>
    </row>
    <row r="503" spans="2:16" ht="17.25" x14ac:dyDescent="0.25">
      <c r="B503" s="187" t="str">
        <f>'kuni 2025 detsember tegevuskava'!A87&amp;"/"&amp;'kuni 2025 detsember tegevuskava'!C87</f>
        <v>Regionaal- ja Põllumajandusministeerium/UUS</v>
      </c>
      <c r="C503" s="156" t="str">
        <f>'kuni 2025 detsember tegevuskava'!I87</f>
        <v xml:space="preserve">Välisrahastusega (MAK, Riigikantselei) arendatakse tootjale uued teadmusteenused: põlluraamatuga seotud erinevad soovitusteenused, karjatervise teenus, integreeritud taimekaiste teenus toidutoomise kestlikkuse hindamise teenus, mis koosneb erinevatestkomponentidest, nagu kasvuhoonegaaside jalajälje hindamine, muld, maakasutus, veekasutus, sõnnikukäitlus, loomadeheaolu, antibiootikumide kasutamine, ringmajandus, taimekaitsevahendite ja väetiste kasutamine jne. Uute teadmusteenuste arendamiseks on vahendid olemas, kuid puudub personali ja hoolduseelarve hilisemaks teenuste pakkumiseks. </v>
      </c>
      <c r="D503" s="156" t="str">
        <f>'kuni 2025 detsember tegevuskava'!J87</f>
        <v>Teadmusteenuste pakkumise (Suurandmete, Rohefoor) püsirahastus</v>
      </c>
      <c r="E503" s="156" t="str">
        <f>'kuni 2025 detsember tegevuskava'!K87</f>
        <v>Uued teadmusteenused on pakutud</v>
      </c>
      <c r="F503" s="156" t="str">
        <f>'kuni 2025 detsember tegevuskava'!O87&amp;"/"</f>
        <v>RES IKT (vaja juurde taotleda)/</v>
      </c>
      <c r="G503" s="156" cm="1">
        <f t="array" ref="G503">_xlfn.IFS('kuni 2025 detsember tegevuskava'!G87='kuni 2025 detsember tegevuskava'!$G$97,1,'kuni 2025 detsember tegevuskava'!G87='kuni 2025 detsember tegevuskava'!$G$98,2,'kuni 2025 detsember tegevuskava'!G87='kuni 2025 detsember tegevuskava'!$G$99,3,'kuni 2025 detsember tegevuskava'!G87='kuni 2025 detsember tegevuskava'!$G$100,4)</f>
        <v>1</v>
      </c>
      <c r="H503" s="194" cm="1">
        <f t="array" ref="H503">_xlfn.IFS(OR('kuni 2025 detsember tegevuskava'!O87='kuni 2025 detsember tegevuskava'!$O$97,'kuni 2025 detsember tegevuskava'!O87='kuni 2025 detsember tegevuskava'!$O$99,'kuni 2025 detsember tegevuskava'!O87='kuni 2025 detsember tegevuskava'!$O$100,'kuni 2025 detsember tegevuskava'!O87='kuni 2025 detsember tegevuskava'!$O$101),1,'kuni 2025 detsember tegevuskava'!O87='kuni 2025 detsember tegevuskava'!$O$102,2,'kuni 2025 detsember tegevuskava'!O87='kuni 2025 detsember tegevuskava'!$O$103,2,'kuni 2025 detsember tegevuskava'!O87='kuni 2025 detsember tegevuskava'!$O$98,3)</f>
        <v>1</v>
      </c>
      <c r="I503" s="132">
        <f>SUM(I504:I506)</f>
        <v>212436</v>
      </c>
      <c r="J503" s="133"/>
      <c r="K503" s="81">
        <f>SUM(K504:K506)</f>
        <v>0</v>
      </c>
      <c r="L503" s="83"/>
      <c r="M503" s="132">
        <f>SUM(M504:M506)</f>
        <v>3389.9999999999995</v>
      </c>
      <c r="N503" s="133"/>
      <c r="O503" s="81">
        <f>SUM(O504:O506)</f>
        <v>209046</v>
      </c>
      <c r="P503" s="85"/>
    </row>
    <row r="504" spans="2:16" ht="17.25" x14ac:dyDescent="0.25">
      <c r="B504" s="145"/>
      <c r="C504" s="8"/>
      <c r="D504" s="8"/>
      <c r="E504" s="8"/>
      <c r="F504" s="8"/>
      <c r="G504" s="8"/>
      <c r="H504" s="192"/>
      <c r="I504" s="102">
        <f>SUM(K504+M504+O504)</f>
        <v>0</v>
      </c>
      <c r="J504" s="103" t="str">
        <f>"(15)"</f>
        <v>(15)</v>
      </c>
      <c r="K504" s="97">
        <f>'kuni 2025 detsember tegevuskava'!W87</f>
        <v>0</v>
      </c>
      <c r="L504" s="98" t="str">
        <f>"(15)"</f>
        <v>(15)</v>
      </c>
      <c r="M504" s="102">
        <f>'kuni 2025 detsember tegevuskava'!Z87</f>
        <v>0</v>
      </c>
      <c r="N504" s="103" t="str">
        <f>"(15)"</f>
        <v>(15)</v>
      </c>
      <c r="O504" s="97">
        <f>'kuni 2025 detsember tegevuskava'!AC87</f>
        <v>0</v>
      </c>
      <c r="P504" s="87" t="str">
        <f>"(15)"</f>
        <v>(15)</v>
      </c>
    </row>
    <row r="505" spans="2:16" ht="17.25" x14ac:dyDescent="0.25">
      <c r="B505" s="145"/>
      <c r="C505" s="8"/>
      <c r="D505" s="8"/>
      <c r="E505" s="8"/>
      <c r="F505" s="8"/>
      <c r="G505" s="8"/>
      <c r="H505" s="192"/>
      <c r="I505" s="102">
        <f>SUM(K505+M505+O505)</f>
        <v>156546</v>
      </c>
      <c r="J505" s="103" t="str">
        <f>"(50)"</f>
        <v>(50)</v>
      </c>
      <c r="K505" s="97">
        <f>'kuni 2025 detsember tegevuskava'!X87</f>
        <v>0</v>
      </c>
      <c r="L505" s="98" t="str">
        <f>"(50)"</f>
        <v>(50)</v>
      </c>
      <c r="M505" s="102">
        <f>'kuni 2025 detsember tegevuskava'!AA87</f>
        <v>0</v>
      </c>
      <c r="N505" s="103" t="str">
        <f>"(50)"</f>
        <v>(50)</v>
      </c>
      <c r="O505" s="97">
        <f>'kuni 2025 detsember tegevuskava'!AD87</f>
        <v>156546</v>
      </c>
      <c r="P505" s="87" t="str">
        <f>"(50)"</f>
        <v>(50)</v>
      </c>
    </row>
    <row r="506" spans="2:16" ht="17.25" x14ac:dyDescent="0.25">
      <c r="B506" s="145"/>
      <c r="C506" s="8"/>
      <c r="D506" s="8"/>
      <c r="E506" s="8"/>
      <c r="F506" s="8"/>
      <c r="G506" s="8"/>
      <c r="H506" s="192"/>
      <c r="I506" s="102">
        <f>SUM(K506+M506+O506)</f>
        <v>55890</v>
      </c>
      <c r="J506" s="103" t="str">
        <f>"(55)"</f>
        <v>(55)</v>
      </c>
      <c r="K506" s="97">
        <f>'kuni 2025 detsember tegevuskava'!Y87</f>
        <v>0</v>
      </c>
      <c r="L506" s="98" t="str">
        <f>"(55)"</f>
        <v>(55)</v>
      </c>
      <c r="M506" s="102">
        <f>'kuni 2025 detsember tegevuskava'!AB87</f>
        <v>3389.9999999999995</v>
      </c>
      <c r="N506" s="103" t="str">
        <f>"(55)"</f>
        <v>(55)</v>
      </c>
      <c r="O506" s="97">
        <f>'kuni 2025 detsember tegevuskava'!AE87</f>
        <v>52500</v>
      </c>
      <c r="P506" s="87" t="str">
        <f>"(55)"</f>
        <v>(55)</v>
      </c>
    </row>
    <row r="507" spans="2:16" ht="17.25" x14ac:dyDescent="0.25">
      <c r="B507" s="145"/>
      <c r="C507" s="8"/>
      <c r="D507" s="8"/>
      <c r="E507" s="8"/>
      <c r="F507" s="8"/>
      <c r="G507" s="8"/>
      <c r="H507" s="192"/>
      <c r="I507" s="183" t="s">
        <v>298</v>
      </c>
      <c r="J507" s="195"/>
      <c r="K507" s="195"/>
      <c r="L507" s="195"/>
      <c r="M507" s="195"/>
      <c r="N507" s="195"/>
      <c r="O507" s="195"/>
      <c r="P507" s="196"/>
    </row>
    <row r="508" spans="2:16" ht="17.25" x14ac:dyDescent="0.25">
      <c r="B508" s="145"/>
      <c r="C508" s="8"/>
      <c r="D508" s="8"/>
      <c r="E508" s="8"/>
      <c r="F508" s="8"/>
      <c r="G508" s="8"/>
      <c r="H508" s="192"/>
      <c r="I508" s="179">
        <f>SUM(I509:I511)</f>
        <v>224731.8</v>
      </c>
      <c r="J508" s="103"/>
      <c r="K508" s="172">
        <f>SUM(K509:K511)</f>
        <v>0</v>
      </c>
      <c r="L508" s="184"/>
      <c r="M508" s="179">
        <f>SUM(M509:M511)</f>
        <v>4135.7999999999993</v>
      </c>
      <c r="N508" s="168"/>
      <c r="O508" s="179">
        <f>SUM(O509:O511)</f>
        <v>220596</v>
      </c>
      <c r="P508" s="69"/>
    </row>
    <row r="509" spans="2:16" ht="17.25" x14ac:dyDescent="0.25">
      <c r="B509" s="145"/>
      <c r="C509" s="8"/>
      <c r="D509" s="8"/>
      <c r="E509" s="8"/>
      <c r="F509" s="8"/>
      <c r="G509" s="8"/>
      <c r="H509" s="192"/>
      <c r="I509" s="102">
        <f>SUM(K509+M509+O509)</f>
        <v>0</v>
      </c>
      <c r="J509" s="103" t="str">
        <f>"(15)"</f>
        <v>(15)</v>
      </c>
      <c r="K509" s="97">
        <f>SUM(K504*1.2)</f>
        <v>0</v>
      </c>
      <c r="L509" s="98" t="str">
        <f>"(15)"</f>
        <v>(15)</v>
      </c>
      <c r="M509" s="102">
        <f>SUM(M504*1.22)</f>
        <v>0</v>
      </c>
      <c r="N509" s="103" t="str">
        <f>"(15)"</f>
        <v>(15)</v>
      </c>
      <c r="O509" s="102">
        <f>SUM(O504*1.22)</f>
        <v>0</v>
      </c>
      <c r="P509" s="87" t="str">
        <f>"(15)"</f>
        <v>(15)</v>
      </c>
    </row>
    <row r="510" spans="2:16" ht="17.25" x14ac:dyDescent="0.25">
      <c r="B510" s="145"/>
      <c r="C510" s="8"/>
      <c r="D510" s="8"/>
      <c r="E510" s="8"/>
      <c r="F510" s="8"/>
      <c r="G510" s="8"/>
      <c r="H510" s="192"/>
      <c r="I510" s="102">
        <f>SUM(K510+M510+O510)</f>
        <v>156546</v>
      </c>
      <c r="J510" s="103" t="str">
        <f>"(50)"</f>
        <v>(50)</v>
      </c>
      <c r="K510" s="97">
        <f>K505</f>
        <v>0</v>
      </c>
      <c r="L510" s="98" t="str">
        <f>"(50)"</f>
        <v>(50)</v>
      </c>
      <c r="M510" s="102">
        <f>M505</f>
        <v>0</v>
      </c>
      <c r="N510" s="103" t="str">
        <f>"(50)"</f>
        <v>(50)</v>
      </c>
      <c r="O510" s="102">
        <f>O505</f>
        <v>156546</v>
      </c>
      <c r="P510" s="87" t="str">
        <f>"(50)"</f>
        <v>(50)</v>
      </c>
    </row>
    <row r="511" spans="2:16" ht="18" thickBot="1" x14ac:dyDescent="0.3">
      <c r="B511" s="160"/>
      <c r="C511" s="161"/>
      <c r="D511" s="161"/>
      <c r="E511" s="161"/>
      <c r="F511" s="161"/>
      <c r="G511" s="161"/>
      <c r="H511" s="193"/>
      <c r="I511" s="130">
        <f>SUM(K511+M511+O511)</f>
        <v>68185.8</v>
      </c>
      <c r="J511" s="131" t="str">
        <f>"(55)"</f>
        <v>(55)</v>
      </c>
      <c r="K511" s="93">
        <f>SUM(K506*1.2)</f>
        <v>0</v>
      </c>
      <c r="L511" s="94" t="str">
        <f>"(55)"</f>
        <v>(55)</v>
      </c>
      <c r="M511" s="130">
        <f>SUM(M506*1.22)</f>
        <v>4135.7999999999993</v>
      </c>
      <c r="N511" s="131" t="str">
        <f>"(55)"</f>
        <v>(55)</v>
      </c>
      <c r="O511" s="130">
        <f>SUM(O506*1.22)</f>
        <v>64050</v>
      </c>
      <c r="P511" s="96" t="str">
        <f>"(55)"</f>
        <v>(55)</v>
      </c>
    </row>
    <row r="512" spans="2:16" ht="17.25" x14ac:dyDescent="0.25">
      <c r="B512" s="187" t="str">
        <f>'kuni 2025 detsember tegevuskava'!A88&amp;"/"&amp;'kuni 2025 detsember tegevuskava'!C88</f>
        <v>Regionaal- ja Põllumajandusministeerium/UUS</v>
      </c>
      <c r="C512" s="156" t="str">
        <f>'kuni 2025 detsember tegevuskava'!I88</f>
        <v xml:space="preserve">MKM eesti.ee projekti raames arendatakse välja erinevad e-teenused, mida kuvatakse eesti.ee keskkonnas. Kõiki arendatud teenuseid tuleb hooldada ja tagada, et kliendile oleks pakutud kvaliteetne teenus. Täna PRIAl puudub nende teenuste hooldamiseks ressurss. </v>
      </c>
      <c r="D512" s="156" t="str">
        <f>'kuni 2025 detsember tegevuskava'!J88</f>
        <v>MKM eesti.ee teenuste hoolduskulud</v>
      </c>
      <c r="E512" s="156" t="str">
        <f>'kuni 2025 detsember tegevuskava'!K88</f>
        <v>Teenused on hooldatud</v>
      </c>
      <c r="F512" s="156" t="str">
        <f>'kuni 2025 detsember tegevuskava'!O88&amp;"/"</f>
        <v>RES IKT (vaja juurde taotleda)/</v>
      </c>
      <c r="G512" s="156" cm="1">
        <f t="array" ref="G512">_xlfn.IFS('kuni 2025 detsember tegevuskava'!G88='kuni 2025 detsember tegevuskava'!$G$97,1,'kuni 2025 detsember tegevuskava'!G88='kuni 2025 detsember tegevuskava'!$G$98,2,'kuni 2025 detsember tegevuskava'!G88='kuni 2025 detsember tegevuskava'!$G$99,3,'kuni 2025 detsember tegevuskava'!G88='kuni 2025 detsember tegevuskava'!$G$100,4)</f>
        <v>1</v>
      </c>
      <c r="H512" s="194" cm="1">
        <f t="array" ref="H512">_xlfn.IFS(OR('kuni 2025 detsember tegevuskava'!O88='kuni 2025 detsember tegevuskava'!$O$97,'kuni 2025 detsember tegevuskava'!O88='kuni 2025 detsember tegevuskava'!$O$99,'kuni 2025 detsember tegevuskava'!O88='kuni 2025 detsember tegevuskava'!$O$100,'kuni 2025 detsember tegevuskava'!O88='kuni 2025 detsember tegevuskava'!$O$101),1,'kuni 2025 detsember tegevuskava'!O88='kuni 2025 detsember tegevuskava'!$O$102,2,'kuni 2025 detsember tegevuskava'!O88='kuni 2025 detsember tegevuskava'!$O$103,2,'kuni 2025 detsember tegevuskava'!O88='kuni 2025 detsember tegevuskava'!$O$98,3)</f>
        <v>1</v>
      </c>
      <c r="I512" s="132">
        <f>SUM(I513:I515)</f>
        <v>0</v>
      </c>
      <c r="J512" s="133"/>
      <c r="K512" s="81">
        <f>SUM(K513:K515)</f>
        <v>0</v>
      </c>
      <c r="L512" s="83"/>
      <c r="M512" s="132">
        <f>SUM(M513:M515)</f>
        <v>0</v>
      </c>
      <c r="N512" s="133"/>
      <c r="O512" s="81">
        <f>SUM(O513:O515)</f>
        <v>0</v>
      </c>
      <c r="P512" s="85"/>
    </row>
    <row r="513" spans="2:16" ht="17.25" x14ac:dyDescent="0.25">
      <c r="B513" s="145"/>
      <c r="C513" s="8"/>
      <c r="D513" s="8"/>
      <c r="E513" s="8"/>
      <c r="F513" s="8"/>
      <c r="G513" s="8"/>
      <c r="H513" s="192"/>
      <c r="I513" s="102">
        <f>SUM(K513+M513+O513)</f>
        <v>0</v>
      </c>
      <c r="J513" s="103" t="str">
        <f>"(15)"</f>
        <v>(15)</v>
      </c>
      <c r="K513" s="97">
        <f>'kuni 2025 detsember tegevuskava'!W88</f>
        <v>0</v>
      </c>
      <c r="L513" s="98" t="str">
        <f>"(15)"</f>
        <v>(15)</v>
      </c>
      <c r="M513" s="102">
        <f>'kuni 2025 detsember tegevuskava'!Z88</f>
        <v>0</v>
      </c>
      <c r="N513" s="103" t="str">
        <f>"(15)"</f>
        <v>(15)</v>
      </c>
      <c r="O513" s="97">
        <f>'kuni 2025 detsember tegevuskava'!AC88</f>
        <v>0</v>
      </c>
      <c r="P513" s="87" t="str">
        <f>"(15)"</f>
        <v>(15)</v>
      </c>
    </row>
    <row r="514" spans="2:16" ht="17.25" x14ac:dyDescent="0.25">
      <c r="B514" s="145"/>
      <c r="C514" s="8"/>
      <c r="D514" s="8"/>
      <c r="E514" s="8"/>
      <c r="F514" s="8"/>
      <c r="G514" s="8"/>
      <c r="H514" s="192"/>
      <c r="I514" s="102">
        <f>SUM(K514+M514+O514)</f>
        <v>0</v>
      </c>
      <c r="J514" s="103" t="str">
        <f>"(50)"</f>
        <v>(50)</v>
      </c>
      <c r="K514" s="97">
        <f>'kuni 2025 detsember tegevuskava'!X88</f>
        <v>0</v>
      </c>
      <c r="L514" s="98" t="str">
        <f>"(50)"</f>
        <v>(50)</v>
      </c>
      <c r="M514" s="102">
        <f>'kuni 2025 detsember tegevuskava'!AA88</f>
        <v>0</v>
      </c>
      <c r="N514" s="103" t="str">
        <f>"(50)"</f>
        <v>(50)</v>
      </c>
      <c r="O514" s="97">
        <f>'kuni 2025 detsember tegevuskava'!AD88</f>
        <v>0</v>
      </c>
      <c r="P514" s="87" t="str">
        <f>"(50)"</f>
        <v>(50)</v>
      </c>
    </row>
    <row r="515" spans="2:16" ht="17.25" x14ac:dyDescent="0.25">
      <c r="B515" s="145"/>
      <c r="C515" s="8"/>
      <c r="D515" s="8"/>
      <c r="E515" s="8"/>
      <c r="F515" s="8"/>
      <c r="G515" s="8"/>
      <c r="H515" s="192"/>
      <c r="I515" s="102">
        <f>SUM(K515+M515+O515)</f>
        <v>0</v>
      </c>
      <c r="J515" s="103" t="str">
        <f>"(55)"</f>
        <v>(55)</v>
      </c>
      <c r="K515" s="97">
        <f>'kuni 2025 detsember tegevuskava'!Y88</f>
        <v>0</v>
      </c>
      <c r="L515" s="98" t="str">
        <f>"(55)"</f>
        <v>(55)</v>
      </c>
      <c r="M515" s="102">
        <f>'kuni 2025 detsember tegevuskava'!AB88</f>
        <v>0</v>
      </c>
      <c r="N515" s="103" t="str">
        <f>"(55)"</f>
        <v>(55)</v>
      </c>
      <c r="O515" s="97">
        <f>'kuni 2025 detsember tegevuskava'!AE88</f>
        <v>0</v>
      </c>
      <c r="P515" s="87" t="str">
        <f>"(55)"</f>
        <v>(55)</v>
      </c>
    </row>
    <row r="516" spans="2:16" ht="17.25" x14ac:dyDescent="0.25">
      <c r="B516" s="145"/>
      <c r="C516" s="8"/>
      <c r="D516" s="8"/>
      <c r="E516" s="8"/>
      <c r="F516" s="8"/>
      <c r="G516" s="8"/>
      <c r="H516" s="192"/>
      <c r="I516" s="183" t="s">
        <v>298</v>
      </c>
      <c r="J516" s="195"/>
      <c r="K516" s="195"/>
      <c r="L516" s="195"/>
      <c r="M516" s="195"/>
      <c r="N516" s="195"/>
      <c r="O516" s="195"/>
      <c r="P516" s="196"/>
    </row>
    <row r="517" spans="2:16" ht="17.25" x14ac:dyDescent="0.25">
      <c r="B517" s="145"/>
      <c r="C517" s="8"/>
      <c r="D517" s="8"/>
      <c r="E517" s="8"/>
      <c r="F517" s="8"/>
      <c r="G517" s="8"/>
      <c r="H517" s="192"/>
      <c r="I517" s="179">
        <f>SUM(I518:I520)</f>
        <v>0</v>
      </c>
      <c r="J517" s="103"/>
      <c r="K517" s="172">
        <f>SUM(K518:K520)</f>
        <v>0</v>
      </c>
      <c r="L517" s="184"/>
      <c r="M517" s="179">
        <f>SUM(M518:M520)</f>
        <v>0</v>
      </c>
      <c r="N517" s="168"/>
      <c r="O517" s="179">
        <f>SUM(O518:O520)</f>
        <v>0</v>
      </c>
      <c r="P517" s="69"/>
    </row>
    <row r="518" spans="2:16" ht="17.25" x14ac:dyDescent="0.25">
      <c r="B518" s="145"/>
      <c r="C518" s="8"/>
      <c r="D518" s="8"/>
      <c r="E518" s="8"/>
      <c r="F518" s="8"/>
      <c r="G518" s="8"/>
      <c r="H518" s="192"/>
      <c r="I518" s="102">
        <f>SUM(K518+M518+O518)</f>
        <v>0</v>
      </c>
      <c r="J518" s="103" t="str">
        <f>"(15)"</f>
        <v>(15)</v>
      </c>
      <c r="K518" s="97">
        <f>SUM(K513*1.2)</f>
        <v>0</v>
      </c>
      <c r="L518" s="98" t="str">
        <f>"(15)"</f>
        <v>(15)</v>
      </c>
      <c r="M518" s="102">
        <f>SUM(M513*1.22)</f>
        <v>0</v>
      </c>
      <c r="N518" s="103" t="str">
        <f>"(15)"</f>
        <v>(15)</v>
      </c>
      <c r="O518" s="102">
        <f>SUM(O513*1.22)</f>
        <v>0</v>
      </c>
      <c r="P518" s="87" t="str">
        <f>"(15)"</f>
        <v>(15)</v>
      </c>
    </row>
    <row r="519" spans="2:16" ht="17.25" x14ac:dyDescent="0.25">
      <c r="B519" s="145"/>
      <c r="C519" s="8"/>
      <c r="D519" s="8"/>
      <c r="E519" s="8"/>
      <c r="F519" s="8"/>
      <c r="G519" s="8"/>
      <c r="H519" s="192"/>
      <c r="I519" s="102">
        <f>SUM(K519+M519+O519)</f>
        <v>0</v>
      </c>
      <c r="J519" s="103" t="str">
        <f>"(50)"</f>
        <v>(50)</v>
      </c>
      <c r="K519" s="97">
        <f>K514</f>
        <v>0</v>
      </c>
      <c r="L519" s="98" t="str">
        <f>"(50)"</f>
        <v>(50)</v>
      </c>
      <c r="M519" s="102">
        <f>M514</f>
        <v>0</v>
      </c>
      <c r="N519" s="103" t="str">
        <f>"(50)"</f>
        <v>(50)</v>
      </c>
      <c r="O519" s="102">
        <f>O514</f>
        <v>0</v>
      </c>
      <c r="P519" s="87" t="str">
        <f>"(50)"</f>
        <v>(50)</v>
      </c>
    </row>
    <row r="520" spans="2:16" ht="18" thickBot="1" x14ac:dyDescent="0.3">
      <c r="B520" s="160"/>
      <c r="C520" s="161"/>
      <c r="D520" s="161"/>
      <c r="E520" s="161"/>
      <c r="F520" s="161"/>
      <c r="G520" s="161"/>
      <c r="H520" s="193"/>
      <c r="I520" s="130">
        <f>SUM(K520+M520+O520)</f>
        <v>0</v>
      </c>
      <c r="J520" s="131" t="str">
        <f>"(55)"</f>
        <v>(55)</v>
      </c>
      <c r="K520" s="93">
        <f>SUM(K515*1.2)</f>
        <v>0</v>
      </c>
      <c r="L520" s="94" t="str">
        <f>"(55)"</f>
        <v>(55)</v>
      </c>
      <c r="M520" s="130">
        <f>SUM(M515*1.22)</f>
        <v>0</v>
      </c>
      <c r="N520" s="131" t="str">
        <f>"(55)"</f>
        <v>(55)</v>
      </c>
      <c r="O520" s="130">
        <f>SUM(O515*1.22)</f>
        <v>0</v>
      </c>
      <c r="P520" s="96" t="str">
        <f>"(55)"</f>
        <v>(55)</v>
      </c>
    </row>
    <row r="521" spans="2:16" ht="17.25" x14ac:dyDescent="0.25">
      <c r="B521" s="187" t="str">
        <f>'kuni 2025 detsember tegevuskava'!A89&amp;"/"&amp;'kuni 2025 detsember tegevuskava'!C89</f>
        <v>Regionaal- ja Põllumajandusministeerium/UUS</v>
      </c>
      <c r="C521" s="156" t="str">
        <f>'kuni 2025 detsember tegevuskava'!I89</f>
        <v xml:space="preserve">Reaalajamajanduse  eesmärgiks on toetada „Reaalajamajanduse visioon 2020–2027“ alameesmärgi „Andmepõhisele aruandlusele üleminek, sh eelistatult XBRL GL standardi kasutamine“ saavutamist aastaks 2025. </v>
      </c>
      <c r="D521" s="156" t="str">
        <f>'kuni 2025 detsember tegevuskava'!J89</f>
        <v>reaalajamajanduse projekt</v>
      </c>
      <c r="E521" s="156" t="str">
        <f>'kuni 2025 detsember tegevuskava'!K89</f>
        <v>Oodatavad tulemid 2024.a (koostöökokkuleppe alusel):
1. On loodud kaardistus ja tulevikuvaade valdkonna andmete esitamisest, vastuvõtmisest, töötlemisest, hoiustamisest ja vahetamisest, pidades silmas kulutõhusust ettevõtjate ja asutuste vaates.
2. Värvatud on andmete standardiseerimise ekspert (d)/projektijuht, on loodud standardiseeritud andmekoosseisud, mis on sisendiks punktidele 3 ja 4.
3. Tehtud on liidesarendused tootjate farmitarkvaradega arvestades uusi loodavaid standardiseeritud andmekoosseise (konkreetne töö tulem ja arendusmaht selgub teostatava analüüsi tulemusest).
4. On valminud analüüs leidmaks võimalused, kuidas jõuavad andmed põllumajandusmasinate tarkvaradest otse eratarkvaradesse ja loodavasse kesksesse e-põlluraamatusse. Parimaid lahendusi on testitud (prototüüp vms lahendus).</v>
      </c>
      <c r="F521" s="156" t="str">
        <f>'kuni 2025 detsember tegevuskava'!O89&amp;"/"</f>
        <v>Muu rahastus/</v>
      </c>
      <c r="G521" s="156" cm="1">
        <f t="array" ref="G521">_xlfn.IFS('kuni 2025 detsember tegevuskava'!G89='kuni 2025 detsember tegevuskava'!$G$97,1,'kuni 2025 detsember tegevuskava'!G89='kuni 2025 detsember tegevuskava'!$G$98,2,'kuni 2025 detsember tegevuskava'!G89='kuni 2025 detsember tegevuskava'!$G$99,3,'kuni 2025 detsember tegevuskava'!G89='kuni 2025 detsember tegevuskava'!$G$100,4)</f>
        <v>1</v>
      </c>
      <c r="H521" s="194" cm="1">
        <f t="array" ref="H521">_xlfn.IFS(OR('kuni 2025 detsember tegevuskava'!O89='kuni 2025 detsember tegevuskava'!$O$97,'kuni 2025 detsember tegevuskava'!O89='kuni 2025 detsember tegevuskava'!$O$99,'kuni 2025 detsember tegevuskava'!O89='kuni 2025 detsember tegevuskava'!$O$100,'kuni 2025 detsember tegevuskava'!O89='kuni 2025 detsember tegevuskava'!$O$101),1,'kuni 2025 detsember tegevuskava'!O89='kuni 2025 detsember tegevuskava'!$O$102,2,'kuni 2025 detsember tegevuskava'!O89='kuni 2025 detsember tegevuskava'!$O$103,2,'kuni 2025 detsember tegevuskava'!O89='kuni 2025 detsember tegevuskava'!$O$98,3)</f>
        <v>3</v>
      </c>
      <c r="I521" s="132">
        <f>SUM(I522:I524)</f>
        <v>2782997.9400000004</v>
      </c>
      <c r="J521" s="133"/>
      <c r="K521" s="81">
        <f>SUM(K522:K524)</f>
        <v>222623.08000000002</v>
      </c>
      <c r="L521" s="83"/>
      <c r="M521" s="132">
        <f>SUM(M522:M524)</f>
        <v>1905550.86</v>
      </c>
      <c r="N521" s="133"/>
      <c r="O521" s="81">
        <f>SUM(O522:O524)</f>
        <v>654824</v>
      </c>
      <c r="P521" s="85"/>
    </row>
    <row r="522" spans="2:16" ht="17.25" x14ac:dyDescent="0.25">
      <c r="B522" s="145"/>
      <c r="C522" s="8"/>
      <c r="D522" s="8"/>
      <c r="E522" s="8"/>
      <c r="F522" s="8"/>
      <c r="G522" s="8"/>
      <c r="H522" s="192"/>
      <c r="I522" s="102">
        <f>SUM(K522+M522+O522)</f>
        <v>1345436.24</v>
      </c>
      <c r="J522" s="103" t="str">
        <f>"(15)"</f>
        <v>(15)</v>
      </c>
      <c r="K522" s="97">
        <f>'kuni 2025 detsember tegevuskava'!W89</f>
        <v>50171.64</v>
      </c>
      <c r="L522" s="98" t="str">
        <f>"(15)"</f>
        <v>(15)</v>
      </c>
      <c r="M522" s="102">
        <f>'kuni 2025 detsember tegevuskava'!Z89</f>
        <v>1032764.6</v>
      </c>
      <c r="N522" s="103" t="str">
        <f>"(15)"</f>
        <v>(15)</v>
      </c>
      <c r="O522" s="97">
        <f>'kuni 2025 detsember tegevuskava'!AC89</f>
        <v>262500</v>
      </c>
      <c r="P522" s="87" t="str">
        <f>"(15)"</f>
        <v>(15)</v>
      </c>
    </row>
    <row r="523" spans="2:16" ht="17.25" x14ac:dyDescent="0.25">
      <c r="B523" s="145"/>
      <c r="C523" s="8"/>
      <c r="D523" s="8"/>
      <c r="E523" s="8"/>
      <c r="F523" s="8"/>
      <c r="G523" s="8"/>
      <c r="H523" s="192"/>
      <c r="I523" s="102">
        <f>SUM(K523+M523+O523)</f>
        <v>953174</v>
      </c>
      <c r="J523" s="103" t="str">
        <f>"(50)"</f>
        <v>(50)</v>
      </c>
      <c r="K523" s="97">
        <f>'kuni 2025 detsember tegevuskava'!X89</f>
        <v>168525.82</v>
      </c>
      <c r="L523" s="98" t="str">
        <f>"(50)"</f>
        <v>(50)</v>
      </c>
      <c r="M523" s="102">
        <f>'kuni 2025 detsember tegevuskava'!AA89</f>
        <v>392324.18</v>
      </c>
      <c r="N523" s="103" t="str">
        <f>"(50)"</f>
        <v>(50)</v>
      </c>
      <c r="O523" s="97">
        <f>'kuni 2025 detsember tegevuskava'!AD89</f>
        <v>392324</v>
      </c>
      <c r="P523" s="87" t="str">
        <f>"(50)"</f>
        <v>(50)</v>
      </c>
    </row>
    <row r="524" spans="2:16" ht="17.25" x14ac:dyDescent="0.25">
      <c r="B524" s="145"/>
      <c r="C524" s="8"/>
      <c r="D524" s="8"/>
      <c r="E524" s="8"/>
      <c r="F524" s="8"/>
      <c r="G524" s="8"/>
      <c r="H524" s="192"/>
      <c r="I524" s="102">
        <f>SUM(K524+M524+O524)</f>
        <v>484387.7</v>
      </c>
      <c r="J524" s="103" t="str">
        <f>"(55)"</f>
        <v>(55)</v>
      </c>
      <c r="K524" s="97">
        <f>'kuni 2025 detsember tegevuskava'!Y89</f>
        <v>3925.62</v>
      </c>
      <c r="L524" s="98" t="str">
        <f>"(55)"</f>
        <v>(55)</v>
      </c>
      <c r="M524" s="102">
        <f>'kuni 2025 detsember tegevuskava'!AB89</f>
        <v>480462.08000000002</v>
      </c>
      <c r="N524" s="103" t="str">
        <f>"(55)"</f>
        <v>(55)</v>
      </c>
      <c r="O524" s="97">
        <f>'kuni 2025 detsember tegevuskava'!AE89</f>
        <v>0</v>
      </c>
      <c r="P524" s="87" t="str">
        <f>"(55)"</f>
        <v>(55)</v>
      </c>
    </row>
    <row r="525" spans="2:16" ht="17.25" x14ac:dyDescent="0.25">
      <c r="B525" s="145"/>
      <c r="C525" s="8"/>
      <c r="D525" s="8"/>
      <c r="E525" s="8"/>
      <c r="F525" s="8"/>
      <c r="G525" s="8"/>
      <c r="H525" s="192"/>
      <c r="I525" s="183" t="s">
        <v>298</v>
      </c>
      <c r="J525" s="195"/>
      <c r="K525" s="195"/>
      <c r="L525" s="195"/>
      <c r="M525" s="195"/>
      <c r="N525" s="195"/>
      <c r="O525" s="195"/>
      <c r="P525" s="196"/>
    </row>
    <row r="526" spans="2:16" ht="17.25" x14ac:dyDescent="0.25">
      <c r="B526" s="145"/>
      <c r="C526" s="8"/>
      <c r="D526" s="8"/>
      <c r="E526" s="8"/>
      <c r="F526" s="8"/>
      <c r="G526" s="8"/>
      <c r="H526" s="192"/>
      <c r="I526" s="179">
        <f>SUM(I527:I529)</f>
        <v>3184477.2615999999</v>
      </c>
      <c r="J526" s="103"/>
      <c r="K526" s="172">
        <f>SUM(K527:K529)</f>
        <v>233442.53200000001</v>
      </c>
      <c r="L526" s="184"/>
      <c r="M526" s="179">
        <f>SUM(M527:M529)</f>
        <v>2238460.7295999997</v>
      </c>
      <c r="N526" s="168"/>
      <c r="O526" s="179">
        <f>SUM(O527:O529)</f>
        <v>712574</v>
      </c>
      <c r="P526" s="69"/>
    </row>
    <row r="527" spans="2:16" ht="17.25" x14ac:dyDescent="0.25">
      <c r="B527" s="145"/>
      <c r="C527" s="8"/>
      <c r="D527" s="8"/>
      <c r="E527" s="8"/>
      <c r="F527" s="8"/>
      <c r="G527" s="8"/>
      <c r="H527" s="192"/>
      <c r="I527" s="102">
        <f>SUM(K527+M527+O527)</f>
        <v>1640428.7799999998</v>
      </c>
      <c r="J527" s="103" t="str">
        <f>"(15)"</f>
        <v>(15)</v>
      </c>
      <c r="K527" s="97">
        <f>SUM(K522*1.2)</f>
        <v>60205.967999999993</v>
      </c>
      <c r="L527" s="98" t="str">
        <f>"(15)"</f>
        <v>(15)</v>
      </c>
      <c r="M527" s="102">
        <f>SUM(M522*1.22)</f>
        <v>1259972.8119999999</v>
      </c>
      <c r="N527" s="103" t="str">
        <f>"(15)"</f>
        <v>(15)</v>
      </c>
      <c r="O527" s="102">
        <f>SUM(O522*1.22)</f>
        <v>320250</v>
      </c>
      <c r="P527" s="87" t="str">
        <f>"(15)"</f>
        <v>(15)</v>
      </c>
    </row>
    <row r="528" spans="2:16" ht="17.25" x14ac:dyDescent="0.25">
      <c r="B528" s="145"/>
      <c r="C528" s="8"/>
      <c r="D528" s="8"/>
      <c r="E528" s="8"/>
      <c r="F528" s="8"/>
      <c r="G528" s="8"/>
      <c r="H528" s="192"/>
      <c r="I528" s="102">
        <f>SUM(K528+M528+O528)</f>
        <v>953174</v>
      </c>
      <c r="J528" s="103" t="str">
        <f>"(50)"</f>
        <v>(50)</v>
      </c>
      <c r="K528" s="97">
        <f>K523</f>
        <v>168525.82</v>
      </c>
      <c r="L528" s="98" t="str">
        <f>"(50)"</f>
        <v>(50)</v>
      </c>
      <c r="M528" s="102">
        <f>M523</f>
        <v>392324.18</v>
      </c>
      <c r="N528" s="103" t="str">
        <f>"(50)"</f>
        <v>(50)</v>
      </c>
      <c r="O528" s="102">
        <f>O523</f>
        <v>392324</v>
      </c>
      <c r="P528" s="87" t="str">
        <f>"(50)"</f>
        <v>(50)</v>
      </c>
    </row>
    <row r="529" spans="2:16" ht="18" thickBot="1" x14ac:dyDescent="0.3">
      <c r="B529" s="160"/>
      <c r="C529" s="161"/>
      <c r="D529" s="161"/>
      <c r="E529" s="161"/>
      <c r="F529" s="161"/>
      <c r="G529" s="161"/>
      <c r="H529" s="193"/>
      <c r="I529" s="130">
        <f>SUM(K529+M529+O529)</f>
        <v>590874.48159999994</v>
      </c>
      <c r="J529" s="131" t="str">
        <f>"(55)"</f>
        <v>(55)</v>
      </c>
      <c r="K529" s="93">
        <f>SUM(K524*1.2)</f>
        <v>4710.7439999999997</v>
      </c>
      <c r="L529" s="94" t="str">
        <f>"(55)"</f>
        <v>(55)</v>
      </c>
      <c r="M529" s="130">
        <f>SUM(M524*1.22)</f>
        <v>586163.73759999999</v>
      </c>
      <c r="N529" s="131" t="str">
        <f>"(55)"</f>
        <v>(55)</v>
      </c>
      <c r="O529" s="130">
        <f>SUM(O524*1.22)</f>
        <v>0</v>
      </c>
      <c r="P529" s="96" t="str">
        <f>"(55)"</f>
        <v>(55)</v>
      </c>
    </row>
    <row r="530" spans="2:16" ht="14.1" customHeight="1" x14ac:dyDescent="0.25">
      <c r="B530" s="187" t="str">
        <f>'kuni 2025 detsember tegevuskava'!A90&amp;"/"&amp;'kuni 2025 detsember tegevuskava'!C90</f>
        <v>Regionaal- ja Põllumajandusministeerium/UUS</v>
      </c>
      <c r="C530" s="156" t="str">
        <f>'kuni 2025 detsember tegevuskava'!I90</f>
        <v>ePõlluraamatu kasutajale lisa-teadmusteenuste pakkumine</v>
      </c>
      <c r="D530" s="156" t="str">
        <f>'kuni 2025 detsember tegevuskava'!J90</f>
        <v>Suurandmete projekt</v>
      </c>
      <c r="E530" s="156" t="str">
        <f>'kuni 2025 detsember tegevuskava'!K90</f>
        <v xml:space="preserve">Personaliseeritud teenuste loomine: väetussoovituste kalkulaator, lupjamisoovituskalkulaatir, NPK bilansi kalkulaator, huumusbilansi kalkulaator, karjatervise teadmusteenus, integreeritud taimekaiste teenus. </v>
      </c>
      <c r="F530" s="156" t="str">
        <f>'kuni 2025 detsember tegevuskava'!O90&amp;"/"</f>
        <v>Muu rahastus/</v>
      </c>
      <c r="G530" s="156" cm="1">
        <f t="array" ref="G530">_xlfn.IFS('kuni 2025 detsember tegevuskava'!G90='kuni 2025 detsember tegevuskava'!$G$97,1,'kuni 2025 detsember tegevuskava'!G90='kuni 2025 detsember tegevuskava'!$G$98,2,'kuni 2025 detsember tegevuskava'!G90='kuni 2025 detsember tegevuskava'!$G$99,3,'kuni 2025 detsember tegevuskava'!G90='kuni 2025 detsember tegevuskava'!$G$100,4)</f>
        <v>1</v>
      </c>
      <c r="H530" s="194" cm="1">
        <f t="array" ref="H530">_xlfn.IFS(OR('kuni 2025 detsember tegevuskava'!O90='kuni 2025 detsember tegevuskava'!$O$97,'kuni 2025 detsember tegevuskava'!O90='kuni 2025 detsember tegevuskava'!$O$99,'kuni 2025 detsember tegevuskava'!O90='kuni 2025 detsember tegevuskava'!$O$100,'kuni 2025 detsember tegevuskava'!O90='kuni 2025 detsember tegevuskava'!$O$101),1,'kuni 2025 detsember tegevuskava'!O90='kuni 2025 detsember tegevuskava'!$O$102,2,'kuni 2025 detsember tegevuskava'!O90='kuni 2025 detsember tegevuskava'!$O$103,2,'kuni 2025 detsember tegevuskava'!O90='kuni 2025 detsember tegevuskava'!$O$98,3)</f>
        <v>3</v>
      </c>
      <c r="I530" s="132">
        <f>SUM(I531:I533)</f>
        <v>756411.98</v>
      </c>
      <c r="J530" s="133"/>
      <c r="K530" s="81">
        <f>SUM(K531:K533)</f>
        <v>316159.32999999996</v>
      </c>
      <c r="L530" s="83"/>
      <c r="M530" s="132">
        <f>SUM(M531:M533)</f>
        <v>440252.65</v>
      </c>
      <c r="N530" s="133"/>
      <c r="O530" s="81">
        <f>SUM(O531:O533)</f>
        <v>0</v>
      </c>
      <c r="P530" s="85"/>
    </row>
    <row r="531" spans="2:16" ht="14.1" customHeight="1" x14ac:dyDescent="0.25">
      <c r="B531" s="145"/>
      <c r="C531" s="8"/>
      <c r="D531" s="8"/>
      <c r="E531" s="8"/>
      <c r="F531" s="8"/>
      <c r="G531" s="8"/>
      <c r="H531" s="192"/>
      <c r="I531" s="102">
        <f>SUM(K531+M531+O531)</f>
        <v>445740.16000000003</v>
      </c>
      <c r="J531" s="103" t="str">
        <f>"(15)"</f>
        <v>(15)</v>
      </c>
      <c r="K531" s="97">
        <f>'kuni 2025 detsember tegevuskava'!W90</f>
        <v>221898.77</v>
      </c>
      <c r="L531" s="98" t="str">
        <f>"(15)"</f>
        <v>(15)</v>
      </c>
      <c r="M531" s="102">
        <f>'kuni 2025 detsember tegevuskava'!Z90</f>
        <v>223841.39</v>
      </c>
      <c r="N531" s="103" t="str">
        <f>"(15)"</f>
        <v>(15)</v>
      </c>
      <c r="O531" s="97">
        <f>'kuni 2025 detsember tegevuskava'!AC90</f>
        <v>0</v>
      </c>
      <c r="P531" s="87" t="str">
        <f>"(15)"</f>
        <v>(15)</v>
      </c>
    </row>
    <row r="532" spans="2:16" ht="14.1" customHeight="1" x14ac:dyDescent="0.25">
      <c r="B532" s="145"/>
      <c r="C532" s="8"/>
      <c r="D532" s="8"/>
      <c r="E532" s="8"/>
      <c r="F532" s="8"/>
      <c r="G532" s="8"/>
      <c r="H532" s="192"/>
      <c r="I532" s="102">
        <f>SUM(K532+M532+O532)</f>
        <v>268669.82</v>
      </c>
      <c r="J532" s="103" t="str">
        <f>"(50)"</f>
        <v>(50)</v>
      </c>
      <c r="K532" s="97">
        <f>'kuni 2025 detsember tegevuskava'!X90</f>
        <v>93120.56</v>
      </c>
      <c r="L532" s="98" t="str">
        <f>"(50)"</f>
        <v>(50)</v>
      </c>
      <c r="M532" s="102">
        <f>'kuni 2025 detsember tegevuskava'!AA90</f>
        <v>175549.26</v>
      </c>
      <c r="N532" s="103" t="str">
        <f>"(50)"</f>
        <v>(50)</v>
      </c>
      <c r="O532" s="97">
        <f>'kuni 2025 detsember tegevuskava'!AD90</f>
        <v>0</v>
      </c>
      <c r="P532" s="87" t="str">
        <f>"(50)"</f>
        <v>(50)</v>
      </c>
    </row>
    <row r="533" spans="2:16" ht="14.1" customHeight="1" x14ac:dyDescent="0.25">
      <c r="B533" s="145"/>
      <c r="C533" s="8"/>
      <c r="D533" s="8"/>
      <c r="E533" s="8"/>
      <c r="F533" s="8"/>
      <c r="G533" s="8"/>
      <c r="H533" s="192"/>
      <c r="I533" s="102">
        <f>SUM(K533+M533+O533)</f>
        <v>42002</v>
      </c>
      <c r="J533" s="103" t="str">
        <f>"(55)"</f>
        <v>(55)</v>
      </c>
      <c r="K533" s="97">
        <f>'kuni 2025 detsember tegevuskava'!Y90</f>
        <v>1140</v>
      </c>
      <c r="L533" s="98" t="str">
        <f>"(55)"</f>
        <v>(55)</v>
      </c>
      <c r="M533" s="102">
        <f>'kuni 2025 detsember tegevuskava'!AB90</f>
        <v>40862</v>
      </c>
      <c r="N533" s="103" t="str">
        <f>"(55)"</f>
        <v>(55)</v>
      </c>
      <c r="O533" s="97">
        <f>'kuni 2025 detsember tegevuskava'!AE90</f>
        <v>0</v>
      </c>
      <c r="P533" s="87" t="str">
        <f>"(55)"</f>
        <v>(55)</v>
      </c>
    </row>
    <row r="534" spans="2:16" ht="14.1" customHeight="1" x14ac:dyDescent="0.25">
      <c r="B534" s="145"/>
      <c r="C534" s="8"/>
      <c r="D534" s="8"/>
      <c r="E534" s="8"/>
      <c r="F534" s="8"/>
      <c r="G534" s="8"/>
      <c r="H534" s="192"/>
      <c r="I534" s="183" t="s">
        <v>298</v>
      </c>
      <c r="J534" s="195"/>
      <c r="K534" s="195"/>
      <c r="L534" s="195"/>
      <c r="M534" s="195"/>
      <c r="N534" s="195"/>
      <c r="O534" s="195"/>
      <c r="P534" s="196"/>
    </row>
    <row r="535" spans="2:16" ht="14.1" customHeight="1" x14ac:dyDescent="0.25">
      <c r="B535" s="145"/>
      <c r="C535" s="8"/>
      <c r="D535" s="8"/>
      <c r="E535" s="8"/>
      <c r="F535" s="8"/>
      <c r="G535" s="8"/>
      <c r="H535" s="192"/>
      <c r="I535" s="179">
        <f>SUM(I536:I538)</f>
        <v>859254.47979999997</v>
      </c>
      <c r="J535" s="103"/>
      <c r="K535" s="172">
        <f>SUM(K536:K538)</f>
        <v>360767.08399999997</v>
      </c>
      <c r="L535" s="184"/>
      <c r="M535" s="179">
        <f>SUM(M536:M538)</f>
        <v>498487.39580000006</v>
      </c>
      <c r="N535" s="168"/>
      <c r="O535" s="179">
        <f>SUM(O536:O538)</f>
        <v>0</v>
      </c>
      <c r="P535" s="69"/>
    </row>
    <row r="536" spans="2:16" ht="14.1" customHeight="1" x14ac:dyDescent="0.25">
      <c r="B536" s="145"/>
      <c r="C536" s="8"/>
      <c r="D536" s="8"/>
      <c r="E536" s="8"/>
      <c r="F536" s="8"/>
      <c r="G536" s="8"/>
      <c r="H536" s="192"/>
      <c r="I536" s="102">
        <f>SUM(K536+M536+O536)</f>
        <v>539365.01980000001</v>
      </c>
      <c r="J536" s="103" t="str">
        <f>"(15)"</f>
        <v>(15)</v>
      </c>
      <c r="K536" s="97">
        <f>SUM(K531*1.2)</f>
        <v>266278.52399999998</v>
      </c>
      <c r="L536" s="98" t="str">
        <f>"(15)"</f>
        <v>(15)</v>
      </c>
      <c r="M536" s="102">
        <f>SUM(M531*1.22)</f>
        <v>273086.49580000003</v>
      </c>
      <c r="N536" s="103" t="str">
        <f>"(15)"</f>
        <v>(15)</v>
      </c>
      <c r="O536" s="102">
        <f>SUM(O531*1.22)</f>
        <v>0</v>
      </c>
      <c r="P536" s="87" t="str">
        <f>"(15)"</f>
        <v>(15)</v>
      </c>
    </row>
    <row r="537" spans="2:16" ht="14.1" customHeight="1" x14ac:dyDescent="0.25">
      <c r="B537" s="145"/>
      <c r="C537" s="8"/>
      <c r="D537" s="8"/>
      <c r="E537" s="8"/>
      <c r="F537" s="8"/>
      <c r="G537" s="8"/>
      <c r="H537" s="192"/>
      <c r="I537" s="102">
        <f>SUM(K537+M537+O537)</f>
        <v>268669.82</v>
      </c>
      <c r="J537" s="103" t="str">
        <f>"(50)"</f>
        <v>(50)</v>
      </c>
      <c r="K537" s="97">
        <f>K532</f>
        <v>93120.56</v>
      </c>
      <c r="L537" s="98" t="str">
        <f>"(50)"</f>
        <v>(50)</v>
      </c>
      <c r="M537" s="102">
        <f>M532</f>
        <v>175549.26</v>
      </c>
      <c r="N537" s="103" t="str">
        <f>"(50)"</f>
        <v>(50)</v>
      </c>
      <c r="O537" s="102">
        <f>O532</f>
        <v>0</v>
      </c>
      <c r="P537" s="87" t="str">
        <f>"(50)"</f>
        <v>(50)</v>
      </c>
    </row>
    <row r="538" spans="2:16" ht="14.1" customHeight="1" thickBot="1" x14ac:dyDescent="0.3">
      <c r="B538" s="160"/>
      <c r="C538" s="161"/>
      <c r="D538" s="161"/>
      <c r="E538" s="161"/>
      <c r="F538" s="161"/>
      <c r="G538" s="161"/>
      <c r="H538" s="193"/>
      <c r="I538" s="130">
        <f>SUM(K538+M538+O538)</f>
        <v>51219.64</v>
      </c>
      <c r="J538" s="131" t="str">
        <f>"(55)"</f>
        <v>(55)</v>
      </c>
      <c r="K538" s="93">
        <f>SUM(K533*1.2)</f>
        <v>1368</v>
      </c>
      <c r="L538" s="94" t="str">
        <f>"(55)"</f>
        <v>(55)</v>
      </c>
      <c r="M538" s="130">
        <f>SUM(M533*1.22)</f>
        <v>49851.64</v>
      </c>
      <c r="N538" s="131" t="str">
        <f>"(55)"</f>
        <v>(55)</v>
      </c>
      <c r="O538" s="130">
        <f>SUM(O533*1.22)</f>
        <v>0</v>
      </c>
      <c r="P538" s="96" t="str">
        <f>"(55)"</f>
        <v>(55)</v>
      </c>
    </row>
    <row r="539" spans="2:16" ht="17.25" x14ac:dyDescent="0.25">
      <c r="B539" s="187" t="str">
        <f>'kuni 2025 detsember tegevuskava'!A91&amp;"/"&amp;'kuni 2025 detsember tegevuskava'!C91</f>
        <v>Regionaal- ja Põllumajandusministeerium/UUS</v>
      </c>
      <c r="C539" s="156" t="str">
        <f>'kuni 2025 detsember tegevuskava'!I91</f>
        <v xml:space="preserve">MKM eesti.ee projekti raames arendatakse välja erinevad e-teenused, mida kuvatakse eesti.ee keskkonnas. </v>
      </c>
      <c r="D539" s="156" t="str">
        <f>'kuni 2025 detsember tegevuskava'!J91</f>
        <v>MKM eesti.ee teenuste arendamine</v>
      </c>
      <c r="E539" s="156" t="str">
        <f>'kuni 2025 detsember tegevuskava'!K91</f>
        <v>2023.aastal arendati finantseerimisteenus, 2024.-2025.aastal pääsuõiguste teenus, tegevusload, tähtajalised kohutused, majandustegevusteated, varade teenus.</v>
      </c>
      <c r="F539" s="156" t="str">
        <f>'kuni 2025 detsember tegevuskava'!O91&amp;"/"</f>
        <v>Muu rahastus/</v>
      </c>
      <c r="G539" s="156" cm="1">
        <f t="array" ref="G539">_xlfn.IFS('kuni 2025 detsember tegevuskava'!G91='kuni 2025 detsember tegevuskava'!$G$97,1,'kuni 2025 detsember tegevuskava'!G91='kuni 2025 detsember tegevuskava'!$G$98,2,'kuni 2025 detsember tegevuskava'!G91='kuni 2025 detsember tegevuskava'!$G$99,3,'kuni 2025 detsember tegevuskava'!G91='kuni 2025 detsember tegevuskava'!$G$100,4)</f>
        <v>1</v>
      </c>
      <c r="H539" s="194" cm="1">
        <f t="array" ref="H539">_xlfn.IFS(OR('kuni 2025 detsember tegevuskava'!O91='kuni 2025 detsember tegevuskava'!$O$97,'kuni 2025 detsember tegevuskava'!O91='kuni 2025 detsember tegevuskava'!$O$99,'kuni 2025 detsember tegevuskava'!O91='kuni 2025 detsember tegevuskava'!$O$100,'kuni 2025 detsember tegevuskava'!O91='kuni 2025 detsember tegevuskava'!$O$101),1,'kuni 2025 detsember tegevuskava'!O91='kuni 2025 detsember tegevuskava'!$O$102,2,'kuni 2025 detsember tegevuskava'!O91='kuni 2025 detsember tegevuskava'!$O$103,2,'kuni 2025 detsember tegevuskava'!O91='kuni 2025 detsember tegevuskava'!$O$98,3)</f>
        <v>3</v>
      </c>
      <c r="I539" s="132">
        <f>SUM(I540:I542)</f>
        <v>1632830.67</v>
      </c>
      <c r="J539" s="133"/>
      <c r="K539" s="81">
        <f>SUM(K540:K542)</f>
        <v>208108.11</v>
      </c>
      <c r="L539" s="83"/>
      <c r="M539" s="132">
        <f>SUM(M540:M542)</f>
        <v>712361.28</v>
      </c>
      <c r="N539" s="133"/>
      <c r="O539" s="81">
        <f>SUM(O540:O542)</f>
        <v>712361.28</v>
      </c>
      <c r="P539" s="85"/>
    </row>
    <row r="540" spans="2:16" ht="17.25" x14ac:dyDescent="0.25">
      <c r="B540" s="145"/>
      <c r="C540" s="8"/>
      <c r="D540" s="8"/>
      <c r="E540" s="8"/>
      <c r="F540" s="8"/>
      <c r="G540" s="8"/>
      <c r="H540" s="192"/>
      <c r="I540" s="102">
        <f>SUM(K540+M540+O540)</f>
        <v>1007471.8400000001</v>
      </c>
      <c r="J540" s="103" t="str">
        <f>"(15)"</f>
        <v>(15)</v>
      </c>
      <c r="K540" s="97">
        <f>'kuni 2025 detsember tegevuskava'!W91</f>
        <v>157463.67999999999</v>
      </c>
      <c r="L540" s="98" t="str">
        <f>"(15)"</f>
        <v>(15)</v>
      </c>
      <c r="M540" s="102">
        <f>'kuni 2025 detsember tegevuskava'!Z91</f>
        <v>425004.08</v>
      </c>
      <c r="N540" s="103" t="str">
        <f>"(15)"</f>
        <v>(15)</v>
      </c>
      <c r="O540" s="97">
        <f>'kuni 2025 detsember tegevuskava'!AC91</f>
        <v>425004.08</v>
      </c>
      <c r="P540" s="87" t="str">
        <f>"(15)"</f>
        <v>(15)</v>
      </c>
    </row>
    <row r="541" spans="2:16" ht="17.25" x14ac:dyDescent="0.25">
      <c r="B541" s="145"/>
      <c r="C541" s="8"/>
      <c r="D541" s="8"/>
      <c r="E541" s="8"/>
      <c r="F541" s="8"/>
      <c r="G541" s="8"/>
      <c r="H541" s="192"/>
      <c r="I541" s="102">
        <f>SUM(K541+M541+O541)</f>
        <v>592136.19999999995</v>
      </c>
      <c r="J541" s="103" t="str">
        <f>"(50)"</f>
        <v>(50)</v>
      </c>
      <c r="K541" s="97">
        <f>'kuni 2025 detsember tegevuskava'!X91</f>
        <v>47921.8</v>
      </c>
      <c r="L541" s="98" t="str">
        <f>"(50)"</f>
        <v>(50)</v>
      </c>
      <c r="M541" s="102">
        <f>'kuni 2025 detsember tegevuskava'!AA91</f>
        <v>272107.2</v>
      </c>
      <c r="N541" s="103" t="str">
        <f>"(50)"</f>
        <v>(50)</v>
      </c>
      <c r="O541" s="97">
        <f>'kuni 2025 detsember tegevuskava'!AD91</f>
        <v>272107.2</v>
      </c>
      <c r="P541" s="87" t="str">
        <f>"(50)"</f>
        <v>(50)</v>
      </c>
    </row>
    <row r="542" spans="2:16" ht="17.25" x14ac:dyDescent="0.25">
      <c r="B542" s="145"/>
      <c r="C542" s="8"/>
      <c r="D542" s="8"/>
      <c r="E542" s="8"/>
      <c r="F542" s="8"/>
      <c r="G542" s="8"/>
      <c r="H542" s="192"/>
      <c r="I542" s="102">
        <f>SUM(K542+M542+O542)</f>
        <v>33222.630000000005</v>
      </c>
      <c r="J542" s="103" t="str">
        <f>"(55)"</f>
        <v>(55)</v>
      </c>
      <c r="K542" s="97">
        <f>'kuni 2025 detsember tegevuskava'!Y91</f>
        <v>2722.63</v>
      </c>
      <c r="L542" s="98" t="str">
        <f>"(55)"</f>
        <v>(55)</v>
      </c>
      <c r="M542" s="102">
        <f>'kuni 2025 detsember tegevuskava'!AB91</f>
        <v>15250</v>
      </c>
      <c r="N542" s="103" t="str">
        <f>"(55)"</f>
        <v>(55)</v>
      </c>
      <c r="O542" s="97">
        <f>'kuni 2025 detsember tegevuskava'!AE91</f>
        <v>15250</v>
      </c>
      <c r="P542" s="87" t="str">
        <f>"(55)"</f>
        <v>(55)</v>
      </c>
    </row>
    <row r="543" spans="2:16" ht="17.25" x14ac:dyDescent="0.25">
      <c r="B543" s="145"/>
      <c r="C543" s="8"/>
      <c r="D543" s="8"/>
      <c r="E543" s="8"/>
      <c r="F543" s="8"/>
      <c r="G543" s="8"/>
      <c r="H543" s="192"/>
      <c r="I543" s="183" t="s">
        <v>298</v>
      </c>
      <c r="J543" s="195"/>
      <c r="K543" s="195"/>
      <c r="L543" s="195"/>
      <c r="M543" s="195"/>
      <c r="N543" s="195"/>
      <c r="O543" s="195"/>
      <c r="P543" s="196"/>
    </row>
    <row r="544" spans="2:16" ht="17.25" x14ac:dyDescent="0.25">
      <c r="B544" s="145"/>
      <c r="C544" s="8"/>
      <c r="D544" s="8"/>
      <c r="E544" s="8"/>
      <c r="F544" s="8"/>
      <c r="G544" s="8"/>
      <c r="H544" s="192"/>
      <c r="I544" s="179">
        <f>SUM(I545:I547)</f>
        <v>1858579.7271999998</v>
      </c>
      <c r="J544" s="103"/>
      <c r="K544" s="172">
        <f>SUM(K545:K547)</f>
        <v>240145.372</v>
      </c>
      <c r="L544" s="184"/>
      <c r="M544" s="179">
        <f>SUM(M545:M547)</f>
        <v>809217.17760000005</v>
      </c>
      <c r="N544" s="168"/>
      <c r="O544" s="179">
        <f>SUM(O545:O547)</f>
        <v>809217.17760000005</v>
      </c>
      <c r="P544" s="69"/>
    </row>
    <row r="545" spans="2:16" ht="17.25" x14ac:dyDescent="0.25">
      <c r="B545" s="145"/>
      <c r="C545" s="8"/>
      <c r="D545" s="8"/>
      <c r="E545" s="8"/>
      <c r="F545" s="8"/>
      <c r="G545" s="8"/>
      <c r="H545" s="192"/>
      <c r="I545" s="102">
        <f>SUM(K545+M545+O545)</f>
        <v>1225966.3711999999</v>
      </c>
      <c r="J545" s="103" t="str">
        <f>"(15)"</f>
        <v>(15)</v>
      </c>
      <c r="K545" s="97">
        <f>SUM(K540*1.2)</f>
        <v>188956.416</v>
      </c>
      <c r="L545" s="98" t="str">
        <f>"(15)"</f>
        <v>(15)</v>
      </c>
      <c r="M545" s="102">
        <f>SUM(M540*1.22)</f>
        <v>518504.97759999998</v>
      </c>
      <c r="N545" s="103" t="str">
        <f>"(15)"</f>
        <v>(15)</v>
      </c>
      <c r="O545" s="102">
        <f>SUM(O540*1.22)</f>
        <v>518504.97759999998</v>
      </c>
      <c r="P545" s="87" t="str">
        <f>"(15)"</f>
        <v>(15)</v>
      </c>
    </row>
    <row r="546" spans="2:16" ht="17.25" x14ac:dyDescent="0.25">
      <c r="B546" s="145"/>
      <c r="C546" s="8"/>
      <c r="D546" s="8"/>
      <c r="E546" s="8"/>
      <c r="F546" s="8"/>
      <c r="G546" s="8"/>
      <c r="H546" s="192"/>
      <c r="I546" s="102">
        <f>SUM(K546+M546+O546)</f>
        <v>592136.19999999995</v>
      </c>
      <c r="J546" s="103" t="str">
        <f>"(50)"</f>
        <v>(50)</v>
      </c>
      <c r="K546" s="97">
        <f>K541</f>
        <v>47921.8</v>
      </c>
      <c r="L546" s="98" t="str">
        <f>"(50)"</f>
        <v>(50)</v>
      </c>
      <c r="M546" s="102">
        <f>M541</f>
        <v>272107.2</v>
      </c>
      <c r="N546" s="103" t="str">
        <f>"(50)"</f>
        <v>(50)</v>
      </c>
      <c r="O546" s="102">
        <f>O541</f>
        <v>272107.2</v>
      </c>
      <c r="P546" s="87" t="str">
        <f>"(50)"</f>
        <v>(50)</v>
      </c>
    </row>
    <row r="547" spans="2:16" ht="18" thickBot="1" x14ac:dyDescent="0.3">
      <c r="B547" s="160"/>
      <c r="C547" s="161"/>
      <c r="D547" s="161"/>
      <c r="E547" s="161"/>
      <c r="F547" s="161"/>
      <c r="G547" s="161"/>
      <c r="H547" s="193"/>
      <c r="I547" s="102">
        <f>SUM(K547+M547+O547)</f>
        <v>40477.156000000003</v>
      </c>
      <c r="J547" s="103" t="str">
        <f>"(55)"</f>
        <v>(55)</v>
      </c>
      <c r="K547" s="97">
        <f>SUM(K542*1.2)</f>
        <v>3267.1559999999999</v>
      </c>
      <c r="L547" s="98" t="str">
        <f>"(55)"</f>
        <v>(55)</v>
      </c>
      <c r="M547" s="102">
        <f>SUM(M542*1.22)</f>
        <v>18605</v>
      </c>
      <c r="N547" s="103" t="str">
        <f>"(55)"</f>
        <v>(55)</v>
      </c>
      <c r="O547" s="102">
        <f>SUM(O542*1.22)</f>
        <v>18605</v>
      </c>
      <c r="P547" s="87" t="str">
        <f>"(55)"</f>
        <v>(55)</v>
      </c>
    </row>
    <row r="548" spans="2:16" ht="17.25" x14ac:dyDescent="0.25">
      <c r="B548" s="187" t="str">
        <f>'kuni 2025 detsember tegevuskava'!A92&amp;"/"&amp;'kuni 2025 detsember tegevuskava'!C92</f>
        <v>Regionaal- ja Põllumajandusministeerium/UUS</v>
      </c>
      <c r="C548" s="156" t="str">
        <f>'kuni 2025 detsember tegevuskava'!I92</f>
        <v xml:space="preserve">Tegemist on ÜPP strateegiakavast rahastatava projektiga, mis kestab 2023-2027. Kogu PRIA AKIS projekti eelarve kokku on 1,5 mln eur. 
PRIA tagab AKIS-e teabesalve digitaalsete lahenduste väljatöötamise ja arendamise käigushoidmise. 
</v>
      </c>
      <c r="D548" s="156" t="str">
        <f>'kuni 2025 detsember tegevuskava'!J92</f>
        <v>AKIS digikeskus</v>
      </c>
      <c r="E548" s="156" t="str">
        <f>'kuni 2025 detsember tegevuskava'!K92</f>
        <v>PRIA ülesanded digiteenuste korraldamisel on: 
1) arendada teabesalve funktsionaalsust erinevatele sihtrühmadele, vastavalt METK-i 
tellimusele (sealhulgas korraldatavate teadmussiirde tegevuste info, sündmuste kalender, 
õppematerjalid, innovatsioonikoostöö projektide videod, nõustajate andmestik jmt); 
2) tagada arendatud teabesalve funktsionaalsus, töökindlus ja hooldus. 
2024.aastal planeeritavad arendused: 
- Nõustajate andmebaasi loomine; Nõustajate otsingu kuva arendused; Nõustamislepingu ja nõustamisaruande vorm ja funktsionaalsuse arendused
- Teabesalve (METKi hallatava viie veebilehe asemele ühe veebilehe) loomise esimese etapi tööd, mis võimaldavad olemasolevatelt veebilehtedelt hakata sisu Teabesalve üle tooma</v>
      </c>
      <c r="F548" s="156" t="str">
        <f>'kuni 2025 detsember tegevuskava'!O92&amp;"/"</f>
        <v>Muu rahastus/</v>
      </c>
      <c r="G548" s="156" cm="1">
        <f t="array" ref="G548">_xlfn.IFS('kuni 2025 detsember tegevuskava'!G92='kuni 2025 detsember tegevuskava'!$G$97,1,'kuni 2025 detsember tegevuskava'!G92='kuni 2025 detsember tegevuskava'!$G$98,2,'kuni 2025 detsember tegevuskava'!G92='kuni 2025 detsember tegevuskava'!$G$99,3,'kuni 2025 detsember tegevuskava'!G92='kuni 2025 detsember tegevuskava'!$G$100,4)</f>
        <v>1</v>
      </c>
      <c r="H548" s="194" cm="1">
        <f t="array" ref="H548">_xlfn.IFS(OR('kuni 2025 detsember tegevuskava'!O92='kuni 2025 detsember tegevuskava'!$O$97,'kuni 2025 detsember tegevuskava'!O92='kuni 2025 detsember tegevuskava'!$O$99,'kuni 2025 detsember tegevuskava'!O92='kuni 2025 detsember tegevuskava'!$O$100,'kuni 2025 detsember tegevuskava'!O92='kuni 2025 detsember tegevuskava'!$O$101),1,'kuni 2025 detsember tegevuskava'!O92='kuni 2025 detsember tegevuskava'!$O$102,2,'kuni 2025 detsember tegevuskava'!O92='kuni 2025 detsember tegevuskava'!$O$103,2,'kuni 2025 detsember tegevuskava'!O92='kuni 2025 detsember tegevuskava'!$O$98,3)</f>
        <v>3</v>
      </c>
      <c r="I548" s="132">
        <f>SUM(I549:I551)</f>
        <v>935530.11</v>
      </c>
      <c r="J548" s="133"/>
      <c r="K548" s="81">
        <f>SUM(K549:K551)</f>
        <v>41530.11</v>
      </c>
      <c r="L548" s="83"/>
      <c r="M548" s="132">
        <f>SUM(M549:M551)</f>
        <v>574000</v>
      </c>
      <c r="N548" s="133"/>
      <c r="O548" s="81">
        <f>SUM(O549:O551)</f>
        <v>320000</v>
      </c>
      <c r="P548" s="85"/>
    </row>
    <row r="549" spans="2:16" ht="17.25" x14ac:dyDescent="0.25">
      <c r="B549" s="145"/>
      <c r="C549" s="8"/>
      <c r="D549" s="8"/>
      <c r="E549" s="8"/>
      <c r="F549" s="8"/>
      <c r="G549" s="8"/>
      <c r="H549" s="192"/>
      <c r="I549" s="102">
        <f>SUM(K549+M549+O549)</f>
        <v>661068.4</v>
      </c>
      <c r="J549" s="103" t="str">
        <f>"(15)"</f>
        <v>(15)</v>
      </c>
      <c r="K549" s="97">
        <f>'kuni 2025 detsember tegevuskava'!W92</f>
        <v>6068.4</v>
      </c>
      <c r="L549" s="98" t="str">
        <f>"(15)"</f>
        <v>(15)</v>
      </c>
      <c r="M549" s="102">
        <f>'kuni 2025 detsember tegevuskava'!Z92</f>
        <v>460000</v>
      </c>
      <c r="N549" s="103" t="str">
        <f>"(15)"</f>
        <v>(15)</v>
      </c>
      <c r="O549" s="97">
        <f>'kuni 2025 detsember tegevuskava'!AC92</f>
        <v>195000</v>
      </c>
      <c r="P549" s="87" t="str">
        <f>"(15)"</f>
        <v>(15)</v>
      </c>
    </row>
    <row r="550" spans="2:16" ht="17.25" x14ac:dyDescent="0.25">
      <c r="B550" s="145"/>
      <c r="C550" s="8"/>
      <c r="D550" s="8"/>
      <c r="E550" s="8"/>
      <c r="F550" s="8"/>
      <c r="G550" s="8"/>
      <c r="H550" s="192"/>
      <c r="I550" s="102">
        <f>SUM(K550+M550+O550)</f>
        <v>274461.70999999996</v>
      </c>
      <c r="J550" s="103" t="str">
        <f>"(50)"</f>
        <v>(50)</v>
      </c>
      <c r="K550" s="97">
        <f>'kuni 2025 detsember tegevuskava'!X92</f>
        <v>35461.71</v>
      </c>
      <c r="L550" s="98" t="str">
        <f>"(50)"</f>
        <v>(50)</v>
      </c>
      <c r="M550" s="102">
        <f>'kuni 2025 detsember tegevuskava'!AA92</f>
        <v>114000</v>
      </c>
      <c r="N550" s="103" t="str">
        <f>"(50)"</f>
        <v>(50)</v>
      </c>
      <c r="O550" s="97">
        <f>'kuni 2025 detsember tegevuskava'!AD92</f>
        <v>125000</v>
      </c>
      <c r="P550" s="87" t="str">
        <f>"(50)"</f>
        <v>(50)</v>
      </c>
    </row>
    <row r="551" spans="2:16" ht="17.25" x14ac:dyDescent="0.25">
      <c r="B551" s="145"/>
      <c r="C551" s="8"/>
      <c r="D551" s="8"/>
      <c r="E551" s="8"/>
      <c r="F551" s="8"/>
      <c r="G551" s="8"/>
      <c r="H551" s="192"/>
      <c r="I551" s="102">
        <f>SUM(K551+M551+O551)</f>
        <v>0</v>
      </c>
      <c r="J551" s="103" t="str">
        <f>"(55)"</f>
        <v>(55)</v>
      </c>
      <c r="K551" s="97">
        <f>'kuni 2025 detsember tegevuskava'!Y92</f>
        <v>0</v>
      </c>
      <c r="L551" s="98" t="str">
        <f>"(55)"</f>
        <v>(55)</v>
      </c>
      <c r="M551" s="102">
        <f>'kuni 2025 detsember tegevuskava'!AB92</f>
        <v>0</v>
      </c>
      <c r="N551" s="103" t="str">
        <f>"(55)"</f>
        <v>(55)</v>
      </c>
      <c r="O551" s="97">
        <f>'kuni 2025 detsember tegevuskava'!AE92</f>
        <v>0</v>
      </c>
      <c r="P551" s="87" t="str">
        <f>"(55)"</f>
        <v>(55)</v>
      </c>
    </row>
    <row r="552" spans="2:16" ht="17.25" x14ac:dyDescent="0.25">
      <c r="B552" s="145"/>
      <c r="C552" s="8"/>
      <c r="D552" s="8"/>
      <c r="E552" s="8"/>
      <c r="F552" s="8"/>
      <c r="G552" s="8"/>
      <c r="H552" s="192"/>
      <c r="I552" s="183" t="s">
        <v>298</v>
      </c>
      <c r="J552" s="195"/>
      <c r="K552" s="195"/>
      <c r="L552" s="195"/>
      <c r="M552" s="195"/>
      <c r="N552" s="195"/>
      <c r="O552" s="195"/>
      <c r="P552" s="196"/>
    </row>
    <row r="553" spans="2:16" ht="17.25" x14ac:dyDescent="0.25">
      <c r="B553" s="145"/>
      <c r="C553" s="8"/>
      <c r="D553" s="8"/>
      <c r="E553" s="8"/>
      <c r="F553" s="8"/>
      <c r="G553" s="8"/>
      <c r="H553" s="192"/>
      <c r="I553" s="179">
        <f>SUM(I554:I556)</f>
        <v>1080843.79</v>
      </c>
      <c r="J553" s="103"/>
      <c r="K553" s="172">
        <f>SUM(K554:K556)</f>
        <v>42743.79</v>
      </c>
      <c r="L553" s="184"/>
      <c r="M553" s="179">
        <f>SUM(M554:M556)</f>
        <v>675200</v>
      </c>
      <c r="N553" s="168"/>
      <c r="O553" s="179">
        <f>SUM(O554:O556)</f>
        <v>362900</v>
      </c>
      <c r="P553" s="69"/>
    </row>
    <row r="554" spans="2:16" ht="17.25" x14ac:dyDescent="0.25">
      <c r="B554" s="145"/>
      <c r="C554" s="8"/>
      <c r="D554" s="8"/>
      <c r="E554" s="8"/>
      <c r="F554" s="8"/>
      <c r="G554" s="8"/>
      <c r="H554" s="192"/>
      <c r="I554" s="102">
        <f>SUM(K554+M554+O554)</f>
        <v>806382.07999999996</v>
      </c>
      <c r="J554" s="103" t="str">
        <f>"(15)"</f>
        <v>(15)</v>
      </c>
      <c r="K554" s="97">
        <f>SUM(K549*1.2)</f>
        <v>7282.079999999999</v>
      </c>
      <c r="L554" s="98" t="str">
        <f>"(15)"</f>
        <v>(15)</v>
      </c>
      <c r="M554" s="102">
        <f>SUM(M549*1.22)</f>
        <v>561200</v>
      </c>
      <c r="N554" s="103" t="str">
        <f>"(15)"</f>
        <v>(15)</v>
      </c>
      <c r="O554" s="102">
        <f>SUM(O549*1.22)</f>
        <v>237900</v>
      </c>
      <c r="P554" s="87" t="str">
        <f>"(15)"</f>
        <v>(15)</v>
      </c>
    </row>
    <row r="555" spans="2:16" ht="17.25" x14ac:dyDescent="0.25">
      <c r="B555" s="145"/>
      <c r="C555" s="8"/>
      <c r="D555" s="8"/>
      <c r="E555" s="8"/>
      <c r="F555" s="8"/>
      <c r="G555" s="8"/>
      <c r="H555" s="192"/>
      <c r="I555" s="102">
        <f>SUM(K555+M555+O555)</f>
        <v>274461.70999999996</v>
      </c>
      <c r="J555" s="103" t="str">
        <f>"(50)"</f>
        <v>(50)</v>
      </c>
      <c r="K555" s="97">
        <f>K550</f>
        <v>35461.71</v>
      </c>
      <c r="L555" s="98" t="str">
        <f>"(50)"</f>
        <v>(50)</v>
      </c>
      <c r="M555" s="102">
        <f>M550</f>
        <v>114000</v>
      </c>
      <c r="N555" s="103" t="str">
        <f>"(50)"</f>
        <v>(50)</v>
      </c>
      <c r="O555" s="102">
        <f>O550</f>
        <v>125000</v>
      </c>
      <c r="P555" s="87" t="str">
        <f>"(50)"</f>
        <v>(50)</v>
      </c>
    </row>
    <row r="556" spans="2:16" ht="18" thickBot="1" x14ac:dyDescent="0.3">
      <c r="B556" s="160"/>
      <c r="C556" s="161"/>
      <c r="D556" s="161"/>
      <c r="E556" s="161"/>
      <c r="F556" s="161"/>
      <c r="G556" s="161"/>
      <c r="H556" s="193"/>
      <c r="I556" s="130">
        <f>SUM(K556+M556+O556)</f>
        <v>0</v>
      </c>
      <c r="J556" s="131" t="str">
        <f>"(55)"</f>
        <v>(55)</v>
      </c>
      <c r="K556" s="93">
        <f>SUM(K551*1.2)</f>
        <v>0</v>
      </c>
      <c r="L556" s="94" t="str">
        <f>"(55)"</f>
        <v>(55)</v>
      </c>
      <c r="M556" s="130">
        <f>SUM(M551*1.22)</f>
        <v>0</v>
      </c>
      <c r="N556" s="131" t="str">
        <f>"(55)"</f>
        <v>(55)</v>
      </c>
      <c r="O556" s="130">
        <f>SUM(O551*1.22)</f>
        <v>0</v>
      </c>
      <c r="P556" s="96" t="str">
        <f>"(55)"</f>
        <v>(55)</v>
      </c>
    </row>
    <row r="557" spans="2:16" ht="17.25" x14ac:dyDescent="0.25">
      <c r="B557" s="187" t="str">
        <f>'kuni 2025 detsember tegevuskava'!A93&amp;"/"&amp;'kuni 2025 detsember tegevuskava'!C93</f>
        <v>Regionaal- ja Põllumajandusministeerium/UUS</v>
      </c>
      <c r="C557" s="156" t="str">
        <f>'kuni 2025 detsember tegevuskava'!I93</f>
        <v>Rohefoori rahastatakse Riigikantselei avaliku sektori innovatsioonivõimekuse tõstmise meetmest, mille eesmärk on uuenduslike lahenduste otsimine, lahenduste arendamine ja reaalses elus katsetamine põllumajanduslike toodete esmatootjate kestlikkuse hindamiseks ja soovituste andmiseks jätkusuutlikkuse osas.</v>
      </c>
      <c r="D557" s="156" t="str">
        <f>'kuni 2025 detsember tegevuskava'!J93</f>
        <v>Rohefoori projekt</v>
      </c>
      <c r="E557" s="156" t="str">
        <f>'kuni 2025 detsember tegevuskava'!K93</f>
        <v xml:space="preserve">Riigikantselei projekt, mille eelarve on antud aastateks 2024-2026. 
Projekti eesmärk on pakkuda põllumajandustoodete esmatootjale teadmusteenust ehk luua digitaalne põllumajandustegevuse andmetel põhinev tööriist, millabil saab põllumajanduslike esmatoodete tootja:
*hinnata enda põllumajandustegevuse kestlikkusnäitajaid ettevõtte ja toote põhiselt;
*võrrelda end teiste sarnaste ettevõtetega ning jälgida ettevõttepõhiste ja riiklike keskkonna- ja kliimaeesmärkide poole liikumist;
*saada nõuandeid oma kestlikkusnäitajate parandamiseks;
*koostada aruandeid enda ettevõtte kestlikkusnäitajate kohta; 
*eksportida ettevõtte kestlikkusaruande alusandmestikku;
*analüüsida tehtavate muudatuste mõju ettevõtte kestlikkusnäitajatele.
2024  on planeeritud kasvuhoonegaaside jalajälje arvutamise tööriista prototüübi jaoks vajaliku andmekooseisu kirjeldamine, huvigruppide kaasamine ja teenusdisainiga seotud tegevused, rohefoori üldkontseptsiooni ja metoodika väljatöötamine, protod - jätkub 2025.aastal. </v>
      </c>
      <c r="F557" s="156" t="str">
        <f>'kuni 2025 detsember tegevuskava'!O93&amp;"/"</f>
        <v>Muu rahastus/</v>
      </c>
      <c r="G557" s="156" cm="1">
        <f t="array" ref="G557">_xlfn.IFS('kuni 2025 detsember tegevuskava'!G93='kuni 2025 detsember tegevuskava'!$G$97,1,'kuni 2025 detsember tegevuskava'!G93='kuni 2025 detsember tegevuskava'!$G$98,2,'kuni 2025 detsember tegevuskava'!G93='kuni 2025 detsember tegevuskava'!$G$99,3,'kuni 2025 detsember tegevuskava'!G93='kuni 2025 detsember tegevuskava'!$G$100,4)</f>
        <v>1</v>
      </c>
      <c r="H557" s="194" cm="1">
        <f t="array" ref="H557">_xlfn.IFS(OR('kuni 2025 detsember tegevuskava'!O93='kuni 2025 detsember tegevuskava'!$O$97,'kuni 2025 detsember tegevuskava'!O93='kuni 2025 detsember tegevuskava'!$O$99,'kuni 2025 detsember tegevuskava'!O93='kuni 2025 detsember tegevuskava'!$O$100,'kuni 2025 detsember tegevuskava'!O93='kuni 2025 detsember tegevuskava'!$O$101),1,'kuni 2025 detsember tegevuskava'!O93='kuni 2025 detsember tegevuskava'!$O$102,2,'kuni 2025 detsember tegevuskava'!O93='kuni 2025 detsember tegevuskava'!$O$103,2,'kuni 2025 detsember tegevuskava'!O93='kuni 2025 detsember tegevuskava'!$O$98,3)</f>
        <v>3</v>
      </c>
      <c r="I557" s="179">
        <f>SUM(I558:I560)</f>
        <v>833000</v>
      </c>
      <c r="J557" s="103"/>
      <c r="K557" s="172">
        <f>SUM(K558:K560)</f>
        <v>0</v>
      </c>
      <c r="L557" s="184"/>
      <c r="M557" s="179">
        <f>SUM(M558:M560)</f>
        <v>320000</v>
      </c>
      <c r="N557" s="103"/>
      <c r="O557" s="172">
        <f>SUM(O558:O560)</f>
        <v>513000</v>
      </c>
      <c r="P557" s="87"/>
    </row>
    <row r="558" spans="2:16" ht="17.25" x14ac:dyDescent="0.25">
      <c r="B558" s="145"/>
      <c r="C558" s="8"/>
      <c r="D558" s="8"/>
      <c r="E558" s="8"/>
      <c r="F558" s="8"/>
      <c r="G558" s="8"/>
      <c r="H558" s="192"/>
      <c r="I558" s="102">
        <f>SUM(K558+M558+O558)</f>
        <v>833000</v>
      </c>
      <c r="J558" s="103" t="str">
        <f>"(15)"</f>
        <v>(15)</v>
      </c>
      <c r="K558" s="97">
        <f>'kuni 2025 detsember tegevuskava'!W93</f>
        <v>0</v>
      </c>
      <c r="L558" s="98" t="str">
        <f>"(15)"</f>
        <v>(15)</v>
      </c>
      <c r="M558" s="102">
        <f>'kuni 2025 detsember tegevuskava'!Z93</f>
        <v>320000</v>
      </c>
      <c r="N558" s="103" t="str">
        <f>"(15)"</f>
        <v>(15)</v>
      </c>
      <c r="O558" s="97">
        <f>'kuni 2025 detsember tegevuskava'!AC93</f>
        <v>513000</v>
      </c>
      <c r="P558" s="87" t="str">
        <f>"(15)"</f>
        <v>(15)</v>
      </c>
    </row>
    <row r="559" spans="2:16" ht="17.25" x14ac:dyDescent="0.25">
      <c r="B559" s="145"/>
      <c r="C559" s="8"/>
      <c r="D559" s="8"/>
      <c r="E559" s="8"/>
      <c r="F559" s="8"/>
      <c r="G559" s="8"/>
      <c r="H559" s="192"/>
      <c r="I559" s="102">
        <f>SUM(K559+M559+O559)</f>
        <v>0</v>
      </c>
      <c r="J559" s="103" t="str">
        <f>"(50)"</f>
        <v>(50)</v>
      </c>
      <c r="K559" s="97">
        <f>'kuni 2025 detsember tegevuskava'!X93</f>
        <v>0</v>
      </c>
      <c r="L559" s="98" t="str">
        <f>"(50)"</f>
        <v>(50)</v>
      </c>
      <c r="M559" s="102">
        <f>'kuni 2025 detsember tegevuskava'!AA93</f>
        <v>0</v>
      </c>
      <c r="N559" s="103" t="str">
        <f>"(50)"</f>
        <v>(50)</v>
      </c>
      <c r="O559" s="97">
        <f>'kuni 2025 detsember tegevuskava'!AD93</f>
        <v>0</v>
      </c>
      <c r="P559" s="87" t="str">
        <f>"(50)"</f>
        <v>(50)</v>
      </c>
    </row>
    <row r="560" spans="2:16" ht="17.25" x14ac:dyDescent="0.25">
      <c r="B560" s="145"/>
      <c r="C560" s="8"/>
      <c r="D560" s="8"/>
      <c r="E560" s="8"/>
      <c r="F560" s="8"/>
      <c r="G560" s="8"/>
      <c r="H560" s="192"/>
      <c r="I560" s="102">
        <f>SUM(K560+M560+O560)</f>
        <v>0</v>
      </c>
      <c r="J560" s="103" t="str">
        <f>"(55)"</f>
        <v>(55)</v>
      </c>
      <c r="K560" s="97">
        <f>'kuni 2025 detsember tegevuskava'!Y93</f>
        <v>0</v>
      </c>
      <c r="L560" s="98" t="str">
        <f>"(55)"</f>
        <v>(55)</v>
      </c>
      <c r="M560" s="102">
        <f>'kuni 2025 detsember tegevuskava'!AB93</f>
        <v>0</v>
      </c>
      <c r="N560" s="103" t="str">
        <f>"(55)"</f>
        <v>(55)</v>
      </c>
      <c r="O560" s="97">
        <f>'kuni 2025 detsember tegevuskava'!AE93</f>
        <v>0</v>
      </c>
      <c r="P560" s="87" t="str">
        <f>"(55)"</f>
        <v>(55)</v>
      </c>
    </row>
    <row r="561" spans="2:16" ht="17.25" x14ac:dyDescent="0.25">
      <c r="B561" s="145"/>
      <c r="C561" s="8"/>
      <c r="D561" s="8"/>
      <c r="E561" s="8"/>
      <c r="F561" s="8"/>
      <c r="G561" s="8"/>
      <c r="H561" s="192"/>
      <c r="I561" s="183" t="s">
        <v>298</v>
      </c>
      <c r="J561" s="195"/>
      <c r="K561" s="195"/>
      <c r="L561" s="195"/>
      <c r="M561" s="195"/>
      <c r="N561" s="195"/>
      <c r="O561" s="195"/>
      <c r="P561" s="196"/>
    </row>
    <row r="562" spans="2:16" ht="17.25" x14ac:dyDescent="0.25">
      <c r="B562" s="145"/>
      <c r="C562" s="8"/>
      <c r="D562" s="8"/>
      <c r="E562" s="8"/>
      <c r="F562" s="8"/>
      <c r="G562" s="8"/>
      <c r="H562" s="192"/>
      <c r="I562" s="179">
        <f>SUM(I563:I565)</f>
        <v>1016260</v>
      </c>
      <c r="J562" s="103"/>
      <c r="K562" s="172">
        <f>SUM(K563:K565)</f>
        <v>0</v>
      </c>
      <c r="L562" s="184"/>
      <c r="M562" s="179">
        <f>SUM(M563:M565)</f>
        <v>390400</v>
      </c>
      <c r="N562" s="168"/>
      <c r="O562" s="179">
        <f>SUM(O563:O565)</f>
        <v>625860</v>
      </c>
      <c r="P562" s="69"/>
    </row>
    <row r="563" spans="2:16" ht="17.25" x14ac:dyDescent="0.25">
      <c r="B563" s="145"/>
      <c r="C563" s="8"/>
      <c r="D563" s="8"/>
      <c r="E563" s="8"/>
      <c r="F563" s="8"/>
      <c r="G563" s="8"/>
      <c r="H563" s="192"/>
      <c r="I563" s="102">
        <f>SUM(K563+M563+O563)</f>
        <v>1016260</v>
      </c>
      <c r="J563" s="103" t="str">
        <f>"(15)"</f>
        <v>(15)</v>
      </c>
      <c r="K563" s="97">
        <f>SUM(K558*1.2)</f>
        <v>0</v>
      </c>
      <c r="L563" s="98" t="str">
        <f>"(15)"</f>
        <v>(15)</v>
      </c>
      <c r="M563" s="102">
        <f>SUM(M558*1.22)</f>
        <v>390400</v>
      </c>
      <c r="N563" s="103" t="str">
        <f>"(15)"</f>
        <v>(15)</v>
      </c>
      <c r="O563" s="102">
        <f>SUM(O558*1.22)</f>
        <v>625860</v>
      </c>
      <c r="P563" s="87" t="str">
        <f>"(15)"</f>
        <v>(15)</v>
      </c>
    </row>
    <row r="564" spans="2:16" ht="17.25" x14ac:dyDescent="0.25">
      <c r="B564" s="145"/>
      <c r="C564" s="8"/>
      <c r="D564" s="8"/>
      <c r="E564" s="8"/>
      <c r="F564" s="8"/>
      <c r="G564" s="8"/>
      <c r="H564" s="192"/>
      <c r="I564" s="102">
        <f>SUM(K564+M564+O564)</f>
        <v>0</v>
      </c>
      <c r="J564" s="103" t="str">
        <f>"(50)"</f>
        <v>(50)</v>
      </c>
      <c r="K564" s="97">
        <f>K559</f>
        <v>0</v>
      </c>
      <c r="L564" s="98" t="str">
        <f>"(50)"</f>
        <v>(50)</v>
      </c>
      <c r="M564" s="102">
        <f>M559</f>
        <v>0</v>
      </c>
      <c r="N564" s="103" t="str">
        <f>"(50)"</f>
        <v>(50)</v>
      </c>
      <c r="O564" s="102">
        <f>O559</f>
        <v>0</v>
      </c>
      <c r="P564" s="87" t="str">
        <f>"(50)"</f>
        <v>(50)</v>
      </c>
    </row>
    <row r="565" spans="2:16" ht="18" thickBot="1" x14ac:dyDescent="0.3">
      <c r="B565" s="160"/>
      <c r="C565" s="161"/>
      <c r="D565" s="161"/>
      <c r="E565" s="161"/>
      <c r="F565" s="161"/>
      <c r="G565" s="161"/>
      <c r="H565" s="193"/>
      <c r="I565" s="130">
        <f>SUM(K565+M565+O565)</f>
        <v>0</v>
      </c>
      <c r="J565" s="131" t="str">
        <f>"(55)"</f>
        <v>(55)</v>
      </c>
      <c r="K565" s="93">
        <f>SUM(K560*1.2)</f>
        <v>0</v>
      </c>
      <c r="L565" s="94" t="str">
        <f>"(55)"</f>
        <v>(55)</v>
      </c>
      <c r="M565" s="130">
        <f>SUM(M560*1.22)</f>
        <v>0</v>
      </c>
      <c r="N565" s="131" t="str">
        <f>"(55)"</f>
        <v>(55)</v>
      </c>
      <c r="O565" s="130">
        <f>SUM(O560*1.22)</f>
        <v>0</v>
      </c>
      <c r="P565" s="96" t="str">
        <f>"(55)"</f>
        <v>(55)</v>
      </c>
    </row>
  </sheetData>
  <sheetProtection algorithmName="SHA-512" hashValue="ur9xCKGkLz6nXn0VvRr0MqvybI7/cCmR1/6U9qKilxDa3THBDSH1yvV5BbKKXvKNGJNzpqvHWIbeCBco74itmg==" saltValue="ySO0rWK3g1tmU8kKSiyxNA==" spinCount="100000" sheet="1" objects="1" scenarios="1"/>
  <mergeCells count="18">
    <mergeCell ref="B7:P7"/>
    <mergeCell ref="B10:P10"/>
    <mergeCell ref="B2:P2"/>
    <mergeCell ref="Q15:AA15"/>
    <mergeCell ref="Q16:AA16"/>
    <mergeCell ref="Q17:AA17"/>
    <mergeCell ref="M29:N29"/>
    <mergeCell ref="I30:J30"/>
    <mergeCell ref="K30:L30"/>
    <mergeCell ref="M30:N30"/>
    <mergeCell ref="K29:L29"/>
    <mergeCell ref="O29:P29"/>
    <mergeCell ref="O30:P30"/>
    <mergeCell ref="B29:B30"/>
    <mergeCell ref="C29:C30"/>
    <mergeCell ref="D29:D30"/>
    <mergeCell ref="F29:H30"/>
    <mergeCell ref="I29:J29"/>
  </mergeCells>
  <pageMargins left="0.23622047244094491" right="0.23622047244094491" top="0.74803149606299213" bottom="0.74803149606299213" header="0.31496062992125984" footer="0.31496062992125984"/>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I116"/>
  <sheetViews>
    <sheetView topLeftCell="A46" zoomScale="85" zoomScaleNormal="85" workbookViewId="0">
      <selection activeCell="F57" sqref="F57"/>
    </sheetView>
  </sheetViews>
  <sheetFormatPr defaultColWidth="9.140625" defaultRowHeight="15" x14ac:dyDescent="0.25"/>
  <cols>
    <col min="1" max="1" width="9.140625" style="1"/>
    <col min="2" max="2" width="22.28515625" style="1" customWidth="1"/>
    <col min="3" max="5" width="18" style="1" customWidth="1"/>
    <col min="6" max="6" width="15.5703125" style="1" customWidth="1"/>
    <col min="7" max="7" width="12.140625" style="1" customWidth="1"/>
    <col min="8" max="8" width="12.85546875" style="1" customWidth="1"/>
    <col min="9" max="9" width="11.85546875" style="1" customWidth="1"/>
    <col min="10" max="10" width="11.5703125" style="1" customWidth="1"/>
    <col min="11" max="11" width="13.140625" style="1" customWidth="1"/>
    <col min="12" max="12" width="11.85546875" style="1" customWidth="1"/>
    <col min="13" max="22" width="9.140625" style="1"/>
    <col min="23" max="23" width="12.28515625" style="1" bestFit="1" customWidth="1"/>
    <col min="24" max="16384" width="9.140625" style="1"/>
  </cols>
  <sheetData>
    <row r="2" spans="1:8" ht="18.75" x14ac:dyDescent="0.25">
      <c r="A2" s="120" t="s">
        <v>250</v>
      </c>
      <c r="B2" s="120"/>
    </row>
    <row r="4" spans="1:8" x14ac:dyDescent="0.25">
      <c r="B4" s="545" t="s">
        <v>299</v>
      </c>
      <c r="C4" s="633" t="s">
        <v>300</v>
      </c>
      <c r="D4" s="633"/>
      <c r="E4" s="633"/>
      <c r="F4" s="633"/>
    </row>
    <row r="5" spans="1:8" x14ac:dyDescent="0.25">
      <c r="B5" s="545"/>
      <c r="C5" s="546" t="s">
        <v>301</v>
      </c>
      <c r="D5" s="546" t="s">
        <v>302</v>
      </c>
      <c r="E5" s="546" t="s">
        <v>303</v>
      </c>
      <c r="F5" s="546" t="s">
        <v>304</v>
      </c>
    </row>
    <row r="6" spans="1:8" x14ac:dyDescent="0.25">
      <c r="B6" s="545" t="s">
        <v>305</v>
      </c>
      <c r="C6" s="547">
        <f>SUM(C7:C9)</f>
        <v>16267811</v>
      </c>
      <c r="D6" s="547">
        <f t="shared" ref="D6:E6" si="0">SUM(D7:D9)</f>
        <v>12540425</v>
      </c>
      <c r="E6" s="547">
        <f t="shared" si="0"/>
        <v>3727386</v>
      </c>
      <c r="F6" s="548">
        <f>SUM(D6/C6)</f>
        <v>0.77087353670386261</v>
      </c>
    </row>
    <row r="7" spans="1:8" x14ac:dyDescent="0.2">
      <c r="B7" s="177" t="s">
        <v>306</v>
      </c>
      <c r="C7" s="536">
        <v>10517469</v>
      </c>
      <c r="D7" s="536">
        <v>6492889</v>
      </c>
      <c r="E7" s="207">
        <f>SUM(C7-D7)</f>
        <v>4024580</v>
      </c>
      <c r="F7" s="544">
        <f>SUM(D7/C7)</f>
        <v>0.61734329808816168</v>
      </c>
      <c r="G7" s="121"/>
      <c r="H7" s="122"/>
    </row>
    <row r="8" spans="1:8" x14ac:dyDescent="0.2">
      <c r="B8" s="177" t="s">
        <v>307</v>
      </c>
      <c r="C8" s="536">
        <v>5288429</v>
      </c>
      <c r="D8" s="536">
        <v>5585623</v>
      </c>
      <c r="E8" s="207">
        <f>SUM(C8-D8)</f>
        <v>-297194</v>
      </c>
      <c r="F8" s="544">
        <f>SUM(D8/C8)</f>
        <v>1.0561970294013592</v>
      </c>
      <c r="G8" s="121"/>
    </row>
    <row r="9" spans="1:8" x14ac:dyDescent="0.2">
      <c r="B9" s="177" t="s">
        <v>308</v>
      </c>
      <c r="C9" s="536">
        <v>461913</v>
      </c>
      <c r="D9" s="536">
        <v>461913</v>
      </c>
      <c r="E9" s="207">
        <f>SUM(C9-D9)</f>
        <v>0</v>
      </c>
      <c r="F9" s="544">
        <f>SUM(D9/C9)</f>
        <v>1</v>
      </c>
    </row>
    <row r="18" spans="2:6" x14ac:dyDescent="0.25">
      <c r="B18" s="634" t="s">
        <v>309</v>
      </c>
      <c r="C18" s="631" t="s">
        <v>300</v>
      </c>
      <c r="D18" s="631"/>
      <c r="E18" s="631"/>
      <c r="F18" s="631"/>
    </row>
    <row r="19" spans="2:6" x14ac:dyDescent="0.25">
      <c r="B19" s="634"/>
      <c r="C19" s="203" t="s">
        <v>301</v>
      </c>
      <c r="D19" s="203" t="s">
        <v>302</v>
      </c>
      <c r="E19" s="203" t="s">
        <v>303</v>
      </c>
      <c r="F19" s="203" t="s">
        <v>304</v>
      </c>
    </row>
    <row r="20" spans="2:6" x14ac:dyDescent="0.25">
      <c r="B20" s="204" t="s">
        <v>305</v>
      </c>
      <c r="C20" s="205">
        <f>SUM(C21:C24)</f>
        <v>16263812</v>
      </c>
      <c r="D20" s="205">
        <f t="shared" ref="D20:E20" si="1">SUM(D21:D24)</f>
        <v>12536425</v>
      </c>
      <c r="E20" s="205">
        <f t="shared" si="1"/>
        <v>3727386</v>
      </c>
      <c r="F20" s="206">
        <f>SUM(D20/C20)</f>
        <v>0.77081713684344111</v>
      </c>
    </row>
    <row r="21" spans="2:6" x14ac:dyDescent="0.25">
      <c r="B21" s="177" t="s">
        <v>310</v>
      </c>
      <c r="C21" s="537">
        <v>10294989</v>
      </c>
      <c r="D21" s="537">
        <v>6435965</v>
      </c>
      <c r="E21" s="537">
        <v>3859024</v>
      </c>
      <c r="F21" s="538">
        <v>0.63</v>
      </c>
    </row>
    <row r="22" spans="2:6" x14ac:dyDescent="0.25">
      <c r="B22" s="177" t="s">
        <v>311</v>
      </c>
      <c r="C22" s="537">
        <v>4250963</v>
      </c>
      <c r="D22" s="537">
        <v>4454999</v>
      </c>
      <c r="E22" s="537">
        <v>-204036</v>
      </c>
      <c r="F22" s="538">
        <v>1.05</v>
      </c>
    </row>
    <row r="23" spans="2:6" x14ac:dyDescent="0.25">
      <c r="B23" s="177" t="s">
        <v>312</v>
      </c>
      <c r="C23" s="537">
        <v>1713860</v>
      </c>
      <c r="D23" s="537">
        <v>1641461</v>
      </c>
      <c r="E23" s="537">
        <v>72398</v>
      </c>
      <c r="F23" s="538">
        <v>0.96</v>
      </c>
    </row>
    <row r="24" spans="2:6" x14ac:dyDescent="0.25">
      <c r="B24" s="177" t="s">
        <v>313</v>
      </c>
      <c r="C24" s="537">
        <v>4000</v>
      </c>
      <c r="D24" s="537">
        <v>4000</v>
      </c>
      <c r="E24" s="539">
        <v>0</v>
      </c>
      <c r="F24" s="538">
        <v>1</v>
      </c>
    </row>
    <row r="33" spans="1:3" ht="18.75" x14ac:dyDescent="0.25">
      <c r="A33" s="120" t="s">
        <v>314</v>
      </c>
      <c r="B33" s="120"/>
    </row>
    <row r="35" spans="1:3" x14ac:dyDescent="0.25">
      <c r="B35" s="208" t="s">
        <v>315</v>
      </c>
      <c r="C35" s="203">
        <v>2024</v>
      </c>
    </row>
    <row r="36" spans="1:3" x14ac:dyDescent="0.25">
      <c r="B36" s="208" t="s">
        <v>239</v>
      </c>
      <c r="C36" s="205">
        <f>SUM(C37:C39)</f>
        <v>13877558</v>
      </c>
    </row>
    <row r="37" spans="1:3" x14ac:dyDescent="0.2">
      <c r="B37" s="177" t="s">
        <v>306</v>
      </c>
      <c r="C37" s="536">
        <v>8679599</v>
      </c>
    </row>
    <row r="38" spans="1:3" x14ac:dyDescent="0.2">
      <c r="B38" s="177" t="s">
        <v>307</v>
      </c>
      <c r="C38" s="536">
        <v>3610431</v>
      </c>
    </row>
    <row r="39" spans="1:3" x14ac:dyDescent="0.2">
      <c r="B39" s="177" t="s">
        <v>308</v>
      </c>
      <c r="C39" s="536">
        <v>1587528</v>
      </c>
    </row>
    <row r="41" spans="1:3" x14ac:dyDescent="0.25">
      <c r="B41" s="208" t="s">
        <v>316</v>
      </c>
      <c r="C41" s="203">
        <v>2024</v>
      </c>
    </row>
    <row r="42" spans="1:3" x14ac:dyDescent="0.25">
      <c r="B42" s="208" t="s">
        <v>239</v>
      </c>
      <c r="C42" s="205">
        <f>SUM(C43:C46)</f>
        <v>13877558</v>
      </c>
    </row>
    <row r="43" spans="1:3" x14ac:dyDescent="0.2">
      <c r="B43" s="177" t="s">
        <v>310</v>
      </c>
      <c r="C43" s="536">
        <v>6661579</v>
      </c>
    </row>
    <row r="44" spans="1:3" x14ac:dyDescent="0.25">
      <c r="B44" s="177" t="s">
        <v>311</v>
      </c>
      <c r="C44" s="537">
        <v>4315079</v>
      </c>
    </row>
    <row r="45" spans="1:3" x14ac:dyDescent="0.2">
      <c r="B45" s="177" t="s">
        <v>312</v>
      </c>
      <c r="C45" s="536">
        <v>2896900</v>
      </c>
    </row>
    <row r="46" spans="1:3" x14ac:dyDescent="0.2">
      <c r="B46" s="177" t="s">
        <v>313</v>
      </c>
      <c r="C46" s="536">
        <v>4000</v>
      </c>
    </row>
    <row r="49" spans="1:9" ht="18.75" x14ac:dyDescent="0.25">
      <c r="A49" s="120" t="s">
        <v>317</v>
      </c>
    </row>
    <row r="51" spans="1:9" x14ac:dyDescent="0.25">
      <c r="B51" s="135"/>
      <c r="C51" s="211"/>
      <c r="D51" s="211"/>
    </row>
    <row r="52" spans="1:9" ht="30.75" x14ac:dyDescent="0.25">
      <c r="B52" s="208" t="s">
        <v>318</v>
      </c>
      <c r="C52" s="213">
        <v>44197</v>
      </c>
      <c r="D52" s="213">
        <v>44562</v>
      </c>
      <c r="E52" s="213">
        <v>44927</v>
      </c>
      <c r="F52" s="213">
        <v>45292</v>
      </c>
      <c r="G52" s="203" t="s">
        <v>319</v>
      </c>
      <c r="H52" s="203" t="s">
        <v>320</v>
      </c>
      <c r="I52" s="203" t="s">
        <v>321</v>
      </c>
    </row>
    <row r="53" spans="1:9" x14ac:dyDescent="0.25">
      <c r="B53" s="210" t="s">
        <v>322</v>
      </c>
      <c r="C53" s="207">
        <v>85</v>
      </c>
      <c r="D53" s="207">
        <v>89</v>
      </c>
      <c r="E53" s="207">
        <f>C71</f>
        <v>100</v>
      </c>
      <c r="F53" s="207">
        <f>F71</f>
        <v>116</v>
      </c>
      <c r="G53" s="207">
        <f>F53*1.07</f>
        <v>124.12</v>
      </c>
      <c r="H53" s="207">
        <f>G53*1.05</f>
        <v>130.32600000000002</v>
      </c>
      <c r="I53" s="207">
        <f t="shared" ref="I53" si="2">H53*1.03</f>
        <v>134.23578000000003</v>
      </c>
    </row>
    <row r="54" spans="1:9" ht="25.5" x14ac:dyDescent="0.25">
      <c r="B54" s="210" t="s">
        <v>323</v>
      </c>
      <c r="C54" s="210">
        <v>0</v>
      </c>
      <c r="D54" s="217">
        <f t="shared" ref="D54:I54" si="3">SUM(((D53/C53)*100)-100)</f>
        <v>4.7058823529411882</v>
      </c>
      <c r="E54" s="217">
        <f t="shared" si="3"/>
        <v>12.359550561797761</v>
      </c>
      <c r="F54" s="217">
        <f t="shared" si="3"/>
        <v>15.999999999999986</v>
      </c>
      <c r="G54" s="217">
        <f t="shared" si="3"/>
        <v>7</v>
      </c>
      <c r="H54" s="217">
        <f t="shared" si="3"/>
        <v>5</v>
      </c>
      <c r="I54" s="217">
        <f t="shared" si="3"/>
        <v>3</v>
      </c>
    </row>
    <row r="55" spans="1:9" x14ac:dyDescent="0.25">
      <c r="B55" s="635" t="s">
        <v>324</v>
      </c>
      <c r="C55" s="636"/>
      <c r="D55" s="636"/>
      <c r="E55" s="636"/>
      <c r="F55" s="636"/>
      <c r="G55" s="636"/>
      <c r="H55" s="636"/>
      <c r="I55" s="637"/>
    </row>
    <row r="56" spans="1:9" ht="51" x14ac:dyDescent="0.25">
      <c r="B56" s="212"/>
      <c r="C56" s="212"/>
      <c r="D56" s="212"/>
      <c r="E56" s="212"/>
      <c r="F56" s="212" t="s">
        <v>426</v>
      </c>
      <c r="G56" s="212"/>
      <c r="H56" s="212"/>
    </row>
    <row r="57" spans="1:9" x14ac:dyDescent="0.25">
      <c r="B57" s="212"/>
      <c r="C57" s="212"/>
      <c r="D57" s="212"/>
      <c r="E57" s="212"/>
      <c r="F57" s="212"/>
      <c r="G57" s="212"/>
      <c r="H57" s="212"/>
    </row>
    <row r="58" spans="1:9" x14ac:dyDescent="0.25">
      <c r="B58" s="212"/>
      <c r="C58" s="211"/>
      <c r="D58" s="211"/>
      <c r="E58" s="211"/>
      <c r="F58" s="211"/>
      <c r="G58" s="218"/>
      <c r="H58" s="218"/>
      <c r="I58" s="218"/>
    </row>
    <row r="59" spans="1:9" x14ac:dyDescent="0.25">
      <c r="B59" s="212"/>
      <c r="C59" s="212"/>
      <c r="D59" s="212"/>
      <c r="E59" s="212"/>
      <c r="F59" s="212"/>
      <c r="G59" s="212"/>
      <c r="H59" s="212"/>
    </row>
    <row r="60" spans="1:9" x14ac:dyDescent="0.25">
      <c r="B60" s="212"/>
      <c r="C60" s="212"/>
      <c r="D60" s="212"/>
      <c r="E60" s="212"/>
      <c r="F60" s="212"/>
      <c r="G60" s="212"/>
      <c r="H60" s="212"/>
    </row>
    <row r="61" spans="1:9" x14ac:dyDescent="0.25">
      <c r="B61" s="212"/>
      <c r="C61" s="212"/>
      <c r="D61" s="212"/>
      <c r="E61" s="212"/>
      <c r="F61" s="212"/>
      <c r="G61" s="212"/>
      <c r="H61" s="212"/>
    </row>
    <row r="62" spans="1:9" x14ac:dyDescent="0.25">
      <c r="B62" s="212"/>
      <c r="C62" s="212"/>
      <c r="D62" s="212"/>
      <c r="E62" s="212"/>
      <c r="F62" s="212"/>
      <c r="G62" s="212"/>
      <c r="H62" s="212"/>
    </row>
    <row r="63" spans="1:9" x14ac:dyDescent="0.25">
      <c r="B63" s="212"/>
      <c r="C63" s="212"/>
      <c r="D63" s="212"/>
      <c r="E63" s="212"/>
      <c r="F63" s="212"/>
      <c r="G63" s="212"/>
      <c r="H63" s="212"/>
    </row>
    <row r="64" spans="1:9" x14ac:dyDescent="0.25">
      <c r="B64" s="212"/>
      <c r="C64" s="212"/>
      <c r="D64" s="212"/>
      <c r="E64" s="212"/>
      <c r="F64" s="212"/>
      <c r="G64" s="212"/>
      <c r="H64" s="212"/>
    </row>
    <row r="65" spans="2:8" x14ac:dyDescent="0.25">
      <c r="B65" s="212"/>
      <c r="C65" s="212"/>
      <c r="D65" s="212"/>
      <c r="E65" s="212"/>
      <c r="F65" s="212"/>
      <c r="G65" s="212"/>
      <c r="H65" s="212"/>
    </row>
    <row r="66" spans="2:8" x14ac:dyDescent="0.25">
      <c r="B66" s="212"/>
      <c r="C66" s="212"/>
      <c r="D66" s="212"/>
      <c r="E66" s="212"/>
      <c r="F66" s="212"/>
      <c r="G66" s="212"/>
      <c r="H66" s="212"/>
    </row>
    <row r="67" spans="2:8" x14ac:dyDescent="0.25">
      <c r="B67" s="212"/>
      <c r="C67" s="212"/>
      <c r="D67" s="212"/>
      <c r="E67" s="212"/>
      <c r="F67" s="212"/>
      <c r="G67" s="212"/>
      <c r="H67" s="212"/>
    </row>
    <row r="68" spans="2:8" x14ac:dyDescent="0.25">
      <c r="B68" s="212"/>
      <c r="C68" s="212"/>
      <c r="D68" s="212"/>
      <c r="E68" s="212"/>
      <c r="F68" s="212"/>
      <c r="G68" s="212"/>
      <c r="H68" s="212"/>
    </row>
    <row r="69" spans="2:8" x14ac:dyDescent="0.25">
      <c r="B69" s="135"/>
      <c r="C69" s="631" t="s">
        <v>325</v>
      </c>
      <c r="D69" s="632"/>
      <c r="E69" s="632"/>
      <c r="F69" s="631" t="s">
        <v>326</v>
      </c>
      <c r="G69" s="632"/>
      <c r="H69" s="632"/>
    </row>
    <row r="70" spans="2:8" x14ac:dyDescent="0.25">
      <c r="B70" s="208" t="s">
        <v>327</v>
      </c>
      <c r="C70" s="214" t="s">
        <v>328</v>
      </c>
      <c r="D70" s="215" t="s">
        <v>329</v>
      </c>
      <c r="E70" s="215" t="s">
        <v>239</v>
      </c>
      <c r="F70" s="214" t="s">
        <v>328</v>
      </c>
      <c r="G70" s="215" t="s">
        <v>329</v>
      </c>
      <c r="H70" s="215" t="s">
        <v>239</v>
      </c>
    </row>
    <row r="71" spans="2:8" x14ac:dyDescent="0.25">
      <c r="B71" s="209" t="s">
        <v>239</v>
      </c>
      <c r="C71" s="541">
        <f t="shared" ref="C71:H71" si="4">SUM(C72:C83)</f>
        <v>100</v>
      </c>
      <c r="D71" s="541">
        <f t="shared" si="4"/>
        <v>16</v>
      </c>
      <c r="E71" s="541">
        <f t="shared" si="4"/>
        <v>116</v>
      </c>
      <c r="F71" s="541">
        <f t="shared" si="4"/>
        <v>116</v>
      </c>
      <c r="G71" s="541">
        <f t="shared" si="4"/>
        <v>12</v>
      </c>
      <c r="H71" s="541">
        <f t="shared" si="4"/>
        <v>128</v>
      </c>
    </row>
    <row r="72" spans="2:8" x14ac:dyDescent="0.25">
      <c r="B72" s="540" t="s">
        <v>332</v>
      </c>
      <c r="C72" s="207">
        <v>3</v>
      </c>
      <c r="D72" s="207">
        <v>0</v>
      </c>
      <c r="E72" s="542">
        <f t="shared" ref="E72:E83" si="5">SUM(C72:D72)</f>
        <v>3</v>
      </c>
      <c r="F72" s="207">
        <v>2</v>
      </c>
      <c r="G72" s="207">
        <v>0</v>
      </c>
      <c r="H72" s="542">
        <f t="shared" ref="H72:H83" si="6">SUM(F72:G72)</f>
        <v>2</v>
      </c>
    </row>
    <row r="73" spans="2:8" x14ac:dyDescent="0.25">
      <c r="B73" s="540" t="s">
        <v>334</v>
      </c>
      <c r="C73" s="207">
        <v>0</v>
      </c>
      <c r="D73" s="207">
        <v>0</v>
      </c>
      <c r="E73" s="542">
        <f t="shared" si="5"/>
        <v>0</v>
      </c>
      <c r="F73" s="207">
        <v>0</v>
      </c>
      <c r="G73" s="207">
        <v>0</v>
      </c>
      <c r="H73" s="542">
        <f t="shared" si="6"/>
        <v>0</v>
      </c>
    </row>
    <row r="74" spans="2:8" x14ac:dyDescent="0.25">
      <c r="B74" s="540" t="s">
        <v>336</v>
      </c>
      <c r="C74" s="207">
        <v>5</v>
      </c>
      <c r="D74" s="207">
        <v>0</v>
      </c>
      <c r="E74" s="542">
        <f t="shared" si="5"/>
        <v>5</v>
      </c>
      <c r="F74" s="207">
        <v>6</v>
      </c>
      <c r="G74" s="207">
        <v>0</v>
      </c>
      <c r="H74" s="542">
        <f t="shared" si="6"/>
        <v>6</v>
      </c>
    </row>
    <row r="75" spans="2:8" x14ac:dyDescent="0.25">
      <c r="B75" s="540" t="s">
        <v>338</v>
      </c>
      <c r="C75" s="207">
        <v>1</v>
      </c>
      <c r="D75" s="207">
        <v>0</v>
      </c>
      <c r="E75" s="542">
        <f t="shared" si="5"/>
        <v>1</v>
      </c>
      <c r="F75" s="207">
        <v>1</v>
      </c>
      <c r="G75" s="207">
        <v>1</v>
      </c>
      <c r="H75" s="542">
        <f t="shared" si="6"/>
        <v>2</v>
      </c>
    </row>
    <row r="76" spans="2:8" x14ac:dyDescent="0.25">
      <c r="B76" s="540" t="s">
        <v>340</v>
      </c>
      <c r="C76" s="207">
        <v>11</v>
      </c>
      <c r="D76" s="207">
        <v>0</v>
      </c>
      <c r="E76" s="542">
        <f t="shared" si="5"/>
        <v>11</v>
      </c>
      <c r="F76" s="207">
        <v>16</v>
      </c>
      <c r="G76" s="207">
        <v>1</v>
      </c>
      <c r="H76" s="542">
        <f t="shared" si="6"/>
        <v>17</v>
      </c>
    </row>
    <row r="77" spans="2:8" x14ac:dyDescent="0.25">
      <c r="B77" s="540" t="s">
        <v>342</v>
      </c>
      <c r="C77" s="207">
        <v>11</v>
      </c>
      <c r="D77" s="207">
        <v>0</v>
      </c>
      <c r="E77" s="542">
        <f t="shared" si="5"/>
        <v>11</v>
      </c>
      <c r="F77" s="207">
        <v>11</v>
      </c>
      <c r="G77" s="207">
        <v>0</v>
      </c>
      <c r="H77" s="542">
        <f t="shared" si="6"/>
        <v>11</v>
      </c>
    </row>
    <row r="78" spans="2:8" x14ac:dyDescent="0.25">
      <c r="B78" s="540" t="s">
        <v>344</v>
      </c>
      <c r="C78" s="207">
        <v>49</v>
      </c>
      <c r="D78" s="207">
        <v>12</v>
      </c>
      <c r="E78" s="542">
        <f t="shared" si="5"/>
        <v>61</v>
      </c>
      <c r="F78" s="207">
        <v>60</v>
      </c>
      <c r="G78" s="207">
        <v>6</v>
      </c>
      <c r="H78" s="542">
        <f t="shared" si="6"/>
        <v>66</v>
      </c>
    </row>
    <row r="79" spans="2:8" x14ac:dyDescent="0.25">
      <c r="B79" s="540" t="s">
        <v>346</v>
      </c>
      <c r="C79" s="207">
        <v>2</v>
      </c>
      <c r="D79" s="207">
        <v>2</v>
      </c>
      <c r="E79" s="542">
        <f t="shared" si="5"/>
        <v>4</v>
      </c>
      <c r="F79" s="207">
        <v>2</v>
      </c>
      <c r="G79" s="207">
        <v>2</v>
      </c>
      <c r="H79" s="542">
        <f t="shared" si="6"/>
        <v>4</v>
      </c>
    </row>
    <row r="80" spans="2:8" x14ac:dyDescent="0.25">
      <c r="B80" s="540" t="s">
        <v>348</v>
      </c>
      <c r="C80" s="207">
        <v>5</v>
      </c>
      <c r="D80" s="207">
        <v>1</v>
      </c>
      <c r="E80" s="542">
        <f t="shared" si="5"/>
        <v>6</v>
      </c>
      <c r="F80" s="207">
        <v>3</v>
      </c>
      <c r="G80" s="207">
        <v>2</v>
      </c>
      <c r="H80" s="542">
        <f t="shared" si="6"/>
        <v>5</v>
      </c>
    </row>
    <row r="81" spans="2:8" x14ac:dyDescent="0.25">
      <c r="B81" s="540" t="s">
        <v>350</v>
      </c>
      <c r="C81" s="207">
        <v>9</v>
      </c>
      <c r="D81" s="207">
        <v>1</v>
      </c>
      <c r="E81" s="542">
        <f t="shared" si="5"/>
        <v>10</v>
      </c>
      <c r="F81" s="207">
        <v>11</v>
      </c>
      <c r="G81" s="207">
        <v>0</v>
      </c>
      <c r="H81" s="542">
        <f t="shared" si="6"/>
        <v>11</v>
      </c>
    </row>
    <row r="82" spans="2:8" x14ac:dyDescent="0.25">
      <c r="B82" s="540" t="s">
        <v>352</v>
      </c>
      <c r="C82" s="207">
        <v>4</v>
      </c>
      <c r="D82" s="207">
        <v>0</v>
      </c>
      <c r="E82" s="542">
        <f>SUM(C82:D82)</f>
        <v>4</v>
      </c>
      <c r="F82" s="207">
        <v>4</v>
      </c>
      <c r="G82" s="207">
        <v>0</v>
      </c>
      <c r="H82" s="542">
        <f>SUM(F82:G82)</f>
        <v>4</v>
      </c>
    </row>
    <row r="83" spans="2:8" x14ac:dyDescent="0.25">
      <c r="B83" s="178" t="s">
        <v>330</v>
      </c>
      <c r="C83" s="207"/>
      <c r="D83" s="207"/>
      <c r="E83" s="542">
        <f t="shared" si="5"/>
        <v>0</v>
      </c>
      <c r="F83" s="543"/>
      <c r="G83" s="543"/>
      <c r="H83" s="542">
        <f t="shared" si="6"/>
        <v>0</v>
      </c>
    </row>
    <row r="84" spans="2:8" x14ac:dyDescent="0.25">
      <c r="B84" s="216" t="s">
        <v>331</v>
      </c>
    </row>
    <row r="87" spans="2:8" x14ac:dyDescent="0.25">
      <c r="B87" s="188" t="s">
        <v>332</v>
      </c>
      <c r="C87" s="1" t="s">
        <v>333</v>
      </c>
    </row>
    <row r="88" spans="2:8" x14ac:dyDescent="0.25">
      <c r="B88" s="188" t="s">
        <v>334</v>
      </c>
      <c r="C88" s="1" t="s">
        <v>335</v>
      </c>
    </row>
    <row r="89" spans="2:8" x14ac:dyDescent="0.25">
      <c r="B89" s="188" t="s">
        <v>336</v>
      </c>
      <c r="C89" s="1" t="s">
        <v>337</v>
      </c>
    </row>
    <row r="90" spans="2:8" x14ac:dyDescent="0.25">
      <c r="B90" s="188" t="s">
        <v>338</v>
      </c>
      <c r="C90" s="1" t="s">
        <v>339</v>
      </c>
    </row>
    <row r="91" spans="2:8" x14ac:dyDescent="0.25">
      <c r="B91" s="188" t="s">
        <v>340</v>
      </c>
      <c r="C91" s="1" t="s">
        <v>341</v>
      </c>
    </row>
    <row r="92" spans="2:8" x14ac:dyDescent="0.25">
      <c r="B92" s="188" t="s">
        <v>342</v>
      </c>
      <c r="C92" s="1" t="s">
        <v>343</v>
      </c>
    </row>
    <row r="93" spans="2:8" x14ac:dyDescent="0.25">
      <c r="B93" s="188" t="s">
        <v>344</v>
      </c>
      <c r="C93" s="1" t="s">
        <v>345</v>
      </c>
    </row>
    <row r="94" spans="2:8" x14ac:dyDescent="0.25">
      <c r="B94" s="188" t="s">
        <v>346</v>
      </c>
      <c r="C94" s="1" t="s">
        <v>347</v>
      </c>
    </row>
    <row r="95" spans="2:8" x14ac:dyDescent="0.25">
      <c r="B95" s="188" t="s">
        <v>348</v>
      </c>
      <c r="C95" s="1" t="s">
        <v>349</v>
      </c>
    </row>
    <row r="96" spans="2:8" x14ac:dyDescent="0.25">
      <c r="B96" s="188" t="s">
        <v>350</v>
      </c>
      <c r="C96" s="1" t="s">
        <v>351</v>
      </c>
    </row>
    <row r="97" spans="2:3" x14ac:dyDescent="0.25">
      <c r="B97" s="188" t="s">
        <v>352</v>
      </c>
      <c r="C97" s="1" t="s">
        <v>353</v>
      </c>
    </row>
    <row r="98" spans="2:3" x14ac:dyDescent="0.25">
      <c r="C98" s="1" t="s">
        <v>354</v>
      </c>
    </row>
    <row r="99" spans="2:3" x14ac:dyDescent="0.25">
      <c r="C99" s="1" t="s">
        <v>355</v>
      </c>
    </row>
    <row r="100" spans="2:3" x14ac:dyDescent="0.25">
      <c r="C100" s="1" t="s">
        <v>356</v>
      </c>
    </row>
    <row r="101" spans="2:3" x14ac:dyDescent="0.25">
      <c r="C101" s="1" t="s">
        <v>357</v>
      </c>
    </row>
    <row r="102" spans="2:3" x14ac:dyDescent="0.25">
      <c r="C102" s="1" t="s">
        <v>358</v>
      </c>
    </row>
    <row r="103" spans="2:3" x14ac:dyDescent="0.25">
      <c r="C103" s="1" t="s">
        <v>359</v>
      </c>
    </row>
    <row r="104" spans="2:3" x14ac:dyDescent="0.25">
      <c r="C104" s="1" t="s">
        <v>360</v>
      </c>
    </row>
    <row r="105" spans="2:3" x14ac:dyDescent="0.25">
      <c r="C105" s="1" t="s">
        <v>361</v>
      </c>
    </row>
    <row r="106" spans="2:3" x14ac:dyDescent="0.25">
      <c r="C106" s="1" t="s">
        <v>362</v>
      </c>
    </row>
    <row r="107" spans="2:3" x14ac:dyDescent="0.25">
      <c r="C107" s="1" t="s">
        <v>363</v>
      </c>
    </row>
    <row r="108" spans="2:3" x14ac:dyDescent="0.25">
      <c r="C108" s="1" t="s">
        <v>364</v>
      </c>
    </row>
    <row r="109" spans="2:3" x14ac:dyDescent="0.25">
      <c r="C109" s="1" t="s">
        <v>365</v>
      </c>
    </row>
    <row r="110" spans="2:3" x14ac:dyDescent="0.25">
      <c r="C110" s="1" t="s">
        <v>366</v>
      </c>
    </row>
    <row r="111" spans="2:3" x14ac:dyDescent="0.25">
      <c r="C111" s="1" t="s">
        <v>367</v>
      </c>
    </row>
    <row r="114" spans="2:5" x14ac:dyDescent="0.25">
      <c r="B114" s="568">
        <v>2023</v>
      </c>
      <c r="C114" s="568"/>
      <c r="D114" s="630">
        <v>2024</v>
      </c>
      <c r="E114" s="630"/>
    </row>
    <row r="115" spans="2:5" x14ac:dyDescent="0.25">
      <c r="B115" s="215" t="s">
        <v>239</v>
      </c>
      <c r="C115" s="215" t="s">
        <v>329</v>
      </c>
      <c r="D115" s="215" t="s">
        <v>239</v>
      </c>
      <c r="E115" s="215" t="s">
        <v>329</v>
      </c>
    </row>
    <row r="116" spans="2:5" x14ac:dyDescent="0.25">
      <c r="B116" s="541">
        <v>116</v>
      </c>
      <c r="C116" s="541">
        <v>16</v>
      </c>
      <c r="D116" s="541">
        <v>128</v>
      </c>
      <c r="E116" s="541">
        <v>12</v>
      </c>
    </row>
  </sheetData>
  <mergeCells count="8">
    <mergeCell ref="B114:C114"/>
    <mergeCell ref="D114:E114"/>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2173-F75C-412C-9EC0-FA995AC6519D}">
  <dimension ref="A1:AA72"/>
  <sheetViews>
    <sheetView topLeftCell="B1" zoomScale="115" zoomScaleNormal="115" workbookViewId="0">
      <selection activeCell="L6" sqref="L6:L7"/>
    </sheetView>
  </sheetViews>
  <sheetFormatPr defaultRowHeight="15" x14ac:dyDescent="0.25"/>
  <cols>
    <col min="1" max="1" width="20.42578125" customWidth="1"/>
    <col min="2" max="2" width="15.85546875" customWidth="1"/>
    <col min="3" max="3" width="15.140625" customWidth="1"/>
    <col min="4" max="4" width="20" customWidth="1"/>
    <col min="5" max="9" width="5.85546875" customWidth="1"/>
    <col min="10" max="10" width="12.140625" customWidth="1"/>
    <col min="11" max="11" width="15.140625" customWidth="1"/>
    <col min="12" max="12" width="16.85546875" customWidth="1"/>
    <col min="13" max="13" width="15.85546875" customWidth="1"/>
    <col min="14" max="14" width="22.140625" customWidth="1"/>
    <col min="15" max="15" width="19.140625" customWidth="1"/>
    <col min="16" max="17" width="12.140625" customWidth="1"/>
    <col min="19" max="27" width="9.140625" style="19"/>
  </cols>
  <sheetData>
    <row r="1" spans="1:27" s="477" customFormat="1" ht="120" x14ac:dyDescent="0.25">
      <c r="A1" s="476" t="s">
        <v>368</v>
      </c>
      <c r="B1" s="476" t="s">
        <v>369</v>
      </c>
      <c r="C1" s="476" t="s">
        <v>369</v>
      </c>
      <c r="D1" s="476" t="s">
        <v>370</v>
      </c>
      <c r="E1" s="641" t="s">
        <v>371</v>
      </c>
      <c r="F1" s="642"/>
      <c r="G1" s="642"/>
      <c r="H1" s="642"/>
      <c r="I1" s="643"/>
      <c r="J1" s="476" t="s">
        <v>372</v>
      </c>
      <c r="K1" s="476" t="s">
        <v>373</v>
      </c>
      <c r="L1" s="476" t="s">
        <v>374</v>
      </c>
      <c r="M1" s="476" t="s">
        <v>375</v>
      </c>
      <c r="N1" s="476" t="s">
        <v>376</v>
      </c>
      <c r="O1" s="476" t="s">
        <v>377</v>
      </c>
      <c r="P1" s="476" t="s">
        <v>378</v>
      </c>
      <c r="Q1" s="526" t="s">
        <v>379</v>
      </c>
      <c r="S1" s="559"/>
      <c r="T1" s="559"/>
      <c r="U1" s="559"/>
      <c r="V1" s="559"/>
      <c r="W1" s="559"/>
      <c r="X1" s="559"/>
      <c r="Y1" s="559"/>
      <c r="Z1" s="559"/>
      <c r="AA1" s="559"/>
    </row>
    <row r="2" spans="1:27" ht="34.35" customHeight="1" x14ac:dyDescent="0.25">
      <c r="A2" s="644" t="s">
        <v>380</v>
      </c>
      <c r="B2" s="644" t="s">
        <v>381</v>
      </c>
      <c r="C2" s="644" t="s">
        <v>382</v>
      </c>
      <c r="D2" s="644" t="s">
        <v>383</v>
      </c>
      <c r="E2" s="646" t="s">
        <v>384</v>
      </c>
      <c r="F2" s="642"/>
      <c r="G2" s="642"/>
      <c r="H2" s="642"/>
      <c r="I2" s="643"/>
      <c r="J2" s="644" t="s">
        <v>385</v>
      </c>
      <c r="K2" s="644" t="s">
        <v>386</v>
      </c>
      <c r="L2" s="647" t="s">
        <v>387</v>
      </c>
      <c r="M2" s="647" t="s">
        <v>388</v>
      </c>
      <c r="N2" s="647" t="s">
        <v>389</v>
      </c>
      <c r="O2" s="644" t="s">
        <v>390</v>
      </c>
      <c r="P2" s="644" t="s">
        <v>391</v>
      </c>
      <c r="Q2" s="639" t="s">
        <v>392</v>
      </c>
    </row>
    <row r="3" spans="1:27" ht="27.6" customHeight="1" x14ac:dyDescent="0.25">
      <c r="A3" s="645"/>
      <c r="B3" s="645"/>
      <c r="C3" s="645"/>
      <c r="D3" s="645"/>
      <c r="E3" s="478">
        <v>2023</v>
      </c>
      <c r="F3" s="478">
        <v>2024</v>
      </c>
      <c r="G3" s="478">
        <v>2025</v>
      </c>
      <c r="H3" s="478">
        <v>2026</v>
      </c>
      <c r="I3" s="478">
        <v>2027</v>
      </c>
      <c r="J3" s="645"/>
      <c r="K3" s="645"/>
      <c r="L3" s="648"/>
      <c r="M3" s="648"/>
      <c r="N3" s="648"/>
      <c r="O3" s="645"/>
      <c r="P3" s="645"/>
      <c r="Q3" s="640"/>
    </row>
    <row r="4" spans="1:27" s="80" customFormat="1" x14ac:dyDescent="0.25">
      <c r="A4" s="479"/>
      <c r="B4" s="480"/>
      <c r="C4" s="480"/>
      <c r="D4" s="480"/>
      <c r="E4" s="481"/>
      <c r="F4" s="481"/>
      <c r="G4" s="481"/>
      <c r="H4" s="481"/>
      <c r="I4" s="481"/>
      <c r="J4" s="480"/>
      <c r="K4" s="480"/>
      <c r="L4" s="482"/>
      <c r="M4" s="480"/>
      <c r="N4" s="480"/>
      <c r="O4" s="480"/>
      <c r="P4" s="480"/>
      <c r="Q4" s="527"/>
      <c r="S4" s="188"/>
      <c r="T4" s="188"/>
      <c r="U4" s="188"/>
      <c r="V4" s="188"/>
      <c r="W4" s="188"/>
      <c r="X4" s="188"/>
      <c r="Y4" s="188"/>
      <c r="Z4" s="188"/>
      <c r="AA4" s="188"/>
    </row>
    <row r="5" spans="1:27" s="80" customFormat="1" ht="38.25" x14ac:dyDescent="0.25">
      <c r="A5" s="479" t="s">
        <v>113</v>
      </c>
      <c r="B5" s="480" t="s">
        <v>344</v>
      </c>
      <c r="C5" s="480">
        <v>3</v>
      </c>
      <c r="D5" s="483" t="s">
        <v>366</v>
      </c>
      <c r="E5" s="481"/>
      <c r="F5" s="481" t="s">
        <v>265</v>
      </c>
      <c r="G5" s="481" t="s">
        <v>265</v>
      </c>
      <c r="H5" s="481" t="s">
        <v>265</v>
      </c>
      <c r="I5" s="481" t="s">
        <v>265</v>
      </c>
      <c r="J5" s="480" t="s">
        <v>393</v>
      </c>
      <c r="K5" s="480" t="s">
        <v>425</v>
      </c>
      <c r="L5" s="482">
        <v>60210</v>
      </c>
      <c r="M5" s="480" t="s">
        <v>395</v>
      </c>
      <c r="N5" s="480"/>
      <c r="O5" s="480" t="s">
        <v>396</v>
      </c>
      <c r="P5" s="480">
        <v>100</v>
      </c>
      <c r="Q5" s="527" t="s">
        <v>400</v>
      </c>
      <c r="S5" s="188">
        <f>L5/12/1.338</f>
        <v>3750</v>
      </c>
      <c r="T5" s="188" t="s">
        <v>649</v>
      </c>
      <c r="U5" s="188"/>
      <c r="V5" s="188"/>
      <c r="W5" s="188"/>
      <c r="X5" s="188" t="s">
        <v>421</v>
      </c>
      <c r="Y5" s="188"/>
      <c r="Z5" s="188"/>
      <c r="AA5" s="188"/>
    </row>
    <row r="6" spans="1:27" s="80" customFormat="1" ht="15" customHeight="1" x14ac:dyDescent="0.25">
      <c r="A6" s="479" t="s">
        <v>113</v>
      </c>
      <c r="B6" s="480" t="s">
        <v>332</v>
      </c>
      <c r="C6" s="480">
        <v>3</v>
      </c>
      <c r="D6" s="480" t="s">
        <v>341</v>
      </c>
      <c r="E6" s="481"/>
      <c r="F6" s="481" t="s">
        <v>265</v>
      </c>
      <c r="G6" s="481" t="s">
        <v>265</v>
      </c>
      <c r="H6" s="481" t="s">
        <v>265</v>
      </c>
      <c r="I6" s="481" t="s">
        <v>265</v>
      </c>
      <c r="J6" s="480" t="s">
        <v>393</v>
      </c>
      <c r="K6" s="480" t="s">
        <v>394</v>
      </c>
      <c r="L6" s="482">
        <v>70800</v>
      </c>
      <c r="M6" s="480" t="s">
        <v>395</v>
      </c>
      <c r="N6" s="480"/>
      <c r="O6" s="480" t="s">
        <v>396</v>
      </c>
      <c r="P6" s="480">
        <v>100</v>
      </c>
      <c r="Q6" s="527" t="s">
        <v>400</v>
      </c>
      <c r="S6" s="188">
        <f>L6/12/1.338</f>
        <v>4409.5665171898354</v>
      </c>
      <c r="T6" s="188" t="s">
        <v>648</v>
      </c>
      <c r="U6" s="188"/>
      <c r="V6" s="188"/>
      <c r="W6" s="188"/>
      <c r="X6" s="188" t="s">
        <v>422</v>
      </c>
      <c r="Y6" s="188"/>
      <c r="Z6" s="188"/>
      <c r="AA6" s="188"/>
    </row>
    <row r="7" spans="1:27" s="80" customFormat="1" ht="38.25" x14ac:dyDescent="0.25">
      <c r="A7" s="479" t="s">
        <v>113</v>
      </c>
      <c r="B7" s="480" t="s">
        <v>346</v>
      </c>
      <c r="C7" s="480">
        <v>3</v>
      </c>
      <c r="D7" s="479" t="s">
        <v>397</v>
      </c>
      <c r="E7" s="481"/>
      <c r="F7" s="481" t="s">
        <v>265</v>
      </c>
      <c r="G7" s="481" t="s">
        <v>265</v>
      </c>
      <c r="H7" s="481" t="s">
        <v>265</v>
      </c>
      <c r="I7" s="481" t="s">
        <v>265</v>
      </c>
      <c r="J7" s="480" t="s">
        <v>393</v>
      </c>
      <c r="K7" s="480" t="s">
        <v>425</v>
      </c>
      <c r="L7" s="482">
        <f>12*6857</f>
        <v>82284</v>
      </c>
      <c r="M7" s="480" t="s">
        <v>395</v>
      </c>
      <c r="N7" s="480"/>
      <c r="O7" s="480" t="s">
        <v>396</v>
      </c>
      <c r="P7" s="480">
        <v>100</v>
      </c>
      <c r="Q7" s="529" t="s">
        <v>400</v>
      </c>
      <c r="S7" s="188">
        <f>L7/12/1.338</f>
        <v>5124.8131539611359</v>
      </c>
      <c r="T7" s="188" t="s">
        <v>648</v>
      </c>
      <c r="U7" s="188"/>
      <c r="V7" s="188"/>
      <c r="W7" s="188"/>
      <c r="X7" s="188" t="s">
        <v>422</v>
      </c>
      <c r="Y7" s="188"/>
      <c r="Z7" s="188"/>
      <c r="AA7" s="188"/>
    </row>
    <row r="8" spans="1:27" s="80" customFormat="1" ht="76.5" x14ac:dyDescent="0.25">
      <c r="A8" s="553" t="s">
        <v>409</v>
      </c>
      <c r="B8" s="562" t="s">
        <v>348</v>
      </c>
      <c r="C8" s="555">
        <v>3</v>
      </c>
      <c r="D8" s="553" t="s">
        <v>429</v>
      </c>
      <c r="E8" s="556"/>
      <c r="F8" s="556" t="s">
        <v>265</v>
      </c>
      <c r="G8" s="556" t="s">
        <v>265</v>
      </c>
      <c r="H8" s="556" t="s">
        <v>265</v>
      </c>
      <c r="I8" s="556" t="s">
        <v>265</v>
      </c>
      <c r="J8" s="555" t="s">
        <v>393</v>
      </c>
      <c r="K8" s="555" t="s">
        <v>394</v>
      </c>
      <c r="L8" s="557">
        <f>1*60000</f>
        <v>60000</v>
      </c>
      <c r="M8" s="555" t="s">
        <v>395</v>
      </c>
      <c r="N8" s="555"/>
      <c r="O8" s="555" t="s">
        <v>396</v>
      </c>
      <c r="P8" s="555">
        <v>100</v>
      </c>
      <c r="Q8" s="558" t="s">
        <v>400</v>
      </c>
      <c r="S8" s="188">
        <f>L8/12/1.338/2</f>
        <v>1868.4603886397608</v>
      </c>
      <c r="T8" s="188" t="s">
        <v>650</v>
      </c>
      <c r="U8" s="188"/>
      <c r="V8" s="188"/>
      <c r="W8" s="188"/>
      <c r="X8" s="188" t="s">
        <v>430</v>
      </c>
      <c r="Y8" s="188"/>
      <c r="Z8" s="188"/>
      <c r="AA8" s="188"/>
    </row>
    <row r="9" spans="1:27" s="80" customFormat="1" ht="76.5" x14ac:dyDescent="0.25">
      <c r="A9" s="553" t="s">
        <v>409</v>
      </c>
      <c r="B9" s="554" t="s">
        <v>348</v>
      </c>
      <c r="C9" s="555">
        <v>3</v>
      </c>
      <c r="D9" s="553" t="s">
        <v>429</v>
      </c>
      <c r="E9" s="556"/>
      <c r="F9" s="556" t="s">
        <v>265</v>
      </c>
      <c r="G9" s="556" t="s">
        <v>265</v>
      </c>
      <c r="H9" s="556" t="s">
        <v>265</v>
      </c>
      <c r="I9" s="556" t="s">
        <v>265</v>
      </c>
      <c r="J9" s="555" t="s">
        <v>393</v>
      </c>
      <c r="K9" s="555" t="s">
        <v>394</v>
      </c>
      <c r="L9" s="557">
        <f>1*60000</f>
        <v>60000</v>
      </c>
      <c r="M9" s="555" t="s">
        <v>395</v>
      </c>
      <c r="N9" s="555"/>
      <c r="O9" s="555" t="s">
        <v>396</v>
      </c>
      <c r="P9" s="555">
        <v>100</v>
      </c>
      <c r="Q9" s="558" t="s">
        <v>400</v>
      </c>
      <c r="S9" s="188"/>
      <c r="T9" s="188"/>
      <c r="U9" s="188"/>
      <c r="V9" s="188"/>
      <c r="W9" s="188"/>
      <c r="X9" s="188"/>
      <c r="Y9" s="188"/>
      <c r="Z9" s="188"/>
      <c r="AA9" s="188"/>
    </row>
    <row r="10" spans="1:27" s="80" customFormat="1" ht="76.5" x14ac:dyDescent="0.25">
      <c r="A10" s="479" t="s">
        <v>409</v>
      </c>
      <c r="B10" s="549" t="s">
        <v>348</v>
      </c>
      <c r="C10" s="480">
        <v>4</v>
      </c>
      <c r="D10" s="479" t="s">
        <v>429</v>
      </c>
      <c r="E10" s="481"/>
      <c r="F10" s="481" t="s">
        <v>265</v>
      </c>
      <c r="G10" s="481" t="s">
        <v>265</v>
      </c>
      <c r="H10" s="481" t="s">
        <v>265</v>
      </c>
      <c r="I10" s="481" t="s">
        <v>265</v>
      </c>
      <c r="J10" s="480" t="s">
        <v>393</v>
      </c>
      <c r="K10" s="480" t="s">
        <v>394</v>
      </c>
      <c r="L10" s="482">
        <f>12*5500</f>
        <v>66000</v>
      </c>
      <c r="M10" s="480" t="s">
        <v>395</v>
      </c>
      <c r="N10" s="480"/>
      <c r="O10" s="480" t="s">
        <v>396</v>
      </c>
      <c r="P10" s="480">
        <v>100</v>
      </c>
      <c r="Q10" s="529" t="s">
        <v>400</v>
      </c>
      <c r="S10" s="188">
        <f t="shared" ref="S10:S18" si="0">L10/12/1.338</f>
        <v>4110.6128550074736</v>
      </c>
      <c r="T10" s="188" t="s">
        <v>650</v>
      </c>
      <c r="U10" s="188"/>
      <c r="V10" s="188"/>
      <c r="W10" s="188"/>
      <c r="X10" s="188" t="s">
        <v>430</v>
      </c>
      <c r="Y10" s="188"/>
      <c r="Z10" s="188"/>
      <c r="AA10" s="188"/>
    </row>
    <row r="11" spans="1:27" s="80" customFormat="1" ht="76.5" x14ac:dyDescent="0.25">
      <c r="A11" s="479" t="s">
        <v>409</v>
      </c>
      <c r="B11" s="549" t="s">
        <v>344</v>
      </c>
      <c r="C11" s="480">
        <v>3</v>
      </c>
      <c r="D11" s="549" t="s">
        <v>344</v>
      </c>
      <c r="E11" s="481"/>
      <c r="F11" s="481" t="s">
        <v>265</v>
      </c>
      <c r="G11" s="481" t="s">
        <v>265</v>
      </c>
      <c r="H11" s="481" t="s">
        <v>265</v>
      </c>
      <c r="I11" s="481"/>
      <c r="J11" s="480" t="s">
        <v>393</v>
      </c>
      <c r="K11" s="480" t="s">
        <v>394</v>
      </c>
      <c r="L11" s="482">
        <f>12*4000</f>
        <v>48000</v>
      </c>
      <c r="M11" s="480" t="s">
        <v>395</v>
      </c>
      <c r="N11" s="480"/>
      <c r="O11" s="479" t="s">
        <v>605</v>
      </c>
      <c r="P11" s="480">
        <v>100</v>
      </c>
      <c r="Q11" s="529" t="s">
        <v>400</v>
      </c>
      <c r="S11" s="188">
        <f t="shared" si="0"/>
        <v>2989.5366218236172</v>
      </c>
      <c r="T11" s="188" t="s">
        <v>650</v>
      </c>
      <c r="U11" s="188"/>
      <c r="V11" s="188"/>
      <c r="W11" s="188"/>
      <c r="X11" s="188" t="s">
        <v>116</v>
      </c>
      <c r="Y11" s="188"/>
      <c r="Z11" s="188"/>
      <c r="AA11" s="188"/>
    </row>
    <row r="12" spans="1:27" s="80" customFormat="1" ht="76.5" x14ac:dyDescent="0.25">
      <c r="A12" s="479" t="s">
        <v>409</v>
      </c>
      <c r="B12" s="549" t="s">
        <v>342</v>
      </c>
      <c r="C12" s="480">
        <v>3</v>
      </c>
      <c r="D12" s="479" t="s">
        <v>342</v>
      </c>
      <c r="E12" s="481"/>
      <c r="F12" s="481" t="s">
        <v>265</v>
      </c>
      <c r="G12" s="481" t="s">
        <v>265</v>
      </c>
      <c r="H12" s="481" t="s">
        <v>265</v>
      </c>
      <c r="I12" s="481" t="s">
        <v>265</v>
      </c>
      <c r="J12" s="480" t="s">
        <v>393</v>
      </c>
      <c r="K12" s="480" t="s">
        <v>394</v>
      </c>
      <c r="L12" s="482">
        <f>12*5000</f>
        <v>60000</v>
      </c>
      <c r="M12" s="480" t="s">
        <v>395</v>
      </c>
      <c r="N12" s="480"/>
      <c r="O12" s="480" t="s">
        <v>396</v>
      </c>
      <c r="P12" s="480">
        <v>100</v>
      </c>
      <c r="Q12" s="529" t="s">
        <v>400</v>
      </c>
      <c r="S12" s="188">
        <f t="shared" si="0"/>
        <v>3736.9207772795216</v>
      </c>
      <c r="T12" s="188" t="s">
        <v>650</v>
      </c>
      <c r="U12" s="188"/>
      <c r="V12" s="188"/>
      <c r="W12" s="188"/>
      <c r="X12" s="188" t="s">
        <v>430</v>
      </c>
      <c r="Y12" s="188"/>
      <c r="Z12" s="188"/>
      <c r="AA12" s="188"/>
    </row>
    <row r="13" spans="1:27" ht="30.75" customHeight="1" x14ac:dyDescent="0.25">
      <c r="A13" s="479" t="s">
        <v>606</v>
      </c>
      <c r="B13" s="479" t="s">
        <v>344</v>
      </c>
      <c r="C13" s="479">
        <v>3</v>
      </c>
      <c r="D13" s="480" t="s">
        <v>367</v>
      </c>
      <c r="E13" s="481"/>
      <c r="F13" s="481"/>
      <c r="G13" s="481"/>
      <c r="H13" s="481" t="s">
        <v>265</v>
      </c>
      <c r="I13" s="481"/>
      <c r="J13" s="480" t="s">
        <v>393</v>
      </c>
      <c r="K13" s="480" t="s">
        <v>394</v>
      </c>
      <c r="L13" s="484">
        <v>52182</v>
      </c>
      <c r="M13" s="480" t="s">
        <v>395</v>
      </c>
      <c r="N13" s="480"/>
      <c r="O13" s="480"/>
      <c r="P13" s="480">
        <v>100</v>
      </c>
      <c r="Q13" s="529" t="s">
        <v>400</v>
      </c>
      <c r="S13" s="188">
        <f t="shared" si="0"/>
        <v>3250</v>
      </c>
      <c r="T13" s="560" t="s">
        <v>660</v>
      </c>
    </row>
    <row r="14" spans="1:27" ht="30.75" customHeight="1" x14ac:dyDescent="0.25">
      <c r="A14" s="479" t="s">
        <v>607</v>
      </c>
      <c r="B14" s="479" t="s">
        <v>344</v>
      </c>
      <c r="C14" s="479">
        <v>3</v>
      </c>
      <c r="D14" s="480" t="s">
        <v>356</v>
      </c>
      <c r="E14" s="481"/>
      <c r="F14" s="481"/>
      <c r="G14" s="481" t="s">
        <v>265</v>
      </c>
      <c r="H14" s="481" t="s">
        <v>265</v>
      </c>
      <c r="I14" s="481"/>
      <c r="J14" s="480" t="s">
        <v>393</v>
      </c>
      <c r="K14" s="480" t="s">
        <v>394</v>
      </c>
      <c r="L14" s="484">
        <v>23481.9</v>
      </c>
      <c r="M14" s="480" t="s">
        <v>395</v>
      </c>
      <c r="N14" s="480"/>
      <c r="O14" s="480"/>
      <c r="P14" s="480">
        <v>50</v>
      </c>
      <c r="Q14" s="529" t="s">
        <v>400</v>
      </c>
      <c r="S14" s="188">
        <f t="shared" si="0"/>
        <v>1462.5</v>
      </c>
      <c r="T14" s="560" t="s">
        <v>660</v>
      </c>
    </row>
    <row r="15" spans="1:27" ht="30.75" customHeight="1" x14ac:dyDescent="0.25">
      <c r="A15" s="479" t="s">
        <v>608</v>
      </c>
      <c r="B15" s="479" t="s">
        <v>609</v>
      </c>
      <c r="C15" s="480">
        <v>3</v>
      </c>
      <c r="D15" s="480" t="s">
        <v>610</v>
      </c>
      <c r="E15" s="481"/>
      <c r="F15" s="481" t="s">
        <v>265</v>
      </c>
      <c r="G15" s="481" t="s">
        <v>265</v>
      </c>
      <c r="H15" s="481" t="s">
        <v>265</v>
      </c>
      <c r="I15" s="481"/>
      <c r="J15" s="480" t="s">
        <v>393</v>
      </c>
      <c r="K15" s="480" t="s">
        <v>394</v>
      </c>
      <c r="L15" s="484">
        <v>46963.8</v>
      </c>
      <c r="M15" s="480" t="s">
        <v>395</v>
      </c>
      <c r="N15" s="480"/>
      <c r="O15" s="480"/>
      <c r="P15" s="480">
        <v>100</v>
      </c>
      <c r="Q15" s="529" t="s">
        <v>400</v>
      </c>
      <c r="S15" s="188">
        <f t="shared" si="0"/>
        <v>2925</v>
      </c>
      <c r="T15" s="560" t="s">
        <v>661</v>
      </c>
    </row>
    <row r="16" spans="1:27" ht="30.75" customHeight="1" x14ac:dyDescent="0.25">
      <c r="A16" s="479" t="s">
        <v>611</v>
      </c>
      <c r="B16" s="479" t="s">
        <v>353</v>
      </c>
      <c r="C16" s="480">
        <v>3</v>
      </c>
      <c r="D16" s="480" t="s">
        <v>612</v>
      </c>
      <c r="E16" s="481"/>
      <c r="F16" s="481"/>
      <c r="G16" s="481" t="s">
        <v>265</v>
      </c>
      <c r="H16" s="481" t="s">
        <v>265</v>
      </c>
      <c r="I16" s="481" t="s">
        <v>265</v>
      </c>
      <c r="J16" s="480" t="s">
        <v>393</v>
      </c>
      <c r="K16" s="480" t="s">
        <v>394</v>
      </c>
      <c r="L16" s="484">
        <v>56196</v>
      </c>
      <c r="M16" s="480" t="s">
        <v>395</v>
      </c>
      <c r="N16" s="480"/>
      <c r="O16" s="480"/>
      <c r="P16" s="480">
        <v>100</v>
      </c>
      <c r="Q16" s="530" t="s">
        <v>644</v>
      </c>
      <c r="S16" s="188">
        <f t="shared" si="0"/>
        <v>3500</v>
      </c>
      <c r="T16" s="19" t="s">
        <v>644</v>
      </c>
    </row>
    <row r="17" spans="1:27" ht="30.75" customHeight="1" x14ac:dyDescent="0.25">
      <c r="A17" s="479" t="s">
        <v>613</v>
      </c>
      <c r="B17" s="479" t="s">
        <v>344</v>
      </c>
      <c r="C17" s="479">
        <v>3</v>
      </c>
      <c r="D17" s="480" t="s">
        <v>356</v>
      </c>
      <c r="E17" s="481"/>
      <c r="F17" s="481"/>
      <c r="G17" s="481" t="s">
        <v>265</v>
      </c>
      <c r="H17" s="481" t="s">
        <v>265</v>
      </c>
      <c r="I17" s="481"/>
      <c r="J17" s="480" t="s">
        <v>393</v>
      </c>
      <c r="K17" s="480" t="s">
        <v>394</v>
      </c>
      <c r="L17" s="484">
        <v>48168</v>
      </c>
      <c r="M17" s="480" t="s">
        <v>395</v>
      </c>
      <c r="N17" s="480"/>
      <c r="O17" s="480"/>
      <c r="P17" s="480">
        <v>100</v>
      </c>
      <c r="Q17" s="529" t="s">
        <v>655</v>
      </c>
      <c r="S17" s="188">
        <f t="shared" si="0"/>
        <v>3000</v>
      </c>
      <c r="T17" s="19" t="s">
        <v>647</v>
      </c>
    </row>
    <row r="18" spans="1:27" ht="30.75" customHeight="1" x14ac:dyDescent="0.25">
      <c r="A18" s="479" t="s">
        <v>614</v>
      </c>
      <c r="B18" s="479" t="s">
        <v>344</v>
      </c>
      <c r="C18" s="479">
        <v>3</v>
      </c>
      <c r="D18" s="480" t="s">
        <v>610</v>
      </c>
      <c r="E18" s="481"/>
      <c r="F18" s="481"/>
      <c r="G18" s="481" t="s">
        <v>265</v>
      </c>
      <c r="H18" s="481" t="s">
        <v>265</v>
      </c>
      <c r="I18" s="481"/>
      <c r="J18" s="480" t="s">
        <v>393</v>
      </c>
      <c r="K18" s="480" t="s">
        <v>394</v>
      </c>
      <c r="L18" s="484">
        <f>3000*12*1.338</f>
        <v>48168</v>
      </c>
      <c r="M18" s="480" t="s">
        <v>395</v>
      </c>
      <c r="N18" s="480"/>
      <c r="O18" s="480"/>
      <c r="P18" s="480">
        <v>100</v>
      </c>
      <c r="Q18" s="529" t="s">
        <v>400</v>
      </c>
      <c r="S18" s="188">
        <f t="shared" si="0"/>
        <v>3000</v>
      </c>
    </row>
    <row r="19" spans="1:27" s="1" customFormat="1" ht="51" x14ac:dyDescent="0.25">
      <c r="A19" s="479" t="s">
        <v>615</v>
      </c>
      <c r="B19" s="480" t="s">
        <v>344</v>
      </c>
      <c r="C19" s="480">
        <v>3</v>
      </c>
      <c r="D19" s="480" t="s">
        <v>610</v>
      </c>
      <c r="E19" s="481"/>
      <c r="F19" s="481"/>
      <c r="G19" s="481" t="s">
        <v>265</v>
      </c>
      <c r="H19" s="481" t="s">
        <v>265</v>
      </c>
      <c r="I19" s="481" t="s">
        <v>265</v>
      </c>
      <c r="J19" s="480" t="s">
        <v>393</v>
      </c>
      <c r="K19" s="480" t="s">
        <v>394</v>
      </c>
      <c r="L19" s="482">
        <v>50000</v>
      </c>
      <c r="M19" s="480" t="s">
        <v>395</v>
      </c>
      <c r="N19" s="480"/>
      <c r="O19" s="480"/>
      <c r="P19" s="480">
        <v>100</v>
      </c>
      <c r="Q19" s="529" t="s">
        <v>400</v>
      </c>
      <c r="S19" s="561">
        <f t="shared" ref="S19:S29" si="1">L19/12/1.338/1</f>
        <v>3114.1006477329347</v>
      </c>
      <c r="T19" s="188" t="s">
        <v>654</v>
      </c>
      <c r="U19" s="188"/>
      <c r="V19" s="188"/>
      <c r="W19" s="188"/>
      <c r="X19" s="188"/>
      <c r="Y19" s="188"/>
      <c r="Z19" s="188"/>
      <c r="AA19" s="188"/>
    </row>
    <row r="20" spans="1:27" s="1" customFormat="1" ht="51" x14ac:dyDescent="0.25">
      <c r="A20" s="479" t="s">
        <v>616</v>
      </c>
      <c r="B20" s="480" t="s">
        <v>344</v>
      </c>
      <c r="C20" s="480">
        <v>3</v>
      </c>
      <c r="D20" s="480" t="s">
        <v>356</v>
      </c>
      <c r="E20" s="481"/>
      <c r="F20" s="481"/>
      <c r="G20" s="481" t="s">
        <v>265</v>
      </c>
      <c r="H20" s="481" t="s">
        <v>265</v>
      </c>
      <c r="I20" s="481" t="s">
        <v>265</v>
      </c>
      <c r="J20" s="480" t="s">
        <v>393</v>
      </c>
      <c r="K20" s="480" t="s">
        <v>394</v>
      </c>
      <c r="L20" s="482">
        <v>50000</v>
      </c>
      <c r="M20" s="480" t="s">
        <v>395</v>
      </c>
      <c r="N20" s="480"/>
      <c r="O20" s="480"/>
      <c r="P20" s="480">
        <v>100</v>
      </c>
      <c r="Q20" s="529" t="s">
        <v>400</v>
      </c>
      <c r="S20" s="561">
        <f t="shared" si="1"/>
        <v>3114.1006477329347</v>
      </c>
      <c r="T20" s="188" t="s">
        <v>654</v>
      </c>
      <c r="U20" s="188"/>
      <c r="V20" s="188"/>
      <c r="W20" s="188"/>
      <c r="X20" s="188"/>
      <c r="Y20" s="188"/>
      <c r="Z20" s="188"/>
      <c r="AA20" s="188"/>
    </row>
    <row r="21" spans="1:27" s="1" customFormat="1" ht="51" x14ac:dyDescent="0.25">
      <c r="A21" s="479" t="s">
        <v>617</v>
      </c>
      <c r="B21" s="480" t="s">
        <v>344</v>
      </c>
      <c r="C21" s="480">
        <v>3</v>
      </c>
      <c r="D21" s="480" t="s">
        <v>356</v>
      </c>
      <c r="E21" s="481"/>
      <c r="F21" s="481"/>
      <c r="G21" s="481" t="s">
        <v>265</v>
      </c>
      <c r="H21" s="481" t="s">
        <v>265</v>
      </c>
      <c r="I21" s="481" t="s">
        <v>265</v>
      </c>
      <c r="J21" s="480" t="s">
        <v>393</v>
      </c>
      <c r="K21" s="480" t="s">
        <v>394</v>
      </c>
      <c r="L21" s="482">
        <f>3200*1.338*12</f>
        <v>51379.200000000004</v>
      </c>
      <c r="M21" s="480" t="s">
        <v>395</v>
      </c>
      <c r="N21" s="480"/>
      <c r="O21" s="480"/>
      <c r="P21" s="480">
        <v>100</v>
      </c>
      <c r="Q21" s="529" t="s">
        <v>400</v>
      </c>
      <c r="S21" s="561">
        <f t="shared" si="1"/>
        <v>3200</v>
      </c>
      <c r="T21" s="188" t="s">
        <v>654</v>
      </c>
      <c r="U21" s="188"/>
      <c r="V21" s="188"/>
      <c r="W21" s="188"/>
      <c r="X21" s="188"/>
      <c r="Y21" s="188"/>
      <c r="Z21" s="188"/>
      <c r="AA21" s="188"/>
    </row>
    <row r="22" spans="1:27" s="1" customFormat="1" ht="51" x14ac:dyDescent="0.25">
      <c r="A22" s="479" t="s">
        <v>618</v>
      </c>
      <c r="B22" s="480" t="s">
        <v>344</v>
      </c>
      <c r="C22" s="480">
        <v>3</v>
      </c>
      <c r="D22" s="480" t="s">
        <v>367</v>
      </c>
      <c r="E22" s="481"/>
      <c r="F22" s="481"/>
      <c r="G22" s="481"/>
      <c r="H22" s="481" t="s">
        <v>265</v>
      </c>
      <c r="I22" s="481" t="s">
        <v>265</v>
      </c>
      <c r="J22" s="480" t="s">
        <v>393</v>
      </c>
      <c r="K22" s="480" t="s">
        <v>394</v>
      </c>
      <c r="L22" s="484">
        <f>3000*12*1.338</f>
        <v>48168</v>
      </c>
      <c r="M22" s="480" t="s">
        <v>395</v>
      </c>
      <c r="N22" s="480"/>
      <c r="O22" s="480"/>
      <c r="P22" s="480">
        <v>100</v>
      </c>
      <c r="Q22" s="529" t="s">
        <v>400</v>
      </c>
      <c r="S22" s="561">
        <f t="shared" si="1"/>
        <v>3000</v>
      </c>
      <c r="T22" s="188" t="s">
        <v>654</v>
      </c>
      <c r="U22" s="188"/>
      <c r="V22" s="188"/>
      <c r="W22" s="188"/>
      <c r="X22" s="188"/>
      <c r="Y22" s="188"/>
      <c r="Z22" s="188"/>
      <c r="AA22" s="188"/>
    </row>
    <row r="23" spans="1:27" s="1" customFormat="1" ht="51" x14ac:dyDescent="0.25">
      <c r="A23" s="479" t="s">
        <v>619</v>
      </c>
      <c r="B23" s="480" t="s">
        <v>344</v>
      </c>
      <c r="C23" s="480">
        <v>3</v>
      </c>
      <c r="D23" s="480" t="s">
        <v>610</v>
      </c>
      <c r="E23" s="481"/>
      <c r="F23" s="481"/>
      <c r="G23" s="481"/>
      <c r="H23" s="481"/>
      <c r="I23" s="481" t="s">
        <v>265</v>
      </c>
      <c r="J23" s="480" t="s">
        <v>393</v>
      </c>
      <c r="K23" s="480" t="s">
        <v>394</v>
      </c>
      <c r="L23" s="484">
        <f>2800*12*1.338</f>
        <v>44956.800000000003</v>
      </c>
      <c r="M23" s="480" t="s">
        <v>395</v>
      </c>
      <c r="N23" s="480"/>
      <c r="O23" s="480"/>
      <c r="P23" s="480">
        <v>100</v>
      </c>
      <c r="Q23" s="529" t="s">
        <v>400</v>
      </c>
      <c r="S23" s="561">
        <f t="shared" si="1"/>
        <v>2800</v>
      </c>
      <c r="T23" s="188" t="s">
        <v>654</v>
      </c>
      <c r="U23" s="188"/>
      <c r="V23" s="188"/>
      <c r="W23" s="188"/>
      <c r="X23" s="188"/>
      <c r="Y23" s="188"/>
      <c r="Z23" s="188"/>
      <c r="AA23" s="188"/>
    </row>
    <row r="24" spans="1:27" s="1" customFormat="1" ht="51" x14ac:dyDescent="0.25">
      <c r="A24" s="479" t="s">
        <v>620</v>
      </c>
      <c r="B24" s="480" t="s">
        <v>344</v>
      </c>
      <c r="C24" s="480">
        <v>3</v>
      </c>
      <c r="D24" s="480" t="s">
        <v>610</v>
      </c>
      <c r="E24" s="481"/>
      <c r="F24" s="481"/>
      <c r="G24" s="481"/>
      <c r="H24" s="481"/>
      <c r="I24" s="481" t="s">
        <v>265</v>
      </c>
      <c r="J24" s="480" t="s">
        <v>393</v>
      </c>
      <c r="K24" s="480" t="s">
        <v>394</v>
      </c>
      <c r="L24" s="484">
        <f>2800*12*1.338</f>
        <v>44956.800000000003</v>
      </c>
      <c r="M24" s="480" t="s">
        <v>395</v>
      </c>
      <c r="N24" s="480"/>
      <c r="O24" s="480"/>
      <c r="P24" s="480">
        <v>20</v>
      </c>
      <c r="Q24" s="529" t="s">
        <v>400</v>
      </c>
      <c r="S24" s="561">
        <f t="shared" si="1"/>
        <v>2800</v>
      </c>
      <c r="T24" s="188" t="s">
        <v>654</v>
      </c>
      <c r="U24" s="188"/>
      <c r="V24" s="188"/>
      <c r="W24" s="188"/>
      <c r="X24" s="188"/>
      <c r="Y24" s="188"/>
      <c r="Z24" s="188"/>
      <c r="AA24" s="188"/>
    </row>
    <row r="25" spans="1:27" s="1" customFormat="1" ht="76.5" x14ac:dyDescent="0.25">
      <c r="A25" s="479" t="s">
        <v>621</v>
      </c>
      <c r="B25" s="480" t="s">
        <v>344</v>
      </c>
      <c r="C25" s="480">
        <v>3</v>
      </c>
      <c r="D25" s="480" t="s">
        <v>356</v>
      </c>
      <c r="E25" s="481"/>
      <c r="F25" s="481"/>
      <c r="G25" s="481" t="s">
        <v>265</v>
      </c>
      <c r="H25" s="481" t="s">
        <v>265</v>
      </c>
      <c r="I25" s="481"/>
      <c r="J25" s="480" t="s">
        <v>393</v>
      </c>
      <c r="K25" s="480" t="s">
        <v>394</v>
      </c>
      <c r="L25" s="484">
        <v>48060</v>
      </c>
      <c r="M25" s="480" t="s">
        <v>395</v>
      </c>
      <c r="N25" s="480"/>
      <c r="O25" s="480"/>
      <c r="P25" s="480">
        <v>100</v>
      </c>
      <c r="Q25" s="529" t="s">
        <v>400</v>
      </c>
      <c r="S25" s="561">
        <f t="shared" si="1"/>
        <v>2993.2735426008967</v>
      </c>
      <c r="T25" s="188" t="s">
        <v>654</v>
      </c>
      <c r="U25" s="188"/>
      <c r="V25" s="188"/>
      <c r="W25" s="188"/>
      <c r="X25" s="188"/>
      <c r="Y25" s="188"/>
      <c r="Z25" s="188"/>
      <c r="AA25" s="188"/>
    </row>
    <row r="26" spans="1:27" s="1" customFormat="1" ht="51" x14ac:dyDescent="0.25">
      <c r="A26" s="479" t="s">
        <v>622</v>
      </c>
      <c r="B26" s="480" t="s">
        <v>344</v>
      </c>
      <c r="C26" s="480">
        <v>3</v>
      </c>
      <c r="D26" s="480" t="s">
        <v>623</v>
      </c>
      <c r="E26" s="481"/>
      <c r="F26" s="481"/>
      <c r="G26" s="481" t="s">
        <v>265</v>
      </c>
      <c r="H26" s="481" t="s">
        <v>265</v>
      </c>
      <c r="I26" s="481" t="s">
        <v>265</v>
      </c>
      <c r="J26" s="480" t="s">
        <v>393</v>
      </c>
      <c r="K26" s="480" t="s">
        <v>394</v>
      </c>
      <c r="L26" s="484">
        <f>3200*12*1.338</f>
        <v>51379.200000000004</v>
      </c>
      <c r="M26" s="480" t="s">
        <v>395</v>
      </c>
      <c r="N26" s="480"/>
      <c r="O26" s="480"/>
      <c r="P26" s="480">
        <v>100</v>
      </c>
      <c r="Q26" s="1" t="s">
        <v>644</v>
      </c>
      <c r="S26" s="561">
        <f t="shared" si="1"/>
        <v>3200</v>
      </c>
      <c r="T26" s="188" t="s">
        <v>644</v>
      </c>
      <c r="U26" s="188"/>
      <c r="V26" s="188"/>
      <c r="W26" s="188"/>
      <c r="X26" s="188"/>
      <c r="Y26" s="188"/>
      <c r="Z26" s="188"/>
      <c r="AA26" s="188"/>
    </row>
    <row r="27" spans="1:27" s="1" customFormat="1" ht="63.75" x14ac:dyDescent="0.25">
      <c r="A27" s="479" t="s">
        <v>624</v>
      </c>
      <c r="B27" s="480" t="s">
        <v>344</v>
      </c>
      <c r="C27" s="480">
        <v>3</v>
      </c>
      <c r="D27" s="480" t="s">
        <v>625</v>
      </c>
      <c r="E27" s="481"/>
      <c r="F27" s="481"/>
      <c r="G27" s="481" t="s">
        <v>265</v>
      </c>
      <c r="H27" s="481" t="s">
        <v>265</v>
      </c>
      <c r="I27" s="481" t="s">
        <v>265</v>
      </c>
      <c r="J27" s="480" t="s">
        <v>393</v>
      </c>
      <c r="K27" s="480" t="s">
        <v>394</v>
      </c>
      <c r="L27" s="484">
        <f>3000*1.338*12</f>
        <v>48168.000000000007</v>
      </c>
      <c r="M27" s="480" t="s">
        <v>395</v>
      </c>
      <c r="N27" s="480"/>
      <c r="O27" s="480"/>
      <c r="P27" s="480">
        <v>100</v>
      </c>
      <c r="Q27" s="1" t="s">
        <v>644</v>
      </c>
      <c r="S27" s="561">
        <f t="shared" si="1"/>
        <v>3000</v>
      </c>
      <c r="T27" s="188" t="s">
        <v>644</v>
      </c>
      <c r="U27" s="188"/>
      <c r="V27" s="188"/>
      <c r="W27" s="188"/>
      <c r="X27" s="188"/>
      <c r="Y27" s="188"/>
      <c r="Z27" s="188"/>
      <c r="AA27" s="188"/>
    </row>
    <row r="28" spans="1:27" s="1" customFormat="1" ht="51" x14ac:dyDescent="0.25">
      <c r="A28" s="479" t="s">
        <v>626</v>
      </c>
      <c r="B28" s="480" t="s">
        <v>344</v>
      </c>
      <c r="C28" s="480">
        <v>3</v>
      </c>
      <c r="D28" s="480" t="s">
        <v>610</v>
      </c>
      <c r="E28" s="481"/>
      <c r="F28" s="481"/>
      <c r="G28" s="481" t="s">
        <v>265</v>
      </c>
      <c r="H28" s="481" t="s">
        <v>265</v>
      </c>
      <c r="I28" s="481" t="s">
        <v>265</v>
      </c>
      <c r="J28" s="480" t="s">
        <v>393</v>
      </c>
      <c r="K28" s="480" t="s">
        <v>394</v>
      </c>
      <c r="L28" s="484">
        <f>3000*1.338*12</f>
        <v>48168.000000000007</v>
      </c>
      <c r="M28" s="480" t="s">
        <v>395</v>
      </c>
      <c r="N28" s="480"/>
      <c r="O28" s="480"/>
      <c r="P28" s="480">
        <v>100</v>
      </c>
      <c r="Q28" s="1" t="s">
        <v>644</v>
      </c>
      <c r="S28" s="561">
        <f t="shared" si="1"/>
        <v>3000</v>
      </c>
      <c r="T28" s="188" t="s">
        <v>644</v>
      </c>
      <c r="U28" s="188"/>
      <c r="V28" s="188"/>
      <c r="W28" s="188"/>
      <c r="X28" s="188"/>
      <c r="Y28" s="188"/>
      <c r="Z28" s="188"/>
      <c r="AA28" s="188"/>
    </row>
    <row r="29" spans="1:27" s="1" customFormat="1" ht="51" x14ac:dyDescent="0.25">
      <c r="A29" s="479" t="s">
        <v>627</v>
      </c>
      <c r="B29" s="480" t="s">
        <v>336</v>
      </c>
      <c r="C29" s="480">
        <v>3</v>
      </c>
      <c r="D29" s="480" t="s">
        <v>366</v>
      </c>
      <c r="E29" s="481"/>
      <c r="F29" s="481"/>
      <c r="G29" s="481" t="s">
        <v>265</v>
      </c>
      <c r="H29" s="481" t="s">
        <v>265</v>
      </c>
      <c r="I29" s="481" t="s">
        <v>265</v>
      </c>
      <c r="J29" s="480" t="s">
        <v>393</v>
      </c>
      <c r="K29" s="480" t="s">
        <v>394</v>
      </c>
      <c r="L29" s="484">
        <f>3500*1.338*12</f>
        <v>56196</v>
      </c>
      <c r="M29" s="480" t="s">
        <v>395</v>
      </c>
      <c r="N29" s="480"/>
      <c r="O29" s="480"/>
      <c r="P29" s="480">
        <v>100</v>
      </c>
      <c r="Q29" s="1" t="s">
        <v>644</v>
      </c>
      <c r="S29" s="561">
        <f t="shared" si="1"/>
        <v>3500</v>
      </c>
      <c r="T29" s="188" t="s">
        <v>644</v>
      </c>
      <c r="U29" s="188"/>
      <c r="V29" s="188"/>
      <c r="W29" s="188"/>
      <c r="X29" s="188"/>
      <c r="Y29" s="188"/>
      <c r="Z29" s="188"/>
      <c r="AA29" s="188"/>
    </row>
    <row r="30" spans="1:27" s="1" customFormat="1" ht="51" x14ac:dyDescent="0.25">
      <c r="A30" s="479" t="s">
        <v>628</v>
      </c>
      <c r="B30" s="480" t="s">
        <v>344</v>
      </c>
      <c r="C30" s="480">
        <v>3</v>
      </c>
      <c r="D30" s="480" t="s">
        <v>625</v>
      </c>
      <c r="E30" s="481"/>
      <c r="F30" s="481"/>
      <c r="G30" s="481" t="s">
        <v>265</v>
      </c>
      <c r="H30" s="481" t="s">
        <v>265</v>
      </c>
      <c r="I30" s="481" t="s">
        <v>265</v>
      </c>
      <c r="J30" s="480" t="s">
        <v>393</v>
      </c>
      <c r="K30" s="480" t="s">
        <v>394</v>
      </c>
      <c r="L30" s="484">
        <v>50000</v>
      </c>
      <c r="M30" s="480" t="s">
        <v>395</v>
      </c>
      <c r="N30" s="480"/>
      <c r="O30" s="480"/>
      <c r="P30" s="480">
        <v>100</v>
      </c>
      <c r="Q30" s="1" t="s">
        <v>644</v>
      </c>
      <c r="S30" s="561"/>
      <c r="T30" s="188" t="s">
        <v>644</v>
      </c>
      <c r="U30" s="188"/>
      <c r="V30" s="188"/>
      <c r="W30" s="188"/>
      <c r="X30" s="188"/>
      <c r="Y30" s="188"/>
      <c r="Z30" s="188"/>
      <c r="AA30" s="188"/>
    </row>
    <row r="31" spans="1:27" s="1" customFormat="1" ht="51" x14ac:dyDescent="0.25">
      <c r="A31" s="479" t="s">
        <v>629</v>
      </c>
      <c r="B31" s="480" t="s">
        <v>344</v>
      </c>
      <c r="C31" s="480">
        <v>3</v>
      </c>
      <c r="D31" s="480" t="s">
        <v>610</v>
      </c>
      <c r="E31" s="481"/>
      <c r="F31" s="481"/>
      <c r="G31" s="481" t="s">
        <v>265</v>
      </c>
      <c r="H31" s="481" t="s">
        <v>265</v>
      </c>
      <c r="I31" s="481" t="s">
        <v>265</v>
      </c>
      <c r="J31" s="480" t="s">
        <v>393</v>
      </c>
      <c r="K31" s="480" t="s">
        <v>394</v>
      </c>
      <c r="L31" s="484">
        <v>50000</v>
      </c>
      <c r="M31" s="480" t="s">
        <v>395</v>
      </c>
      <c r="N31" s="480"/>
      <c r="O31" s="480"/>
      <c r="P31" s="480">
        <v>100</v>
      </c>
      <c r="Q31" s="1" t="s">
        <v>644</v>
      </c>
      <c r="S31" s="561"/>
      <c r="T31" s="188" t="s">
        <v>644</v>
      </c>
      <c r="U31" s="188"/>
      <c r="V31" s="188"/>
      <c r="W31" s="188"/>
      <c r="X31" s="188"/>
      <c r="Y31" s="188"/>
      <c r="Z31" s="188"/>
      <c r="AA31" s="188"/>
    </row>
    <row r="32" spans="1:27" s="1" customFormat="1" ht="89.25" x14ac:dyDescent="0.25">
      <c r="A32" s="479" t="s">
        <v>630</v>
      </c>
      <c r="B32" s="479" t="s">
        <v>631</v>
      </c>
      <c r="C32" s="480">
        <v>3</v>
      </c>
      <c r="D32" s="480" t="s">
        <v>632</v>
      </c>
      <c r="E32" s="481"/>
      <c r="F32" s="481"/>
      <c r="G32" s="481" t="s">
        <v>265</v>
      </c>
      <c r="H32" s="481" t="s">
        <v>265</v>
      </c>
      <c r="I32" s="481" t="s">
        <v>265</v>
      </c>
      <c r="J32" s="480" t="s">
        <v>393</v>
      </c>
      <c r="K32" s="480" t="s">
        <v>394</v>
      </c>
      <c r="L32" s="484">
        <v>50000</v>
      </c>
      <c r="M32" s="480" t="s">
        <v>395</v>
      </c>
      <c r="N32" s="480"/>
      <c r="O32" s="480"/>
      <c r="P32" s="480">
        <v>100</v>
      </c>
      <c r="Q32" s="1" t="s">
        <v>644</v>
      </c>
      <c r="S32" s="561"/>
      <c r="T32" s="188" t="s">
        <v>644</v>
      </c>
      <c r="U32" s="188"/>
      <c r="V32" s="188"/>
      <c r="W32" s="188"/>
      <c r="X32" s="188"/>
      <c r="Y32" s="188"/>
      <c r="Z32" s="188"/>
      <c r="AA32" s="188"/>
    </row>
    <row r="33" spans="1:27" s="1" customFormat="1" ht="89.25" x14ac:dyDescent="0.25">
      <c r="A33" s="479" t="s">
        <v>633</v>
      </c>
      <c r="B33" s="479" t="s">
        <v>631</v>
      </c>
      <c r="C33" s="480">
        <v>3</v>
      </c>
      <c r="D33" s="480" t="s">
        <v>632</v>
      </c>
      <c r="E33" s="481"/>
      <c r="F33" s="481"/>
      <c r="G33" s="481" t="s">
        <v>265</v>
      </c>
      <c r="H33" s="481" t="s">
        <v>265</v>
      </c>
      <c r="I33" s="481" t="s">
        <v>265</v>
      </c>
      <c r="J33" s="480" t="s">
        <v>393</v>
      </c>
      <c r="K33" s="480" t="s">
        <v>394</v>
      </c>
      <c r="L33" s="484">
        <f>2500*12*1.338</f>
        <v>40140</v>
      </c>
      <c r="M33" s="480" t="s">
        <v>395</v>
      </c>
      <c r="N33" s="480"/>
      <c r="O33" s="480"/>
      <c r="P33" s="480">
        <v>100</v>
      </c>
      <c r="Q33" s="1" t="s">
        <v>644</v>
      </c>
      <c r="S33" s="561">
        <f>L33/12/1.338/1</f>
        <v>2500</v>
      </c>
      <c r="T33" s="188" t="s">
        <v>644</v>
      </c>
      <c r="U33" s="188"/>
      <c r="V33" s="188"/>
      <c r="W33" s="188"/>
      <c r="X33" s="188"/>
      <c r="Y33" s="188"/>
      <c r="Z33" s="188"/>
      <c r="AA33" s="188"/>
    </row>
    <row r="34" spans="1:27" s="1" customFormat="1" ht="63.75" x14ac:dyDescent="0.25">
      <c r="A34" s="479" t="s">
        <v>634</v>
      </c>
      <c r="B34" s="479" t="s">
        <v>344</v>
      </c>
      <c r="C34" s="479">
        <v>3</v>
      </c>
      <c r="D34" s="480" t="s">
        <v>367</v>
      </c>
      <c r="E34" s="481"/>
      <c r="F34" s="481"/>
      <c r="G34" s="481" t="s">
        <v>265</v>
      </c>
      <c r="H34" s="481" t="s">
        <v>265</v>
      </c>
      <c r="I34" s="481" t="s">
        <v>265</v>
      </c>
      <c r="J34" s="480" t="s">
        <v>393</v>
      </c>
      <c r="K34" s="480" t="s">
        <v>394</v>
      </c>
      <c r="L34" s="484">
        <v>51379</v>
      </c>
      <c r="M34" s="480" t="s">
        <v>395</v>
      </c>
      <c r="N34" s="480"/>
      <c r="O34" s="480"/>
      <c r="P34" s="480">
        <v>100</v>
      </c>
      <c r="Q34" s="1" t="s">
        <v>400</v>
      </c>
      <c r="S34" s="561">
        <f>L34/12/1.338/1</f>
        <v>3199.9875435974086</v>
      </c>
      <c r="T34" s="188" t="s">
        <v>646</v>
      </c>
      <c r="U34" s="188"/>
      <c r="V34" s="188"/>
      <c r="W34" s="188"/>
      <c r="X34" s="188"/>
      <c r="Y34" s="188"/>
      <c r="Z34" s="188"/>
      <c r="AA34" s="188"/>
    </row>
    <row r="35" spans="1:27" s="1" customFormat="1" ht="63.75" x14ac:dyDescent="0.25">
      <c r="A35" s="479" t="s">
        <v>635</v>
      </c>
      <c r="B35" s="479" t="s">
        <v>344</v>
      </c>
      <c r="C35" s="479">
        <v>3</v>
      </c>
      <c r="D35" s="480" t="s">
        <v>623</v>
      </c>
      <c r="E35" s="481"/>
      <c r="F35" s="481"/>
      <c r="G35" s="481"/>
      <c r="H35" s="481" t="s">
        <v>265</v>
      </c>
      <c r="I35" s="481" t="s">
        <v>265</v>
      </c>
      <c r="J35" s="480" t="s">
        <v>393</v>
      </c>
      <c r="K35" s="480" t="s">
        <v>394</v>
      </c>
      <c r="L35" s="484">
        <v>51379</v>
      </c>
      <c r="M35" s="480" t="s">
        <v>395</v>
      </c>
      <c r="N35" s="480"/>
      <c r="O35" s="480"/>
      <c r="P35" s="480">
        <v>100</v>
      </c>
      <c r="Q35" s="1" t="s">
        <v>400</v>
      </c>
      <c r="S35" s="561">
        <f>L35/12/1.338/1</f>
        <v>3199.9875435974086</v>
      </c>
      <c r="T35" s="188" t="s">
        <v>646</v>
      </c>
      <c r="U35" s="188"/>
      <c r="V35" s="188"/>
      <c r="W35" s="188"/>
      <c r="X35" s="188"/>
      <c r="Y35" s="188"/>
      <c r="Z35" s="188"/>
      <c r="AA35" s="188"/>
    </row>
    <row r="36" spans="1:27" s="1" customFormat="1" ht="76.5" x14ac:dyDescent="0.25">
      <c r="A36" s="479" t="s">
        <v>636</v>
      </c>
      <c r="B36" s="479" t="s">
        <v>344</v>
      </c>
      <c r="C36" s="479">
        <v>3</v>
      </c>
      <c r="D36" s="480" t="s">
        <v>610</v>
      </c>
      <c r="E36" s="481"/>
      <c r="F36" s="481"/>
      <c r="G36" s="481"/>
      <c r="H36" s="481" t="s">
        <v>265</v>
      </c>
      <c r="I36" s="481" t="s">
        <v>265</v>
      </c>
      <c r="J36" s="480" t="s">
        <v>393</v>
      </c>
      <c r="K36" s="480" t="s">
        <v>394</v>
      </c>
      <c r="L36" s="484">
        <v>50000</v>
      </c>
      <c r="M36" s="480" t="s">
        <v>395</v>
      </c>
      <c r="N36" s="480"/>
      <c r="O36" s="480"/>
      <c r="P36" s="480">
        <v>100</v>
      </c>
      <c r="Q36" s="1" t="s">
        <v>400</v>
      </c>
      <c r="S36" s="561">
        <f t="shared" ref="S36:S42" si="2">L36/12/1.338/1</f>
        <v>3114.1006477329347</v>
      </c>
      <c r="T36" s="188" t="s">
        <v>646</v>
      </c>
      <c r="U36" s="188"/>
      <c r="V36" s="188"/>
      <c r="W36" s="188"/>
      <c r="X36" s="188"/>
      <c r="Y36" s="188"/>
      <c r="Z36" s="188"/>
      <c r="AA36" s="188"/>
    </row>
    <row r="37" spans="1:27" s="1" customFormat="1" ht="76.5" x14ac:dyDescent="0.25">
      <c r="A37" s="479" t="s">
        <v>637</v>
      </c>
      <c r="B37" s="479" t="s">
        <v>344</v>
      </c>
      <c r="C37" s="479">
        <v>3</v>
      </c>
      <c r="D37" s="480" t="s">
        <v>356</v>
      </c>
      <c r="E37" s="481"/>
      <c r="F37" s="481"/>
      <c r="G37" s="481"/>
      <c r="H37" s="481" t="s">
        <v>265</v>
      </c>
      <c r="I37" s="481" t="s">
        <v>265</v>
      </c>
      <c r="J37" s="480" t="s">
        <v>393</v>
      </c>
      <c r="K37" s="480" t="s">
        <v>394</v>
      </c>
      <c r="L37" s="484">
        <v>50000</v>
      </c>
      <c r="M37" s="480" t="s">
        <v>395</v>
      </c>
      <c r="N37" s="480"/>
      <c r="O37" s="480"/>
      <c r="P37" s="480">
        <v>100</v>
      </c>
      <c r="Q37" s="1" t="s">
        <v>400</v>
      </c>
      <c r="S37" s="561">
        <f t="shared" si="2"/>
        <v>3114.1006477329347</v>
      </c>
      <c r="T37" s="188" t="s">
        <v>646</v>
      </c>
      <c r="U37" s="188"/>
      <c r="V37" s="188"/>
      <c r="W37" s="188"/>
      <c r="X37" s="188"/>
      <c r="Y37" s="188"/>
      <c r="Z37" s="188"/>
      <c r="AA37" s="188"/>
    </row>
    <row r="38" spans="1:27" s="1" customFormat="1" ht="76.5" x14ac:dyDescent="0.25">
      <c r="A38" s="479" t="s">
        <v>638</v>
      </c>
      <c r="B38" s="479" t="s">
        <v>344</v>
      </c>
      <c r="C38" s="479">
        <v>3</v>
      </c>
      <c r="D38" s="480" t="s">
        <v>639</v>
      </c>
      <c r="E38" s="481"/>
      <c r="F38" s="481"/>
      <c r="G38" s="481"/>
      <c r="H38" s="481" t="s">
        <v>265</v>
      </c>
      <c r="I38" s="481" t="s">
        <v>265</v>
      </c>
      <c r="J38" s="480" t="s">
        <v>393</v>
      </c>
      <c r="K38" s="480" t="s">
        <v>394</v>
      </c>
      <c r="L38" s="484">
        <f>3000*1.338*12</f>
        <v>48168.000000000007</v>
      </c>
      <c r="M38" s="480" t="s">
        <v>395</v>
      </c>
      <c r="N38" s="480"/>
      <c r="O38" s="480"/>
      <c r="P38" s="480">
        <v>100</v>
      </c>
      <c r="Q38" s="1" t="s">
        <v>644</v>
      </c>
      <c r="S38" s="561">
        <f t="shared" si="2"/>
        <v>3000</v>
      </c>
      <c r="T38" s="188"/>
      <c r="U38" s="188"/>
      <c r="V38" s="188"/>
      <c r="W38" s="188"/>
      <c r="X38" s="188"/>
      <c r="Y38" s="188"/>
      <c r="Z38" s="188"/>
      <c r="AA38" s="188"/>
    </row>
    <row r="39" spans="1:27" s="1" customFormat="1" ht="76.5" x14ac:dyDescent="0.25">
      <c r="A39" s="479" t="s">
        <v>640</v>
      </c>
      <c r="B39" s="479" t="s">
        <v>344</v>
      </c>
      <c r="C39" s="479">
        <v>3</v>
      </c>
      <c r="D39" s="480" t="s">
        <v>610</v>
      </c>
      <c r="E39" s="481"/>
      <c r="F39" s="481"/>
      <c r="G39" s="481"/>
      <c r="H39" s="481" t="s">
        <v>265</v>
      </c>
      <c r="I39" s="481" t="s">
        <v>265</v>
      </c>
      <c r="J39" s="480" t="s">
        <v>393</v>
      </c>
      <c r="K39" s="480" t="s">
        <v>394</v>
      </c>
      <c r="L39" s="484">
        <f t="shared" ref="L39:L40" si="3">3000*1.338*12</f>
        <v>48168.000000000007</v>
      </c>
      <c r="M39" s="480" t="s">
        <v>395</v>
      </c>
      <c r="N39" s="480"/>
      <c r="O39" s="480"/>
      <c r="P39" s="480">
        <v>100</v>
      </c>
      <c r="Q39" s="1" t="s">
        <v>644</v>
      </c>
      <c r="S39" s="561">
        <f t="shared" si="2"/>
        <v>3000</v>
      </c>
      <c r="T39" s="188"/>
      <c r="U39" s="188"/>
      <c r="V39" s="188"/>
      <c r="W39" s="188"/>
      <c r="X39" s="188"/>
      <c r="Y39" s="188"/>
      <c r="Z39" s="188"/>
      <c r="AA39" s="188"/>
    </row>
    <row r="40" spans="1:27" s="1" customFormat="1" ht="63.75" x14ac:dyDescent="0.25">
      <c r="A40" s="479" t="s">
        <v>641</v>
      </c>
      <c r="B40" s="479" t="s">
        <v>344</v>
      </c>
      <c r="C40" s="479">
        <v>3</v>
      </c>
      <c r="D40" s="480" t="s">
        <v>356</v>
      </c>
      <c r="E40" s="481"/>
      <c r="F40" s="481"/>
      <c r="G40" s="481"/>
      <c r="H40" s="481" t="s">
        <v>265</v>
      </c>
      <c r="I40" s="481" t="s">
        <v>265</v>
      </c>
      <c r="J40" s="480" t="s">
        <v>393</v>
      </c>
      <c r="K40" s="480" t="s">
        <v>394</v>
      </c>
      <c r="L40" s="484">
        <f t="shared" si="3"/>
        <v>48168.000000000007</v>
      </c>
      <c r="M40" s="480" t="s">
        <v>395</v>
      </c>
      <c r="N40" s="480"/>
      <c r="O40" s="480"/>
      <c r="P40" s="480">
        <v>100</v>
      </c>
      <c r="Q40" s="1" t="s">
        <v>644</v>
      </c>
      <c r="S40" s="561">
        <f t="shared" si="2"/>
        <v>3000</v>
      </c>
      <c r="T40" s="188"/>
      <c r="U40" s="188"/>
      <c r="V40" s="188"/>
      <c r="W40" s="188"/>
      <c r="X40" s="188"/>
      <c r="Y40" s="188"/>
      <c r="Z40" s="188"/>
      <c r="AA40" s="188"/>
    </row>
    <row r="41" spans="1:27" s="1" customFormat="1" ht="51" x14ac:dyDescent="0.25">
      <c r="A41" s="479" t="s">
        <v>642</v>
      </c>
      <c r="B41" s="479" t="s">
        <v>344</v>
      </c>
      <c r="C41" s="479">
        <v>3</v>
      </c>
      <c r="D41" s="480" t="s">
        <v>639</v>
      </c>
      <c r="E41" s="481"/>
      <c r="F41" s="481"/>
      <c r="G41" s="481"/>
      <c r="H41" s="481" t="s">
        <v>265</v>
      </c>
      <c r="I41" s="481" t="s">
        <v>265</v>
      </c>
      <c r="J41" s="480" t="s">
        <v>393</v>
      </c>
      <c r="K41" s="480" t="s">
        <v>394</v>
      </c>
      <c r="L41" s="484">
        <v>19987</v>
      </c>
      <c r="M41" s="480" t="s">
        <v>395</v>
      </c>
      <c r="N41" s="480"/>
      <c r="O41" s="480"/>
      <c r="P41" s="480">
        <v>20</v>
      </c>
      <c r="Q41" s="1" t="s">
        <v>644</v>
      </c>
      <c r="S41" s="561">
        <f t="shared" si="2"/>
        <v>1244.8305929247631</v>
      </c>
      <c r="T41" s="188"/>
      <c r="U41" s="188"/>
      <c r="V41" s="188"/>
      <c r="W41" s="188"/>
      <c r="X41" s="188"/>
      <c r="Y41" s="188"/>
      <c r="Z41" s="188"/>
      <c r="AA41" s="188"/>
    </row>
    <row r="42" spans="1:27" s="1" customFormat="1" ht="51" x14ac:dyDescent="0.25">
      <c r="A42" s="479" t="s">
        <v>643</v>
      </c>
      <c r="B42" s="479" t="s">
        <v>344</v>
      </c>
      <c r="C42" s="479">
        <v>3</v>
      </c>
      <c r="D42" s="480" t="s">
        <v>356</v>
      </c>
      <c r="E42" s="481"/>
      <c r="F42" s="481"/>
      <c r="G42" s="481"/>
      <c r="H42" s="481" t="s">
        <v>265</v>
      </c>
      <c r="I42" s="481" t="s">
        <v>265</v>
      </c>
      <c r="J42" s="480" t="s">
        <v>393</v>
      </c>
      <c r="K42" s="480" t="s">
        <v>394</v>
      </c>
      <c r="L42" s="484">
        <v>19987</v>
      </c>
      <c r="M42" s="480" t="s">
        <v>395</v>
      </c>
      <c r="N42" s="480"/>
      <c r="O42" s="480"/>
      <c r="P42" s="480">
        <v>20</v>
      </c>
      <c r="Q42" s="1" t="s">
        <v>645</v>
      </c>
      <c r="S42" s="561">
        <f t="shared" si="2"/>
        <v>1244.8305929247631</v>
      </c>
      <c r="T42" s="188"/>
      <c r="U42" s="188"/>
      <c r="V42" s="188"/>
      <c r="W42" s="188"/>
      <c r="X42" s="188"/>
      <c r="Y42" s="188"/>
      <c r="Z42" s="188"/>
      <c r="AA42" s="188"/>
    </row>
    <row r="43" spans="1:27" s="1" customFormat="1" ht="25.5" x14ac:dyDescent="0.25">
      <c r="A43" s="479" t="s">
        <v>208</v>
      </c>
      <c r="B43" s="480" t="s">
        <v>336</v>
      </c>
      <c r="C43" s="480">
        <v>3</v>
      </c>
      <c r="D43" s="480" t="s">
        <v>366</v>
      </c>
      <c r="E43" s="481"/>
      <c r="F43" s="481" t="s">
        <v>265</v>
      </c>
      <c r="G43" s="481" t="s">
        <v>265</v>
      </c>
      <c r="H43" s="481" t="s">
        <v>265</v>
      </c>
      <c r="I43" s="481" t="s">
        <v>265</v>
      </c>
      <c r="J43" s="480" t="s">
        <v>393</v>
      </c>
      <c r="K43" s="480" t="s">
        <v>394</v>
      </c>
      <c r="L43" s="484">
        <v>54000</v>
      </c>
      <c r="M43" s="480" t="s">
        <v>395</v>
      </c>
      <c r="N43" s="480"/>
      <c r="O43" s="480" t="s">
        <v>396</v>
      </c>
      <c r="P43" s="480">
        <v>100</v>
      </c>
      <c r="Q43" s="1" t="s">
        <v>644</v>
      </c>
      <c r="S43" s="561">
        <f>L43/12/1.338/1</f>
        <v>3363.2286995515692</v>
      </c>
      <c r="T43" s="188"/>
      <c r="U43" s="188"/>
      <c r="V43" s="188"/>
      <c r="W43" s="188"/>
      <c r="X43" s="188"/>
      <c r="Y43" s="188"/>
      <c r="Z43" s="188"/>
      <c r="AA43" s="188"/>
    </row>
    <row r="44" spans="1:27" s="1" customFormat="1" ht="25.5" x14ac:dyDescent="0.25">
      <c r="A44" s="479" t="s">
        <v>208</v>
      </c>
      <c r="B44" s="480" t="s">
        <v>336</v>
      </c>
      <c r="C44" s="480">
        <v>3</v>
      </c>
      <c r="D44" s="480" t="s">
        <v>367</v>
      </c>
      <c r="E44" s="481"/>
      <c r="F44" s="481" t="s">
        <v>265</v>
      </c>
      <c r="G44" s="481" t="s">
        <v>265</v>
      </c>
      <c r="H44" s="481" t="s">
        <v>265</v>
      </c>
      <c r="I44" s="481" t="s">
        <v>265</v>
      </c>
      <c r="J44" s="480" t="s">
        <v>393</v>
      </c>
      <c r="K44" s="480" t="s">
        <v>394</v>
      </c>
      <c r="L44" s="484">
        <v>50000</v>
      </c>
      <c r="M44" s="480" t="s">
        <v>395</v>
      </c>
      <c r="N44" s="480"/>
      <c r="O44" s="480" t="s">
        <v>396</v>
      </c>
      <c r="P44" s="480">
        <v>100</v>
      </c>
      <c r="Q44" s="1" t="s">
        <v>644</v>
      </c>
      <c r="S44" s="561">
        <f>L44/12/1.338/1</f>
        <v>3114.1006477329347</v>
      </c>
      <c r="T44" s="188"/>
      <c r="U44" s="188"/>
      <c r="V44" s="188"/>
      <c r="W44" s="188"/>
      <c r="X44" s="188"/>
      <c r="Y44" s="188"/>
      <c r="Z44" s="188"/>
      <c r="AA44" s="188"/>
    </row>
    <row r="45" spans="1:27" s="1" customFormat="1" ht="25.5" x14ac:dyDescent="0.25">
      <c r="A45" s="479" t="s">
        <v>208</v>
      </c>
      <c r="B45" s="480" t="s">
        <v>344</v>
      </c>
      <c r="C45" s="480">
        <v>3</v>
      </c>
      <c r="D45" s="480" t="s">
        <v>355</v>
      </c>
      <c r="E45" s="481"/>
      <c r="F45" s="481" t="s">
        <v>265</v>
      </c>
      <c r="G45" s="481" t="s">
        <v>265</v>
      </c>
      <c r="H45" s="481" t="s">
        <v>265</v>
      </c>
      <c r="I45" s="481" t="s">
        <v>265</v>
      </c>
      <c r="J45" s="480" t="s">
        <v>393</v>
      </c>
      <c r="K45" s="480" t="s">
        <v>394</v>
      </c>
      <c r="L45" s="484">
        <v>58000</v>
      </c>
      <c r="M45" s="480" t="s">
        <v>395</v>
      </c>
      <c r="N45" s="480"/>
      <c r="O45" s="480" t="s">
        <v>396</v>
      </c>
      <c r="P45" s="480">
        <v>100</v>
      </c>
      <c r="Q45" s="1" t="s">
        <v>644</v>
      </c>
      <c r="S45" s="561">
        <f>L45/12/1.338/1</f>
        <v>3612.3567513702037</v>
      </c>
      <c r="T45" s="188"/>
      <c r="U45" s="188"/>
      <c r="V45" s="188"/>
      <c r="W45" s="188"/>
      <c r="X45" s="188"/>
      <c r="Y45" s="188"/>
      <c r="Z45" s="188"/>
      <c r="AA45" s="188"/>
    </row>
    <row r="46" spans="1:27" s="1" customFormat="1" ht="25.5" x14ac:dyDescent="0.25">
      <c r="A46" s="479" t="s">
        <v>208</v>
      </c>
      <c r="B46" s="480" t="s">
        <v>344</v>
      </c>
      <c r="C46" s="480">
        <v>3</v>
      </c>
      <c r="D46" s="480" t="s">
        <v>356</v>
      </c>
      <c r="E46" s="481"/>
      <c r="F46" s="481" t="s">
        <v>265</v>
      </c>
      <c r="G46" s="481" t="s">
        <v>265</v>
      </c>
      <c r="H46" s="481" t="s">
        <v>265</v>
      </c>
      <c r="I46" s="481" t="s">
        <v>265</v>
      </c>
      <c r="J46" s="480" t="s">
        <v>393</v>
      </c>
      <c r="K46" s="480" t="s">
        <v>394</v>
      </c>
      <c r="L46" s="484">
        <v>55000</v>
      </c>
      <c r="M46" s="480" t="s">
        <v>395</v>
      </c>
      <c r="N46" s="480"/>
      <c r="O46" s="480" t="s">
        <v>396</v>
      </c>
      <c r="P46" s="480">
        <v>100</v>
      </c>
      <c r="Q46" s="1" t="s">
        <v>644</v>
      </c>
      <c r="S46" s="561">
        <f>L46/12/1.338/1</f>
        <v>3425.5107125062277</v>
      </c>
      <c r="T46" s="188"/>
      <c r="U46" s="188"/>
      <c r="V46" s="188"/>
      <c r="W46" s="188"/>
      <c r="X46" s="188"/>
      <c r="Y46" s="188"/>
      <c r="Z46" s="188"/>
      <c r="AA46" s="188"/>
    </row>
    <row r="47" spans="1:27" x14ac:dyDescent="0.25">
      <c r="A47" s="638" t="s">
        <v>656</v>
      </c>
      <c r="B47" s="638"/>
      <c r="C47" s="638"/>
      <c r="D47" s="638"/>
      <c r="E47" s="638"/>
      <c r="F47" s="638"/>
      <c r="G47" s="638"/>
      <c r="H47" s="638"/>
      <c r="I47" s="638"/>
      <c r="J47" s="638"/>
      <c r="K47" s="638"/>
      <c r="L47" s="638"/>
      <c r="M47" s="638"/>
      <c r="N47" s="638"/>
      <c r="O47" s="638"/>
      <c r="P47" s="638"/>
      <c r="Q47" s="638"/>
    </row>
    <row r="48" spans="1:27" x14ac:dyDescent="0.25">
      <c r="A48" s="485"/>
      <c r="B48" s="486" t="s">
        <v>332</v>
      </c>
      <c r="C48" s="485">
        <v>1</v>
      </c>
      <c r="D48" s="485" t="s">
        <v>333</v>
      </c>
      <c r="E48" s="485"/>
      <c r="F48" s="485"/>
      <c r="G48" s="485"/>
      <c r="H48" s="485"/>
      <c r="I48" s="485"/>
      <c r="J48" s="485"/>
      <c r="K48" s="485"/>
      <c r="L48" s="485"/>
      <c r="M48" s="485"/>
      <c r="N48" s="485"/>
      <c r="O48" s="485"/>
      <c r="P48" s="485"/>
      <c r="Q48" s="528"/>
    </row>
    <row r="49" spans="2:17" x14ac:dyDescent="0.25">
      <c r="B49" s="487" t="s">
        <v>334</v>
      </c>
      <c r="C49">
        <v>2</v>
      </c>
      <c r="D49" t="s">
        <v>335</v>
      </c>
      <c r="K49" t="s">
        <v>398</v>
      </c>
      <c r="L49" s="488">
        <f>SUM(L4:L46)-L37-L36-L35-L34-L25-L24-L23-L22-L21-L20-L19-L18-L17-L15-L14-L13</f>
        <v>1359019.2000000002</v>
      </c>
      <c r="M49" s="489" t="s">
        <v>399</v>
      </c>
      <c r="Q49" s="528"/>
    </row>
    <row r="50" spans="2:17" x14ac:dyDescent="0.25">
      <c r="B50" s="487" t="s">
        <v>336</v>
      </c>
      <c r="C50">
        <v>3</v>
      </c>
      <c r="D50" t="s">
        <v>337</v>
      </c>
      <c r="K50" t="s">
        <v>400</v>
      </c>
      <c r="L50" s="488">
        <f>SUM(L5:L12)+L18</f>
        <v>555462</v>
      </c>
      <c r="M50" s="489" t="s">
        <v>663</v>
      </c>
      <c r="Q50" s="528"/>
    </row>
    <row r="51" spans="2:17" x14ac:dyDescent="0.25">
      <c r="B51" s="487" t="s">
        <v>338</v>
      </c>
      <c r="C51">
        <v>4</v>
      </c>
      <c r="D51" t="s">
        <v>339</v>
      </c>
      <c r="K51" t="s">
        <v>662</v>
      </c>
      <c r="L51" s="488">
        <f>SUM(L13:L15)</f>
        <v>122627.7</v>
      </c>
      <c r="M51" t="s">
        <v>664</v>
      </c>
      <c r="Q51" s="528"/>
    </row>
    <row r="52" spans="2:17" x14ac:dyDescent="0.25">
      <c r="B52" s="487" t="s">
        <v>340</v>
      </c>
      <c r="D52" t="s">
        <v>341</v>
      </c>
      <c r="Q52" s="528"/>
    </row>
    <row r="53" spans="2:17" x14ac:dyDescent="0.25">
      <c r="B53" s="487" t="s">
        <v>342</v>
      </c>
      <c r="D53" t="s">
        <v>343</v>
      </c>
      <c r="Q53" s="528"/>
    </row>
    <row r="54" spans="2:17" x14ac:dyDescent="0.25">
      <c r="B54" s="487" t="s">
        <v>344</v>
      </c>
      <c r="D54" t="s">
        <v>345</v>
      </c>
      <c r="Q54" s="528"/>
    </row>
    <row r="55" spans="2:17" x14ac:dyDescent="0.25">
      <c r="B55" s="487" t="s">
        <v>346</v>
      </c>
      <c r="D55" t="s">
        <v>347</v>
      </c>
      <c r="Q55" s="528"/>
    </row>
    <row r="56" spans="2:17" x14ac:dyDescent="0.25">
      <c r="B56" s="487" t="s">
        <v>348</v>
      </c>
      <c r="D56" t="s">
        <v>349</v>
      </c>
      <c r="Q56" s="528"/>
    </row>
    <row r="57" spans="2:17" x14ac:dyDescent="0.25">
      <c r="B57" s="487" t="s">
        <v>350</v>
      </c>
      <c r="D57" t="s">
        <v>351</v>
      </c>
      <c r="Q57" s="528"/>
    </row>
    <row r="58" spans="2:17" x14ac:dyDescent="0.25">
      <c r="B58" s="487" t="s">
        <v>352</v>
      </c>
      <c r="D58" t="s">
        <v>353</v>
      </c>
      <c r="Q58" s="528"/>
    </row>
    <row r="59" spans="2:17" x14ac:dyDescent="0.25">
      <c r="B59" s="19"/>
      <c r="D59" t="s">
        <v>354</v>
      </c>
      <c r="Q59" s="528"/>
    </row>
    <row r="60" spans="2:17" x14ac:dyDescent="0.25">
      <c r="B60" s="19"/>
      <c r="D60" t="s">
        <v>355</v>
      </c>
      <c r="Q60" s="528"/>
    </row>
    <row r="61" spans="2:17" x14ac:dyDescent="0.25">
      <c r="D61" t="s">
        <v>356</v>
      </c>
      <c r="Q61" s="528"/>
    </row>
    <row r="62" spans="2:17" x14ac:dyDescent="0.25">
      <c r="D62" t="s">
        <v>357</v>
      </c>
      <c r="Q62" s="528"/>
    </row>
    <row r="63" spans="2:17" x14ac:dyDescent="0.25">
      <c r="D63" t="s">
        <v>358</v>
      </c>
      <c r="Q63" s="528"/>
    </row>
    <row r="64" spans="2:17" x14ac:dyDescent="0.25">
      <c r="D64" t="s">
        <v>359</v>
      </c>
      <c r="Q64" s="528"/>
    </row>
    <row r="65" spans="4:17" x14ac:dyDescent="0.25">
      <c r="D65" t="s">
        <v>360</v>
      </c>
      <c r="Q65" s="528"/>
    </row>
    <row r="66" spans="4:17" x14ac:dyDescent="0.25">
      <c r="D66" t="s">
        <v>361</v>
      </c>
      <c r="Q66" s="528"/>
    </row>
    <row r="67" spans="4:17" x14ac:dyDescent="0.25">
      <c r="D67" t="s">
        <v>362</v>
      </c>
      <c r="Q67" s="528"/>
    </row>
    <row r="68" spans="4:17" x14ac:dyDescent="0.25">
      <c r="D68" t="s">
        <v>363</v>
      </c>
      <c r="Q68" s="528"/>
    </row>
    <row r="69" spans="4:17" x14ac:dyDescent="0.25">
      <c r="D69" t="s">
        <v>364</v>
      </c>
      <c r="Q69" s="528"/>
    </row>
    <row r="70" spans="4:17" x14ac:dyDescent="0.25">
      <c r="D70" t="s">
        <v>365</v>
      </c>
      <c r="Q70" s="528"/>
    </row>
    <row r="71" spans="4:17" x14ac:dyDescent="0.25">
      <c r="D71" t="s">
        <v>366</v>
      </c>
    </row>
    <row r="72" spans="4:17" x14ac:dyDescent="0.25">
      <c r="D72" t="s">
        <v>367</v>
      </c>
    </row>
  </sheetData>
  <mergeCells count="15">
    <mergeCell ref="A47:Q47"/>
    <mergeCell ref="Q2:Q3"/>
    <mergeCell ref="E1:I1"/>
    <mergeCell ref="A2:A3"/>
    <mergeCell ref="B2:B3"/>
    <mergeCell ref="C2:C3"/>
    <mergeCell ref="D2:D3"/>
    <mergeCell ref="E2:I2"/>
    <mergeCell ref="P2:P3"/>
    <mergeCell ref="J2:J3"/>
    <mergeCell ref="K2:K3"/>
    <mergeCell ref="L2:L3"/>
    <mergeCell ref="M2:M3"/>
    <mergeCell ref="N2:N3"/>
    <mergeCell ref="O2:O3"/>
  </mergeCells>
  <dataValidations disablePrompts="1" count="6">
    <dataValidation type="list" allowBlank="1" showInputMessage="1" showErrorMessage="1" sqref="C4:C7" xr:uid="{0E86A38A-A7A5-4909-B2D5-0C3415C1A43F}">
      <formula1>$C$55:$C$58</formula1>
    </dataValidation>
    <dataValidation type="list" allowBlank="1" showInputMessage="1" showErrorMessage="1" sqref="B4:B7" xr:uid="{E8E9E0C6-06A7-4A7A-8F51-6EFA635D7469}">
      <formula1>$B$55:$B$65</formula1>
    </dataValidation>
    <dataValidation type="list" allowBlank="1" showInputMessage="1" showErrorMessage="1" sqref="D4 D6" xr:uid="{9F5560A2-2AF1-4B6D-9677-3E17ADBF36E6}">
      <formula1>$D$55:$D$79</formula1>
    </dataValidation>
    <dataValidation type="list" allowBlank="1" showInputMessage="1" showErrorMessage="1" sqref="C8:C12" xr:uid="{F8E40745-6AE6-459D-99AD-3BDCCBA829A5}">
      <formula1>$C$48:$C$51</formula1>
    </dataValidation>
    <dataValidation type="list" allowBlank="1" showInputMessage="1" showErrorMessage="1" sqref="B34:B46 B17:B31 B13:C14 C17:C46" xr:uid="{35F42174-53D6-4151-8204-AB0725E75869}">
      <formula1>#REF!</formula1>
    </dataValidation>
    <dataValidation type="list" allowBlank="1" showInputMessage="1" showErrorMessage="1" sqref="D43:D46" xr:uid="{B5B07D6C-1228-4DB8-B249-EB5D6B42B1C2}">
      <formula1>$D$47:$D$53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5F1CE24F5918448178CCB17E1AE598" ma:contentTypeVersion="7" ma:contentTypeDescription="Create a new document." ma:contentTypeScope="" ma:versionID="ca9712cbd445e13a2b84aa337b1de888">
  <xsd:schema xmlns:xsd="http://www.w3.org/2001/XMLSchema" xmlns:xs="http://www.w3.org/2001/XMLSchema" xmlns:p="http://schemas.microsoft.com/office/2006/metadata/properties" xmlns:ns2="000b8c93-a2df-461d-bdf9-bc9c0ec58762" xmlns:ns3="376750ad-0dcf-4f86-bf15-b400ec9f7c72" targetNamespace="http://schemas.microsoft.com/office/2006/metadata/properties" ma:root="true" ma:fieldsID="5dbf87946dece3909b414b40ebbf6e14" ns2:_="" ns3:_="">
    <xsd:import namespace="000b8c93-a2df-461d-bdf9-bc9c0ec58762"/>
    <xsd:import namespace="376750ad-0dcf-4f86-bf15-b400ec9f7c72"/>
    <xsd:element name="properties">
      <xsd:complexType>
        <xsd:sequence>
          <xsd:element name="documentManagement">
            <xsd:complexType>
              <xsd:all>
                <xsd:element ref="ns2:MediaServiceMetadata" minOccurs="0"/>
                <xsd:element ref="ns2:MediaServiceFastMetadata" minOccurs="0"/>
                <xsd:element ref="ns2:Kommentaa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b8c93-a2df-461d-bdf9-bc9c0ec58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mmentaar" ma:index="10" nillable="true" ma:displayName="Kommentaar" ma:format="Dropdown" ma:internalName="Kommentaar">
      <xsd:simpleType>
        <xsd:restriction base="dms:Note">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6750ad-0dcf-4f86-bf15-b400ec9f7c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mentaar xmlns="000b8c93-a2df-461d-bdf9-bc9c0ec587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87DBE-FF08-47E2-880E-3A71637E2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b8c93-a2df-461d-bdf9-bc9c0ec58762"/>
    <ds:schemaRef ds:uri="376750ad-0dcf-4f86-bf15-b400ec9f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7033A-3F22-4301-BC4B-B1C7D3123093}">
  <ds:schemaRefs>
    <ds:schemaRef ds:uri="http://schemas.microsoft.com/office/2006/metadata/properties"/>
    <ds:schemaRef ds:uri="http://schemas.microsoft.com/office/infopath/2007/PartnerControls"/>
    <ds:schemaRef ds:uri="000b8c93-a2df-461d-bdf9-bc9c0ec58762"/>
  </ds:schemaRefs>
</ds:datastoreItem>
</file>

<file path=customXml/itemProps3.xml><?xml version="1.0" encoding="utf-8"?>
<ds:datastoreItem xmlns:ds="http://schemas.openxmlformats.org/officeDocument/2006/customXml" ds:itemID="{BC5DC840-CA6B-439F-916F-55162E871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kuni 2025 detsember tegevuskava</vt:lpstr>
      <vt:lpstr>Seirearuanne</vt:lpstr>
      <vt:lpstr>KK_lisa</vt:lpstr>
      <vt:lpstr>Tegevuskava</vt:lpstr>
      <vt:lpstr>Ettekande arvutused</vt:lpstr>
      <vt:lpstr>Personal</vt:lpstr>
      <vt:lpstr>Tegevuskava!Print_Area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Märt Pakats</cp:lastModifiedBy>
  <cp:revision/>
  <dcterms:created xsi:type="dcterms:W3CDTF">2020-07-01T09:13:12Z</dcterms:created>
  <dcterms:modified xsi:type="dcterms:W3CDTF">2024-06-27T14:46:17Z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0x010100985F1CE24F5918448178CCB17E1AE598</vt:lpwstr>
  </property>
  <property fmtid="{D5CDD505-2E9C-101B-9397-08002B2CF9AE}" pid="3" name="_dlc_DocIdItemGuid">
    <vt:lpwstr>3d82843b-2587-4efb-bd50-5d6f5c6dcffa</vt:lpwstr>
  </property>
  <property fmtid="{D5CDD505-2E9C-101B-9397-08002B2CF9AE}" pid="4" name="MediaServiceImageTags">
    <vt:lpwstr/>
  </property>
</Properties>
</file>