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elta.mkm.ee/dhs/webdav/b552434dc5b76bc9373552055453a5e8c5e230d8/37906272215/a703c862-f5d8-4bfd-99dd-1392e48da84b/"/>
    </mc:Choice>
  </mc:AlternateContent>
  <xr:revisionPtr revIDLastSave="0" documentId="13_ncr:1_{9A03E83B-3704-4735-BF1A-FFCE2EACE1A8}" xr6:coauthVersionLast="47" xr6:coauthVersionMax="47" xr10:uidLastSave="{00000000-0000-0000-0000-000000000000}"/>
  <bookViews>
    <workbookView xWindow="-120" yWindow="-120" windowWidth="29040" windowHeight="15720" tabRatio="692" firstSheet="3" activeTab="3" xr2:uid="{00000000-000D-0000-FFFF-FFFF00000000}"/>
  </bookViews>
  <sheets>
    <sheet name="kuni 2025 detsember tegevuskava" sheetId="10" state="hidden" r:id="rId1"/>
    <sheet name="Seirearuanne" sheetId="24" state="hidden" r:id="rId2"/>
    <sheet name="KK_lisa" sheetId="22" state="hidden" r:id="rId3"/>
    <sheet name="Tegevuskava" sheetId="23" r:id="rId4"/>
    <sheet name="Ettekande arvutused" sheetId="26" state="hidden" r:id="rId5"/>
    <sheet name="Personal" sheetId="27" state="hidden" r:id="rId6"/>
  </sheets>
  <definedNames>
    <definedName name="_xlnm._FilterDatabase" localSheetId="0" hidden="1">'kuni 2025 detsember tegevuskava'!$A$33:$AR$149</definedName>
    <definedName name="_xlnm._FilterDatabase" localSheetId="5" hidden="1">Personal!$B$1:$B$204</definedName>
    <definedName name="_xlnm.Print_Area" localSheetId="3">Tegevuskava!$A$1:$P$268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0" i="23" l="1"/>
  <c r="O93" i="23" s="1"/>
  <c r="O92" i="23" s="1"/>
  <c r="M90" i="23"/>
  <c r="K90" i="23"/>
  <c r="H89" i="23" a="1"/>
  <c r="H89" i="23" s="1"/>
  <c r="G89" i="23" a="1"/>
  <c r="G89" i="23" s="1"/>
  <c r="F89" i="23"/>
  <c r="E89" i="23"/>
  <c r="D89" i="23"/>
  <c r="C89" i="23"/>
  <c r="B89" i="23"/>
  <c r="P93" i="23"/>
  <c r="N93" i="23"/>
  <c r="L93" i="23"/>
  <c r="J93" i="23"/>
  <c r="P90" i="23"/>
  <c r="N90" i="23"/>
  <c r="M93" i="23"/>
  <c r="M92" i="23" s="1"/>
  <c r="L90" i="23"/>
  <c r="K93" i="23"/>
  <c r="J90" i="23"/>
  <c r="O89" i="23"/>
  <c r="M89" i="23"/>
  <c r="K89" i="23"/>
  <c r="O85" i="23"/>
  <c r="O88" i="23" s="1"/>
  <c r="O87" i="23" s="1"/>
  <c r="M85" i="23"/>
  <c r="M88" i="23" s="1"/>
  <c r="M87" i="23" s="1"/>
  <c r="K85" i="23"/>
  <c r="K88" i="23" s="1"/>
  <c r="H84" i="23" a="1"/>
  <c r="H84" i="23" s="1"/>
  <c r="G84" i="23" a="1"/>
  <c r="G84" i="23" s="1"/>
  <c r="F84" i="23"/>
  <c r="E84" i="23"/>
  <c r="D84" i="23"/>
  <c r="C84" i="23"/>
  <c r="B84" i="23"/>
  <c r="P88" i="23"/>
  <c r="N88" i="23"/>
  <c r="L88" i="23"/>
  <c r="J88" i="23"/>
  <c r="P85" i="23"/>
  <c r="N85" i="23"/>
  <c r="L85" i="23"/>
  <c r="J85" i="23"/>
  <c r="O258" i="23"/>
  <c r="O262" i="23" s="1"/>
  <c r="O257" i="23"/>
  <c r="M258" i="23"/>
  <c r="M262" i="23" s="1"/>
  <c r="M257" i="23"/>
  <c r="M261" i="23" s="1"/>
  <c r="K258" i="23"/>
  <c r="K262" i="23" s="1"/>
  <c r="K257" i="23"/>
  <c r="K261" i="23" s="1"/>
  <c r="D256" i="23"/>
  <c r="G256" i="23" a="1"/>
  <c r="G256" i="23" s="1"/>
  <c r="F256" i="23"/>
  <c r="E256" i="23"/>
  <c r="C256" i="23"/>
  <c r="B256" i="23"/>
  <c r="H256" i="23" a="1"/>
  <c r="H256" i="23" s="1"/>
  <c r="H249" i="23" a="1"/>
  <c r="H249" i="23" s="1"/>
  <c r="C249" i="23"/>
  <c r="B249" i="23"/>
  <c r="P262" i="23"/>
  <c r="N262" i="23"/>
  <c r="L262" i="23"/>
  <c r="J262" i="23"/>
  <c r="P261" i="23"/>
  <c r="N261" i="23"/>
  <c r="L261" i="23"/>
  <c r="J261" i="23"/>
  <c r="P258" i="23"/>
  <c r="N258" i="23"/>
  <c r="L258" i="23"/>
  <c r="J258" i="23"/>
  <c r="P257" i="23"/>
  <c r="N257" i="23"/>
  <c r="L257" i="23"/>
  <c r="J257" i="23"/>
  <c r="O239" i="23"/>
  <c r="O238" i="23"/>
  <c r="O242" i="23" s="1"/>
  <c r="M239" i="23"/>
  <c r="M243" i="23" s="1"/>
  <c r="M238" i="23"/>
  <c r="K238" i="23"/>
  <c r="K242" i="23" s="1"/>
  <c r="H237" i="23" a="1"/>
  <c r="H237" i="23" s="1"/>
  <c r="G237" i="23" a="1"/>
  <c r="G237" i="23" s="1"/>
  <c r="F237" i="23"/>
  <c r="B237" i="23"/>
  <c r="D237" i="23"/>
  <c r="M162" i="23"/>
  <c r="AD190" i="10"/>
  <c r="AD191" i="10" s="1"/>
  <c r="AF190" i="10"/>
  <c r="AF191" i="10" s="1"/>
  <c r="AE181" i="10"/>
  <c r="AF181" i="10"/>
  <c r="AF182" i="10" s="1"/>
  <c r="AD181" i="10"/>
  <c r="AD182" i="10" s="1"/>
  <c r="AC181" i="10"/>
  <c r="AC182" i="10" s="1"/>
  <c r="AA181" i="10"/>
  <c r="AA182" i="10" s="1"/>
  <c r="Z181" i="10"/>
  <c r="Z182" i="10" s="1"/>
  <c r="Y181" i="10"/>
  <c r="Y182" i="10" s="1"/>
  <c r="X181" i="10"/>
  <c r="X182" i="10" s="1"/>
  <c r="AB181" i="10"/>
  <c r="AB182" i="10" s="1"/>
  <c r="AA184" i="10"/>
  <c r="AA185" i="10" s="1"/>
  <c r="AF184" i="10"/>
  <c r="AF185" i="10" s="1"/>
  <c r="AE184" i="10"/>
  <c r="AE185" i="10" s="1"/>
  <c r="AD184" i="10"/>
  <c r="AD185" i="10" s="1"/>
  <c r="AC184" i="10"/>
  <c r="AC185" i="10" s="1"/>
  <c r="AB184" i="10"/>
  <c r="AB185" i="10" s="1"/>
  <c r="AB151" i="10"/>
  <c r="AB152" i="10" s="1"/>
  <c r="W97" i="10"/>
  <c r="T101" i="10"/>
  <c r="S101" i="10"/>
  <c r="S40" i="10"/>
  <c r="S39" i="10"/>
  <c r="W40" i="10"/>
  <c r="V40" i="10"/>
  <c r="U40" i="10"/>
  <c r="T40" i="10"/>
  <c r="T39" i="10"/>
  <c r="U39" i="10"/>
  <c r="S138" i="10"/>
  <c r="T138" i="10"/>
  <c r="U98" i="10"/>
  <c r="T98" i="10"/>
  <c r="AD70" i="10"/>
  <c r="T70" i="10" s="1"/>
  <c r="AG71" i="10"/>
  <c r="AG64" i="10"/>
  <c r="U47" i="10"/>
  <c r="T47" i="10"/>
  <c r="S47" i="10"/>
  <c r="D11" i="10" s="1"/>
  <c r="U46" i="10"/>
  <c r="S46" i="10"/>
  <c r="R47" i="10"/>
  <c r="C9" i="10" s="1"/>
  <c r="V47" i="10"/>
  <c r="W47" i="10"/>
  <c r="T45" i="10"/>
  <c r="T44" i="10"/>
  <c r="T43" i="10"/>
  <c r="S45" i="10"/>
  <c r="V43" i="10"/>
  <c r="U43" i="10"/>
  <c r="S43" i="10"/>
  <c r="W42" i="10"/>
  <c r="V42" i="10"/>
  <c r="U42" i="10"/>
  <c r="T42" i="10"/>
  <c r="S42" i="10"/>
  <c r="R40" i="10"/>
  <c r="T38" i="10"/>
  <c r="S37" i="10"/>
  <c r="S38" i="10"/>
  <c r="T37" i="10"/>
  <c r="T36" i="10"/>
  <c r="W143" i="10"/>
  <c r="S91" i="10"/>
  <c r="S36" i="10"/>
  <c r="T50" i="10"/>
  <c r="U49" i="10"/>
  <c r="T49" i="10"/>
  <c r="S49" i="10"/>
  <c r="R142" i="10"/>
  <c r="R143" i="10"/>
  <c r="V143" i="10"/>
  <c r="U143" i="10"/>
  <c r="T143" i="10"/>
  <c r="S143" i="10"/>
  <c r="S90" i="10"/>
  <c r="S100" i="10"/>
  <c r="H82" i="26"/>
  <c r="H83" i="26"/>
  <c r="H77" i="26"/>
  <c r="E77" i="26"/>
  <c r="E82" i="26"/>
  <c r="E24" i="26"/>
  <c r="E23" i="26"/>
  <c r="E22" i="26"/>
  <c r="E21" i="26"/>
  <c r="E9" i="26"/>
  <c r="E8" i="26"/>
  <c r="E7" i="26"/>
  <c r="E83" i="26"/>
  <c r="AK74" i="10"/>
  <c r="V74" i="10" s="1"/>
  <c r="AB74" i="10"/>
  <c r="AB148" i="10"/>
  <c r="AD72" i="10"/>
  <c r="T72" i="10" s="1"/>
  <c r="AA72" i="10"/>
  <c r="M135" i="23"/>
  <c r="M138" i="23" s="1"/>
  <c r="AA70" i="10"/>
  <c r="S70" i="10" s="1"/>
  <c r="AD67" i="10"/>
  <c r="T67" i="10" s="1"/>
  <c r="AA67" i="10"/>
  <c r="AG68" i="10"/>
  <c r="U68" i="10" s="1"/>
  <c r="T68" i="10"/>
  <c r="AG66" i="10"/>
  <c r="T66" i="10"/>
  <c r="AD65" i="10"/>
  <c r="AA65" i="10"/>
  <c r="S65" i="10" s="1"/>
  <c r="AA63" i="10"/>
  <c r="T63" i="10"/>
  <c r="H81" i="26"/>
  <c r="H80" i="26"/>
  <c r="H79" i="26"/>
  <c r="H78" i="26"/>
  <c r="H76" i="26"/>
  <c r="H75" i="26"/>
  <c r="H74" i="26"/>
  <c r="H73" i="26"/>
  <c r="G72" i="26"/>
  <c r="F72" i="26"/>
  <c r="E73" i="26"/>
  <c r="E74" i="26"/>
  <c r="E75" i="26"/>
  <c r="E76" i="26"/>
  <c r="E78" i="26"/>
  <c r="E79" i="26"/>
  <c r="E80" i="26"/>
  <c r="E81" i="26"/>
  <c r="W39" i="10"/>
  <c r="V39" i="10"/>
  <c r="R39" i="10"/>
  <c r="W49" i="10"/>
  <c r="V49" i="10"/>
  <c r="R49" i="10"/>
  <c r="Y175" i="10"/>
  <c r="Y176" i="10" s="1"/>
  <c r="Z175" i="10"/>
  <c r="Z176" i="10" s="1"/>
  <c r="AA175" i="10"/>
  <c r="AA176" i="10" s="1"/>
  <c r="AB175" i="10"/>
  <c r="AB176" i="10" s="1"/>
  <c r="AC175" i="10"/>
  <c r="AC176" i="10" s="1"/>
  <c r="AD175" i="10"/>
  <c r="AD176" i="10" s="1"/>
  <c r="AE175" i="10"/>
  <c r="AE176" i="10" s="1"/>
  <c r="AF175" i="10"/>
  <c r="AF176" i="10" s="1"/>
  <c r="X175" i="10"/>
  <c r="X176" i="10" s="1"/>
  <c r="Y172" i="10"/>
  <c r="Y173" i="10" s="1"/>
  <c r="Z172" i="10"/>
  <c r="Z173" i="10" s="1"/>
  <c r="AA172" i="10"/>
  <c r="AA173" i="10" s="1"/>
  <c r="AB172" i="10"/>
  <c r="AB173" i="10" s="1"/>
  <c r="AC172" i="10"/>
  <c r="AC173" i="10" s="1"/>
  <c r="AD172" i="10"/>
  <c r="AD173" i="10" s="1"/>
  <c r="AE172" i="10"/>
  <c r="AE173" i="10" s="1"/>
  <c r="AF172" i="10"/>
  <c r="AF173" i="10" s="1"/>
  <c r="X172" i="10"/>
  <c r="X173" i="10" s="1"/>
  <c r="Y169" i="10"/>
  <c r="Y170" i="10" s="1"/>
  <c r="Z169" i="10"/>
  <c r="Z170" i="10" s="1"/>
  <c r="AA169" i="10"/>
  <c r="AA170" i="10" s="1"/>
  <c r="AB169" i="10"/>
  <c r="AB170" i="10" s="1"/>
  <c r="AC169" i="10"/>
  <c r="AC170" i="10" s="1"/>
  <c r="AD169" i="10"/>
  <c r="AD170" i="10" s="1"/>
  <c r="AE169" i="10"/>
  <c r="AE170" i="10" s="1"/>
  <c r="AF169" i="10"/>
  <c r="AF170" i="10" s="1"/>
  <c r="X169" i="10"/>
  <c r="X170" i="10" s="1"/>
  <c r="AB166" i="10"/>
  <c r="AB167" i="10" s="1"/>
  <c r="AC166" i="10"/>
  <c r="AC167" i="10" s="1"/>
  <c r="AE166" i="10"/>
  <c r="AE167" i="10" s="1"/>
  <c r="AF166" i="10"/>
  <c r="AF167" i="10" s="1"/>
  <c r="Z166" i="10"/>
  <c r="Y166" i="10"/>
  <c r="Y167" i="10" s="1"/>
  <c r="X166" i="10"/>
  <c r="X167" i="10" s="1"/>
  <c r="AE160" i="10"/>
  <c r="AE161" i="10" s="1"/>
  <c r="AD160" i="10"/>
  <c r="AD161" i="10" s="1"/>
  <c r="AC160" i="10"/>
  <c r="AC161" i="10" s="1"/>
  <c r="AB160" i="10"/>
  <c r="AB161" i="10" s="1"/>
  <c r="AA160" i="10"/>
  <c r="AA161" i="10" s="1"/>
  <c r="Z160" i="10"/>
  <c r="Z161" i="10" s="1"/>
  <c r="Y160" i="10"/>
  <c r="Y161" i="10" s="1"/>
  <c r="AE157" i="10"/>
  <c r="AE158" i="10" s="1"/>
  <c r="AF157" i="10"/>
  <c r="AF158" i="10" s="1"/>
  <c r="AD157" i="10"/>
  <c r="AD158" i="10" s="1"/>
  <c r="AC157" i="10"/>
  <c r="AC158" i="10" s="1"/>
  <c r="AB157" i="10"/>
  <c r="AB158" i="10" s="1"/>
  <c r="AA157" i="10"/>
  <c r="AA158" i="10" s="1"/>
  <c r="Z157" i="10"/>
  <c r="Z158" i="10" s="1"/>
  <c r="Y157" i="10"/>
  <c r="Y158" i="10" s="1"/>
  <c r="X157" i="10"/>
  <c r="X158" i="10" s="1"/>
  <c r="X154" i="10"/>
  <c r="X155" i="10" s="1"/>
  <c r="AF154" i="10"/>
  <c r="AF155" i="10" s="1"/>
  <c r="AE154" i="10"/>
  <c r="AE155" i="10" s="1"/>
  <c r="AD154" i="10"/>
  <c r="AD155" i="10" s="1"/>
  <c r="AC154" i="10"/>
  <c r="AC155" i="10" s="1"/>
  <c r="AB154" i="10"/>
  <c r="AB155" i="10" s="1"/>
  <c r="AA154" i="10"/>
  <c r="AA155" i="10" s="1"/>
  <c r="Z154" i="10"/>
  <c r="Z155" i="10" s="1"/>
  <c r="Y154" i="10"/>
  <c r="Y155" i="10" s="1"/>
  <c r="AE151" i="10"/>
  <c r="AE152" i="10" s="1"/>
  <c r="AC151" i="10"/>
  <c r="Z151" i="10"/>
  <c r="Z152" i="10" s="1"/>
  <c r="Y151" i="10"/>
  <c r="Y152" i="10" s="1"/>
  <c r="R50" i="10"/>
  <c r="S50" i="10"/>
  <c r="U50" i="10"/>
  <c r="V50" i="10"/>
  <c r="W50" i="10"/>
  <c r="R51" i="10"/>
  <c r="S51" i="10"/>
  <c r="T51" i="10"/>
  <c r="U51" i="10"/>
  <c r="V51" i="10"/>
  <c r="W51" i="10"/>
  <c r="R52" i="10"/>
  <c r="S52" i="10"/>
  <c r="T52" i="10"/>
  <c r="U52" i="10"/>
  <c r="V52" i="10"/>
  <c r="W52" i="10"/>
  <c r="R53" i="10"/>
  <c r="S53" i="10"/>
  <c r="T53" i="10"/>
  <c r="U53" i="10"/>
  <c r="V53" i="10"/>
  <c r="W53" i="10"/>
  <c r="R54" i="10"/>
  <c r="S54" i="10"/>
  <c r="T54" i="10"/>
  <c r="U54" i="10"/>
  <c r="V54" i="10"/>
  <c r="W54" i="10"/>
  <c r="R55" i="10"/>
  <c r="S55" i="10"/>
  <c r="T55" i="10"/>
  <c r="U55" i="10"/>
  <c r="V55" i="10"/>
  <c r="W55" i="10"/>
  <c r="R56" i="10"/>
  <c r="S56" i="10"/>
  <c r="T56" i="10"/>
  <c r="U56" i="10"/>
  <c r="V56" i="10"/>
  <c r="W56" i="10"/>
  <c r="R57" i="10"/>
  <c r="S57" i="10"/>
  <c r="T57" i="10"/>
  <c r="U57" i="10"/>
  <c r="V57" i="10"/>
  <c r="W57" i="10"/>
  <c r="R58" i="10"/>
  <c r="S58" i="10"/>
  <c r="T58" i="10"/>
  <c r="U58" i="10"/>
  <c r="V58" i="10"/>
  <c r="W58" i="10"/>
  <c r="R59" i="10"/>
  <c r="S59" i="10"/>
  <c r="T59" i="10"/>
  <c r="U59" i="10"/>
  <c r="V59" i="10"/>
  <c r="W59" i="10"/>
  <c r="R77" i="10"/>
  <c r="S77" i="10"/>
  <c r="T77" i="10"/>
  <c r="U77" i="10"/>
  <c r="V77" i="10"/>
  <c r="W77" i="10"/>
  <c r="R78" i="10"/>
  <c r="S78" i="10"/>
  <c r="T78" i="10"/>
  <c r="U78" i="10"/>
  <c r="V78" i="10"/>
  <c r="W78" i="10"/>
  <c r="R79" i="10"/>
  <c r="S79" i="10"/>
  <c r="T79" i="10"/>
  <c r="U79" i="10"/>
  <c r="V79" i="10"/>
  <c r="W79" i="10"/>
  <c r="R80" i="10"/>
  <c r="S80" i="10"/>
  <c r="T80" i="10"/>
  <c r="U80" i="10"/>
  <c r="V80" i="10"/>
  <c r="W80" i="10"/>
  <c r="R81" i="10"/>
  <c r="S81" i="10"/>
  <c r="T81" i="10"/>
  <c r="U81" i="10"/>
  <c r="V81" i="10"/>
  <c r="W81" i="10"/>
  <c r="R82" i="10"/>
  <c r="S82" i="10"/>
  <c r="T82" i="10"/>
  <c r="U82" i="10"/>
  <c r="V82" i="10"/>
  <c r="W82" i="10"/>
  <c r="R83" i="10"/>
  <c r="S83" i="10"/>
  <c r="T83" i="10"/>
  <c r="U83" i="10"/>
  <c r="V83" i="10"/>
  <c r="W83" i="10"/>
  <c r="R84" i="10"/>
  <c r="S84" i="10"/>
  <c r="T84" i="10"/>
  <c r="U84" i="10"/>
  <c r="V84" i="10"/>
  <c r="W84" i="10"/>
  <c r="R85" i="10"/>
  <c r="S85" i="10"/>
  <c r="T85" i="10"/>
  <c r="U85" i="10"/>
  <c r="V85" i="10"/>
  <c r="W85" i="10"/>
  <c r="R86" i="10"/>
  <c r="S86" i="10"/>
  <c r="T86" i="10"/>
  <c r="U86" i="10"/>
  <c r="V86" i="10"/>
  <c r="W86" i="10"/>
  <c r="R87" i="10"/>
  <c r="S87" i="10"/>
  <c r="T87" i="10"/>
  <c r="U87" i="10"/>
  <c r="V87" i="10"/>
  <c r="W87" i="10"/>
  <c r="R88" i="10"/>
  <c r="S88" i="10"/>
  <c r="T88" i="10"/>
  <c r="U88" i="10"/>
  <c r="V88" i="10"/>
  <c r="W88" i="10"/>
  <c r="R103" i="10"/>
  <c r="S103" i="10"/>
  <c r="T103" i="10"/>
  <c r="U103" i="10"/>
  <c r="V103" i="10"/>
  <c r="W103" i="10"/>
  <c r="R104" i="10"/>
  <c r="S104" i="10"/>
  <c r="T104" i="10"/>
  <c r="U104" i="10"/>
  <c r="V104" i="10"/>
  <c r="W104" i="10"/>
  <c r="R105" i="10"/>
  <c r="S105" i="10"/>
  <c r="T105" i="10"/>
  <c r="U105" i="10"/>
  <c r="V105" i="10"/>
  <c r="W105" i="10"/>
  <c r="R106" i="10"/>
  <c r="S106" i="10"/>
  <c r="T106" i="10"/>
  <c r="U106" i="10"/>
  <c r="V106" i="10"/>
  <c r="W106" i="10"/>
  <c r="R107" i="10"/>
  <c r="S107" i="10"/>
  <c r="T107" i="10"/>
  <c r="U107" i="10"/>
  <c r="V107" i="10"/>
  <c r="W107" i="10"/>
  <c r="R108" i="10"/>
  <c r="S108" i="10"/>
  <c r="T108" i="10"/>
  <c r="U108" i="10"/>
  <c r="V108" i="10"/>
  <c r="W108" i="10"/>
  <c r="R109" i="10"/>
  <c r="S109" i="10"/>
  <c r="T109" i="10"/>
  <c r="U109" i="10"/>
  <c r="V109" i="10"/>
  <c r="W109" i="10"/>
  <c r="R110" i="10"/>
  <c r="S110" i="10"/>
  <c r="T110" i="10"/>
  <c r="U110" i="10"/>
  <c r="V110" i="10"/>
  <c r="W110" i="10"/>
  <c r="R111" i="10"/>
  <c r="S111" i="10"/>
  <c r="T111" i="10"/>
  <c r="U111" i="10"/>
  <c r="V111" i="10"/>
  <c r="W111" i="10"/>
  <c r="R112" i="10"/>
  <c r="S112" i="10"/>
  <c r="T112" i="10"/>
  <c r="U112" i="10"/>
  <c r="V112" i="10"/>
  <c r="W112" i="10"/>
  <c r="R113" i="10"/>
  <c r="S113" i="10"/>
  <c r="T113" i="10"/>
  <c r="U113" i="10"/>
  <c r="V113" i="10"/>
  <c r="W113" i="10"/>
  <c r="S142" i="10"/>
  <c r="T142" i="10"/>
  <c r="U142" i="10"/>
  <c r="V142" i="10"/>
  <c r="W142" i="10"/>
  <c r="R119" i="10"/>
  <c r="S119" i="10"/>
  <c r="T119" i="10"/>
  <c r="U119" i="10"/>
  <c r="V119" i="10"/>
  <c r="W119" i="10"/>
  <c r="R120" i="10"/>
  <c r="S120" i="10"/>
  <c r="T120" i="10"/>
  <c r="U120" i="10"/>
  <c r="V120" i="10"/>
  <c r="W120" i="10"/>
  <c r="R121" i="10"/>
  <c r="S121" i="10"/>
  <c r="T121" i="10"/>
  <c r="U121" i="10"/>
  <c r="V121" i="10"/>
  <c r="W121" i="10"/>
  <c r="R122" i="10"/>
  <c r="S122" i="10"/>
  <c r="T122" i="10"/>
  <c r="U122" i="10"/>
  <c r="V122" i="10"/>
  <c r="W122" i="10"/>
  <c r="R123" i="10"/>
  <c r="S123" i="10"/>
  <c r="T123" i="10"/>
  <c r="U123" i="10"/>
  <c r="V123" i="10"/>
  <c r="W123" i="10"/>
  <c r="R124" i="10"/>
  <c r="S124" i="10"/>
  <c r="T124" i="10"/>
  <c r="U124" i="10"/>
  <c r="V124" i="10"/>
  <c r="W124" i="10"/>
  <c r="R125" i="10"/>
  <c r="S125" i="10"/>
  <c r="T125" i="10"/>
  <c r="U125" i="10"/>
  <c r="V125" i="10"/>
  <c r="W125" i="10"/>
  <c r="R126" i="10"/>
  <c r="S126" i="10"/>
  <c r="T126" i="10"/>
  <c r="U126" i="10"/>
  <c r="V126" i="10"/>
  <c r="W126" i="10"/>
  <c r="R127" i="10"/>
  <c r="S127" i="10"/>
  <c r="T127" i="10"/>
  <c r="U127" i="10"/>
  <c r="V127" i="10"/>
  <c r="W127" i="10"/>
  <c r="R128" i="10"/>
  <c r="S128" i="10"/>
  <c r="T128" i="10"/>
  <c r="U128" i="10"/>
  <c r="V128" i="10"/>
  <c r="W128" i="10"/>
  <c r="R133" i="10"/>
  <c r="S133" i="10"/>
  <c r="T133" i="10"/>
  <c r="U133" i="10"/>
  <c r="V133" i="10"/>
  <c r="W133" i="10"/>
  <c r="R134" i="10"/>
  <c r="S134" i="10"/>
  <c r="T134" i="10"/>
  <c r="U134" i="10"/>
  <c r="V134" i="10"/>
  <c r="W134" i="10"/>
  <c r="R135" i="10"/>
  <c r="S135" i="10"/>
  <c r="T135" i="10"/>
  <c r="U135" i="10"/>
  <c r="V135" i="10"/>
  <c r="W135" i="10"/>
  <c r="R136" i="10"/>
  <c r="S136" i="10"/>
  <c r="T136" i="10"/>
  <c r="U136" i="10"/>
  <c r="V136" i="10"/>
  <c r="W136" i="10"/>
  <c r="R137" i="10"/>
  <c r="S137" i="10"/>
  <c r="T137" i="10"/>
  <c r="U137" i="10"/>
  <c r="V137" i="10"/>
  <c r="W137" i="10"/>
  <c r="R140" i="10"/>
  <c r="S140" i="10"/>
  <c r="T140" i="10"/>
  <c r="U140" i="10"/>
  <c r="V140" i="10"/>
  <c r="W140" i="10"/>
  <c r="R141" i="10"/>
  <c r="S141" i="10"/>
  <c r="T141" i="10"/>
  <c r="U141" i="10"/>
  <c r="V141" i="10"/>
  <c r="W141" i="10"/>
  <c r="R144" i="10"/>
  <c r="S144" i="10"/>
  <c r="T144" i="10"/>
  <c r="U144" i="10"/>
  <c r="V144" i="10"/>
  <c r="W144" i="10"/>
  <c r="R145" i="10"/>
  <c r="S145" i="10"/>
  <c r="T145" i="10"/>
  <c r="U145" i="10"/>
  <c r="V145" i="10"/>
  <c r="W145" i="10"/>
  <c r="R146" i="10"/>
  <c r="S146" i="10"/>
  <c r="T146" i="10"/>
  <c r="U146" i="10"/>
  <c r="V146" i="10"/>
  <c r="W146" i="10"/>
  <c r="R147" i="10"/>
  <c r="S147" i="10"/>
  <c r="T147" i="10"/>
  <c r="U147" i="10"/>
  <c r="V147" i="10"/>
  <c r="W147" i="10"/>
  <c r="R64" i="10"/>
  <c r="S64" i="10"/>
  <c r="T64" i="10"/>
  <c r="U64" i="10"/>
  <c r="V64" i="10"/>
  <c r="W64" i="10"/>
  <c r="R44" i="10"/>
  <c r="S44" i="10"/>
  <c r="U44" i="10"/>
  <c r="V44" i="10"/>
  <c r="W44" i="10"/>
  <c r="C22" i="22"/>
  <c r="D22" i="22"/>
  <c r="E22" i="22"/>
  <c r="F22" i="22"/>
  <c r="G22" i="22"/>
  <c r="H22" i="22"/>
  <c r="I22" i="22"/>
  <c r="B22" i="22"/>
  <c r="P132" i="27"/>
  <c r="P130" i="27"/>
  <c r="P129" i="27"/>
  <c r="L127" i="27"/>
  <c r="L126" i="27"/>
  <c r="P125" i="27"/>
  <c r="L125" i="27" s="1"/>
  <c r="L124" i="27"/>
  <c r="P123" i="27"/>
  <c r="L123" i="27" s="1"/>
  <c r="P122" i="27"/>
  <c r="L122" i="27" s="1"/>
  <c r="P121" i="27"/>
  <c r="L121" i="27" s="1"/>
  <c r="P120" i="27"/>
  <c r="L120" i="27" s="1"/>
  <c r="P119" i="27"/>
  <c r="L119" i="27" s="1"/>
  <c r="P118" i="27"/>
  <c r="L118" i="27" s="1"/>
  <c r="P117" i="27"/>
  <c r="L117" i="27" s="1"/>
  <c r="P116" i="27"/>
  <c r="P115" i="27"/>
  <c r="P114" i="27"/>
  <c r="P113" i="27"/>
  <c r="P112" i="27"/>
  <c r="L111" i="27"/>
  <c r="L110" i="27"/>
  <c r="L109" i="27"/>
  <c r="L108" i="27"/>
  <c r="P107" i="27"/>
  <c r="L107" i="27"/>
  <c r="P106" i="27"/>
  <c r="L106" i="27" s="1"/>
  <c r="P105" i="27"/>
  <c r="L105" i="27"/>
  <c r="P104" i="27"/>
  <c r="L104" i="27" s="1"/>
  <c r="P103" i="27"/>
  <c r="L103" i="27" s="1"/>
  <c r="L97" i="27"/>
  <c r="L96" i="27"/>
  <c r="L95" i="27"/>
  <c r="L94" i="27"/>
  <c r="L93" i="27"/>
  <c r="L92" i="27"/>
  <c r="L91" i="27"/>
  <c r="L90" i="27"/>
  <c r="L89" i="27"/>
  <c r="P87" i="27"/>
  <c r="P86" i="27"/>
  <c r="P84" i="27"/>
  <c r="P83" i="27"/>
  <c r="L82" i="27"/>
  <c r="L81" i="27"/>
  <c r="L80" i="27"/>
  <c r="L79" i="27"/>
  <c r="P78" i="27"/>
  <c r="L78" i="27" s="1"/>
  <c r="P77" i="27"/>
  <c r="L77" i="27" s="1"/>
  <c r="P76" i="27"/>
  <c r="L76" i="27" s="1"/>
  <c r="P75" i="27"/>
  <c r="L75" i="27" s="1"/>
  <c r="P74" i="27"/>
  <c r="L74" i="27" s="1"/>
  <c r="P73" i="27"/>
  <c r="L73" i="27" s="1"/>
  <c r="L67" i="27"/>
  <c r="L66" i="27"/>
  <c r="L65" i="27"/>
  <c r="L64" i="27"/>
  <c r="L63" i="27"/>
  <c r="L62" i="27"/>
  <c r="L61" i="27"/>
  <c r="L60" i="27"/>
  <c r="L59" i="27"/>
  <c r="L58" i="27"/>
  <c r="L57" i="27"/>
  <c r="L51" i="27"/>
  <c r="L50" i="27"/>
  <c r="L49" i="27"/>
  <c r="L48" i="27"/>
  <c r="L47" i="27"/>
  <c r="L46" i="27"/>
  <c r="L45" i="27"/>
  <c r="L44" i="27"/>
  <c r="L43" i="27"/>
  <c r="L42" i="27"/>
  <c r="L41" i="27"/>
  <c r="L33" i="27"/>
  <c r="L32" i="27"/>
  <c r="L31" i="27"/>
  <c r="L30" i="27"/>
  <c r="L29" i="27"/>
  <c r="L28" i="27"/>
  <c r="L27" i="27"/>
  <c r="L26" i="27"/>
  <c r="L25" i="27"/>
  <c r="L24" i="27"/>
  <c r="L17" i="27"/>
  <c r="L16" i="27"/>
  <c r="L15" i="27"/>
  <c r="L14" i="27"/>
  <c r="U92" i="24"/>
  <c r="U93" i="24"/>
  <c r="T92" i="24"/>
  <c r="T93" i="24"/>
  <c r="S92" i="24"/>
  <c r="S93" i="24"/>
  <c r="R92" i="24"/>
  <c r="R93" i="24"/>
  <c r="Q92" i="24"/>
  <c r="Q93" i="24"/>
  <c r="O251" i="23"/>
  <c r="O255" i="23" s="1"/>
  <c r="O250" i="23"/>
  <c r="O254" i="23" s="1"/>
  <c r="M251" i="23"/>
  <c r="M255" i="23" s="1"/>
  <c r="M250" i="23"/>
  <c r="M254" i="23" s="1"/>
  <c r="K251" i="23"/>
  <c r="K255" i="23" s="1"/>
  <c r="K250" i="23"/>
  <c r="K254" i="23" s="1"/>
  <c r="G249" i="23" a="1"/>
  <c r="G249" i="23" s="1"/>
  <c r="F249" i="23"/>
  <c r="E249" i="23"/>
  <c r="D249" i="23"/>
  <c r="P255" i="23"/>
  <c r="N255" i="23"/>
  <c r="L255" i="23"/>
  <c r="J255" i="23"/>
  <c r="P254" i="23"/>
  <c r="N254" i="23"/>
  <c r="L254" i="23"/>
  <c r="J254" i="23"/>
  <c r="P251" i="23"/>
  <c r="N251" i="23"/>
  <c r="L251" i="23"/>
  <c r="J251" i="23"/>
  <c r="P250" i="23"/>
  <c r="N250" i="23"/>
  <c r="L250" i="23"/>
  <c r="J250" i="23"/>
  <c r="R138" i="10"/>
  <c r="U138" i="10"/>
  <c r="V138" i="10"/>
  <c r="W138" i="10"/>
  <c r="R139" i="10"/>
  <c r="S139" i="10"/>
  <c r="T139" i="10"/>
  <c r="U139" i="10"/>
  <c r="V139" i="10"/>
  <c r="W139" i="10"/>
  <c r="X151" i="10"/>
  <c r="AF160" i="10"/>
  <c r="AF161" i="10" s="1"/>
  <c r="AF151" i="10"/>
  <c r="AF152" i="10" s="1"/>
  <c r="J4" i="10"/>
  <c r="S41" i="10"/>
  <c r="W35" i="10"/>
  <c r="U36" i="24"/>
  <c r="W148" i="10"/>
  <c r="W36" i="10"/>
  <c r="W38" i="10"/>
  <c r="W41" i="10"/>
  <c r="W43" i="10"/>
  <c r="W45" i="10"/>
  <c r="W46" i="10"/>
  <c r="W48" i="10"/>
  <c r="W60" i="10"/>
  <c r="W61" i="10"/>
  <c r="W62" i="10"/>
  <c r="W63" i="10"/>
  <c r="W65" i="10"/>
  <c r="W66" i="10"/>
  <c r="W67" i="10"/>
  <c r="W68" i="10"/>
  <c r="W69" i="10"/>
  <c r="W70" i="10"/>
  <c r="W71" i="10"/>
  <c r="W72" i="10"/>
  <c r="W73" i="10"/>
  <c r="W74" i="10"/>
  <c r="W75" i="10"/>
  <c r="W76" i="10"/>
  <c r="W89" i="10"/>
  <c r="W90" i="10"/>
  <c r="W91" i="10"/>
  <c r="W92" i="10"/>
  <c r="W93" i="10"/>
  <c r="W94" i="10"/>
  <c r="W95" i="10"/>
  <c r="W96" i="10"/>
  <c r="W98" i="10"/>
  <c r="W99" i="10"/>
  <c r="W100" i="10"/>
  <c r="W101" i="10"/>
  <c r="W102" i="10"/>
  <c r="W114" i="10"/>
  <c r="W115" i="10"/>
  <c r="W116" i="10"/>
  <c r="W129" i="10"/>
  <c r="W130" i="10"/>
  <c r="W131" i="10"/>
  <c r="W132" i="10"/>
  <c r="I55" i="26"/>
  <c r="H55" i="26"/>
  <c r="G55" i="26"/>
  <c r="F55" i="26"/>
  <c r="E55" i="26"/>
  <c r="D55" i="26"/>
  <c r="C42" i="26"/>
  <c r="F9" i="26"/>
  <c r="F8" i="26"/>
  <c r="F7" i="26"/>
  <c r="F21" i="26"/>
  <c r="F24" i="26"/>
  <c r="F23" i="26"/>
  <c r="F22" i="26"/>
  <c r="D9" i="24"/>
  <c r="R35" i="24"/>
  <c r="S35" i="24"/>
  <c r="T35" i="24"/>
  <c r="U35" i="24"/>
  <c r="R36" i="24"/>
  <c r="S36" i="24"/>
  <c r="T36" i="24"/>
  <c r="R37" i="24"/>
  <c r="S37" i="24"/>
  <c r="T37" i="24"/>
  <c r="U37" i="24"/>
  <c r="U38" i="24"/>
  <c r="R39" i="24"/>
  <c r="S39" i="24"/>
  <c r="U39" i="24"/>
  <c r="R40" i="24"/>
  <c r="S40" i="24"/>
  <c r="T40" i="24"/>
  <c r="U40" i="24"/>
  <c r="R41" i="24"/>
  <c r="S41" i="24"/>
  <c r="T41" i="24"/>
  <c r="U41" i="24"/>
  <c r="R42" i="24"/>
  <c r="S42" i="24"/>
  <c r="T42" i="24"/>
  <c r="U42" i="24"/>
  <c r="R44" i="24"/>
  <c r="S44" i="24"/>
  <c r="T44" i="24"/>
  <c r="R46" i="24"/>
  <c r="S46" i="24"/>
  <c r="T46" i="24"/>
  <c r="U46" i="24"/>
  <c r="R47" i="24"/>
  <c r="S47" i="24"/>
  <c r="T47" i="24"/>
  <c r="U47" i="24"/>
  <c r="R49" i="24"/>
  <c r="S49" i="24"/>
  <c r="T49" i="24"/>
  <c r="U49" i="24"/>
  <c r="R51" i="24"/>
  <c r="S51" i="24"/>
  <c r="T51" i="24"/>
  <c r="R52" i="24"/>
  <c r="S52" i="24"/>
  <c r="T52" i="24"/>
  <c r="U52" i="24"/>
  <c r="R53" i="24"/>
  <c r="S53" i="24"/>
  <c r="T53" i="24"/>
  <c r="U53" i="24"/>
  <c r="R55" i="24"/>
  <c r="S55" i="24"/>
  <c r="T55" i="24"/>
  <c r="R56" i="24"/>
  <c r="S56" i="24"/>
  <c r="T56" i="24"/>
  <c r="U56" i="24"/>
  <c r="R58" i="24"/>
  <c r="S58" i="24"/>
  <c r="T58" i="24"/>
  <c r="U58" i="24"/>
  <c r="R63" i="24"/>
  <c r="S63" i="24"/>
  <c r="T63" i="24"/>
  <c r="U63" i="24"/>
  <c r="R64" i="24"/>
  <c r="S64" i="24"/>
  <c r="T64" i="24"/>
  <c r="U64" i="24"/>
  <c r="R65" i="24"/>
  <c r="D8" i="24"/>
  <c r="S65" i="24"/>
  <c r="T65" i="24"/>
  <c r="U65" i="24"/>
  <c r="R66" i="24"/>
  <c r="S66" i="24"/>
  <c r="P66" i="24" s="1"/>
  <c r="T66" i="24"/>
  <c r="U66" i="24"/>
  <c r="R67" i="24"/>
  <c r="S67" i="24"/>
  <c r="T67" i="24"/>
  <c r="U67" i="24"/>
  <c r="R68" i="24"/>
  <c r="S68" i="24"/>
  <c r="T68" i="24"/>
  <c r="U68" i="24"/>
  <c r="R69" i="24"/>
  <c r="S69" i="24"/>
  <c r="T69" i="24"/>
  <c r="U69" i="24"/>
  <c r="R72" i="24"/>
  <c r="S72" i="24"/>
  <c r="T72" i="24"/>
  <c r="U72" i="24"/>
  <c r="R73" i="24"/>
  <c r="S73" i="24"/>
  <c r="P73" i="24" s="1"/>
  <c r="T73" i="24"/>
  <c r="U73" i="24"/>
  <c r="R74" i="24"/>
  <c r="S74" i="24"/>
  <c r="T74" i="24"/>
  <c r="U74" i="24"/>
  <c r="R75" i="24"/>
  <c r="S75" i="24"/>
  <c r="T75" i="24"/>
  <c r="U75" i="24"/>
  <c r="R76" i="24"/>
  <c r="S76" i="24"/>
  <c r="P76" i="24" s="1"/>
  <c r="T76" i="24"/>
  <c r="U76" i="24"/>
  <c r="R77" i="24"/>
  <c r="S77" i="24"/>
  <c r="T77" i="24"/>
  <c r="U77" i="24"/>
  <c r="R78" i="24"/>
  <c r="S78" i="24"/>
  <c r="T78" i="24"/>
  <c r="U78" i="24"/>
  <c r="R79" i="24"/>
  <c r="S79" i="24"/>
  <c r="T79" i="24"/>
  <c r="U79" i="24"/>
  <c r="R80" i="24"/>
  <c r="S80" i="24"/>
  <c r="T80" i="24"/>
  <c r="U80" i="24"/>
  <c r="R81" i="24"/>
  <c r="S81" i="24"/>
  <c r="T81" i="24"/>
  <c r="U81" i="24"/>
  <c r="R82" i="24"/>
  <c r="S82" i="24"/>
  <c r="P82" i="24" s="1"/>
  <c r="T82" i="24"/>
  <c r="U82" i="24"/>
  <c r="R83" i="24"/>
  <c r="S83" i="24"/>
  <c r="T83" i="24"/>
  <c r="U83" i="24"/>
  <c r="R84" i="24"/>
  <c r="S84" i="24"/>
  <c r="T84" i="24"/>
  <c r="U84" i="24"/>
  <c r="P84" i="24" s="1"/>
  <c r="R85" i="24"/>
  <c r="S85" i="24"/>
  <c r="T85" i="24"/>
  <c r="U85" i="24"/>
  <c r="R86" i="24"/>
  <c r="S86" i="24"/>
  <c r="T86" i="24"/>
  <c r="U86" i="24"/>
  <c r="R87" i="24"/>
  <c r="S87" i="24"/>
  <c r="T87" i="24"/>
  <c r="U87" i="24"/>
  <c r="R88" i="24"/>
  <c r="S88" i="24"/>
  <c r="T88" i="24"/>
  <c r="U88" i="24"/>
  <c r="R89" i="24"/>
  <c r="S89" i="24"/>
  <c r="T89" i="24"/>
  <c r="U89" i="24"/>
  <c r="R90" i="24"/>
  <c r="S90" i="24"/>
  <c r="T90" i="24"/>
  <c r="U90" i="24"/>
  <c r="R94" i="24"/>
  <c r="S94" i="24"/>
  <c r="P94" i="24" s="1"/>
  <c r="T94" i="24"/>
  <c r="U94" i="24"/>
  <c r="R95" i="24"/>
  <c r="S95" i="24"/>
  <c r="T95" i="24"/>
  <c r="U95" i="24"/>
  <c r="R96" i="24"/>
  <c r="S96" i="24"/>
  <c r="T96" i="24"/>
  <c r="U96" i="24"/>
  <c r="R38" i="24"/>
  <c r="S38" i="24"/>
  <c r="T38" i="24"/>
  <c r="T39" i="24"/>
  <c r="R43" i="24"/>
  <c r="S43" i="24"/>
  <c r="T43" i="24"/>
  <c r="U43" i="24"/>
  <c r="U44" i="24"/>
  <c r="R45" i="24"/>
  <c r="S45" i="24"/>
  <c r="T45" i="24"/>
  <c r="P45" i="24" s="1"/>
  <c r="U45" i="24"/>
  <c r="R48" i="24"/>
  <c r="P48" i="24" s="1"/>
  <c r="S48" i="24"/>
  <c r="T48" i="24"/>
  <c r="U48" i="24"/>
  <c r="R50" i="24"/>
  <c r="S50" i="24"/>
  <c r="T50" i="24"/>
  <c r="U50" i="24"/>
  <c r="U51" i="24"/>
  <c r="R54" i="24"/>
  <c r="S54" i="24"/>
  <c r="T54" i="24"/>
  <c r="P54" i="24" s="1"/>
  <c r="U54" i="24"/>
  <c r="U55" i="24"/>
  <c r="R57" i="24"/>
  <c r="S57" i="24"/>
  <c r="T57" i="24"/>
  <c r="U57" i="24"/>
  <c r="R59" i="24"/>
  <c r="S59" i="24"/>
  <c r="T59" i="24"/>
  <c r="U59" i="24"/>
  <c r="P59" i="24" s="1"/>
  <c r="R60" i="24"/>
  <c r="S60" i="24"/>
  <c r="T60" i="24"/>
  <c r="U60" i="24"/>
  <c r="R61" i="24"/>
  <c r="S61" i="24"/>
  <c r="T61" i="24"/>
  <c r="U61" i="24"/>
  <c r="R62" i="24"/>
  <c r="S62" i="24"/>
  <c r="T62" i="24"/>
  <c r="U62" i="24"/>
  <c r="R70" i="24"/>
  <c r="S70" i="24"/>
  <c r="T70" i="24"/>
  <c r="U70" i="24"/>
  <c r="R71" i="24"/>
  <c r="S71" i="24"/>
  <c r="T71" i="24"/>
  <c r="U71" i="24"/>
  <c r="B11" i="24"/>
  <c r="E11" i="10"/>
  <c r="D7" i="24"/>
  <c r="D10" i="24"/>
  <c r="D14" i="24"/>
  <c r="D12" i="24" s="1"/>
  <c r="D13" i="24"/>
  <c r="D6" i="24"/>
  <c r="C72" i="26"/>
  <c r="H84" i="26"/>
  <c r="E84" i="26"/>
  <c r="E72" i="26" s="1"/>
  <c r="E166" i="23"/>
  <c r="G34" i="23" a="1"/>
  <c r="G34" i="23" s="1"/>
  <c r="E34" i="23"/>
  <c r="K65" i="23"/>
  <c r="K68" i="23" s="1"/>
  <c r="O130" i="23"/>
  <c r="O133" i="23" s="1"/>
  <c r="M130" i="23"/>
  <c r="M133" i="23" s="1"/>
  <c r="K130" i="23"/>
  <c r="K125" i="23"/>
  <c r="K135" i="23"/>
  <c r="K138" i="23" s="1"/>
  <c r="O120" i="23"/>
  <c r="O123" i="23" s="1"/>
  <c r="O140" i="23"/>
  <c r="O143" i="23" s="1"/>
  <c r="M120" i="23"/>
  <c r="M123" i="23" s="1"/>
  <c r="K140" i="23"/>
  <c r="K143" i="23" s="1"/>
  <c r="K120" i="23"/>
  <c r="K123" i="23" s="1"/>
  <c r="O145" i="23"/>
  <c r="M145" i="23"/>
  <c r="M148" i="23" s="1"/>
  <c r="K145" i="23"/>
  <c r="K148" i="23" s="1"/>
  <c r="O151" i="23"/>
  <c r="O155" i="23" s="1"/>
  <c r="O150" i="23"/>
  <c r="O154" i="23" s="1"/>
  <c r="M151" i="23"/>
  <c r="M155" i="23" s="1"/>
  <c r="M150" i="23"/>
  <c r="M154" i="23" s="1"/>
  <c r="K151" i="23"/>
  <c r="K155" i="23" s="1"/>
  <c r="K150" i="23"/>
  <c r="K115" i="23"/>
  <c r="K118" i="23" s="1"/>
  <c r="O157" i="23"/>
  <c r="O160" i="23" s="1"/>
  <c r="M157" i="23"/>
  <c r="M160" i="23" s="1"/>
  <c r="K157" i="23"/>
  <c r="O162" i="23"/>
  <c r="O165" i="23" s="1"/>
  <c r="K162" i="23"/>
  <c r="K165" i="23" s="1"/>
  <c r="O167" i="23"/>
  <c r="O170" i="23" s="1"/>
  <c r="M167" i="23"/>
  <c r="K167" i="23"/>
  <c r="K170" i="23" s="1"/>
  <c r="K110" i="23"/>
  <c r="K113" i="23" s="1"/>
  <c r="O172" i="23"/>
  <c r="O175" i="23" s="1"/>
  <c r="M172" i="23"/>
  <c r="M175" i="23" s="1"/>
  <c r="K172" i="23"/>
  <c r="O105" i="23"/>
  <c r="O108" i="23" s="1"/>
  <c r="K105" i="23"/>
  <c r="O100" i="23"/>
  <c r="O103" i="23" s="1"/>
  <c r="M100" i="23"/>
  <c r="M103" i="23" s="1"/>
  <c r="K100" i="23"/>
  <c r="K103" i="23" s="1"/>
  <c r="O178" i="23"/>
  <c r="O182" i="23" s="1"/>
  <c r="O177" i="23"/>
  <c r="O181" i="23" s="1"/>
  <c r="M178" i="23"/>
  <c r="M182" i="23" s="1"/>
  <c r="M177" i="23"/>
  <c r="M181" i="23" s="1"/>
  <c r="K178" i="23"/>
  <c r="K177" i="23"/>
  <c r="K181" i="23" s="1"/>
  <c r="O184" i="23"/>
  <c r="O187" i="23" s="1"/>
  <c r="M184" i="23"/>
  <c r="M187" i="23" s="1"/>
  <c r="K184" i="23"/>
  <c r="K187" i="23" s="1"/>
  <c r="O189" i="23"/>
  <c r="O192" i="23" s="1"/>
  <c r="M189" i="23"/>
  <c r="M192" i="23" s="1"/>
  <c r="O95" i="23"/>
  <c r="O98" i="23" s="1"/>
  <c r="K189" i="23"/>
  <c r="K192" i="23" s="1"/>
  <c r="M95" i="23"/>
  <c r="M98" i="23" s="1"/>
  <c r="O194" i="23"/>
  <c r="K95" i="23"/>
  <c r="K98" i="23" s="1"/>
  <c r="M194" i="23"/>
  <c r="M197" i="23" s="1"/>
  <c r="K194" i="23"/>
  <c r="O199" i="23"/>
  <c r="O202" i="23" s="1"/>
  <c r="M199" i="23"/>
  <c r="M202" i="23" s="1"/>
  <c r="K199" i="23"/>
  <c r="K202" i="23" s="1"/>
  <c r="O206" i="23"/>
  <c r="O205" i="23"/>
  <c r="O210" i="23" s="1"/>
  <c r="O204" i="23"/>
  <c r="O209" i="23" s="1"/>
  <c r="M206" i="23"/>
  <c r="M211" i="23" s="1"/>
  <c r="M205" i="23"/>
  <c r="M210" i="23" s="1"/>
  <c r="M204" i="23"/>
  <c r="M209" i="23" s="1"/>
  <c r="K206" i="23"/>
  <c r="K211" i="23" s="1"/>
  <c r="K205" i="23"/>
  <c r="K210" i="23" s="1"/>
  <c r="K204" i="23"/>
  <c r="O213" i="23"/>
  <c r="O216" i="23" s="1"/>
  <c r="M213" i="23"/>
  <c r="K213" i="23"/>
  <c r="K216" i="23" s="1"/>
  <c r="O218" i="23"/>
  <c r="O221" i="23" s="1"/>
  <c r="M218" i="23"/>
  <c r="K218" i="23"/>
  <c r="K221" i="23" s="1"/>
  <c r="O223" i="23"/>
  <c r="O80" i="23"/>
  <c r="M223" i="23"/>
  <c r="M226" i="23" s="1"/>
  <c r="M80" i="23"/>
  <c r="K223" i="23"/>
  <c r="K80" i="23"/>
  <c r="K83" i="23" s="1"/>
  <c r="O228" i="23"/>
  <c r="M228" i="23"/>
  <c r="K228" i="23"/>
  <c r="K231" i="23" s="1"/>
  <c r="O233" i="23"/>
  <c r="O236" i="23" s="1"/>
  <c r="O75" i="23"/>
  <c r="O78" i="23" s="1"/>
  <c r="M233" i="23"/>
  <c r="M236" i="23" s="1"/>
  <c r="K233" i="23"/>
  <c r="K236" i="23" s="1"/>
  <c r="M75" i="23"/>
  <c r="M78" i="23" s="1"/>
  <c r="K239" i="23"/>
  <c r="K243" i="23" s="1"/>
  <c r="K75" i="23"/>
  <c r="K78" i="23" s="1"/>
  <c r="O70" i="23"/>
  <c r="O245" i="23"/>
  <c r="M70" i="23"/>
  <c r="M245" i="23"/>
  <c r="M248" i="23" s="1"/>
  <c r="K245" i="23"/>
  <c r="K248" i="23" s="1"/>
  <c r="K70" i="23"/>
  <c r="O65" i="23"/>
  <c r="O68" i="23" s="1"/>
  <c r="M65" i="23"/>
  <c r="M68" i="23" s="1"/>
  <c r="O60" i="23"/>
  <c r="M60" i="23"/>
  <c r="M63" i="23" s="1"/>
  <c r="K60" i="23"/>
  <c r="K63" i="23" s="1"/>
  <c r="O55" i="23"/>
  <c r="O58" i="23" s="1"/>
  <c r="M55" i="23"/>
  <c r="K55" i="23"/>
  <c r="K58" i="23" s="1"/>
  <c r="Y190" i="10"/>
  <c r="Y191" i="10" s="1"/>
  <c r="Z190" i="10"/>
  <c r="Z191" i="10" s="1"/>
  <c r="AA190" i="10"/>
  <c r="AA191" i="10" s="1"/>
  <c r="AB190" i="10"/>
  <c r="AC190" i="10"/>
  <c r="AC191" i="10" s="1"/>
  <c r="AE190" i="10"/>
  <c r="AE191" i="10" s="1"/>
  <c r="Y187" i="10"/>
  <c r="Y188" i="10" s="1"/>
  <c r="Z187" i="10"/>
  <c r="Z188" i="10" s="1"/>
  <c r="AA187" i="10"/>
  <c r="AA188" i="10" s="1"/>
  <c r="AB187" i="10"/>
  <c r="AB188" i="10" s="1"/>
  <c r="AC187" i="10"/>
  <c r="AC188" i="10" s="1"/>
  <c r="AD187" i="10"/>
  <c r="AD188" i="10" s="1"/>
  <c r="AE187" i="10"/>
  <c r="AE188" i="10" s="1"/>
  <c r="AF187" i="10"/>
  <c r="AF188" i="10" s="1"/>
  <c r="Y184" i="10"/>
  <c r="Y185" i="10" s="1"/>
  <c r="Z184" i="10"/>
  <c r="Z185" i="10" s="1"/>
  <c r="X190" i="10"/>
  <c r="X191" i="10" s="1"/>
  <c r="X187" i="10"/>
  <c r="X188" i="10" s="1"/>
  <c r="X184" i="10"/>
  <c r="X185" i="10" s="1"/>
  <c r="P248" i="23"/>
  <c r="N248" i="23"/>
  <c r="L248" i="23"/>
  <c r="J248" i="23"/>
  <c r="P245" i="23"/>
  <c r="N245" i="23"/>
  <c r="L245" i="23"/>
  <c r="J245" i="23"/>
  <c r="P243" i="23"/>
  <c r="N243" i="23"/>
  <c r="L243" i="23"/>
  <c r="J243" i="23"/>
  <c r="P242" i="23"/>
  <c r="N242" i="23"/>
  <c r="L242" i="23"/>
  <c r="J242" i="23"/>
  <c r="P239" i="23"/>
  <c r="N239" i="23"/>
  <c r="L239" i="23"/>
  <c r="J239" i="23"/>
  <c r="P238" i="23"/>
  <c r="N238" i="23"/>
  <c r="L238" i="23"/>
  <c r="J238" i="23"/>
  <c r="P236" i="23"/>
  <c r="N236" i="23"/>
  <c r="L236" i="23"/>
  <c r="J236" i="23"/>
  <c r="P233" i="23"/>
  <c r="N233" i="23"/>
  <c r="L233" i="23"/>
  <c r="J233" i="23"/>
  <c r="P231" i="23"/>
  <c r="N231" i="23"/>
  <c r="L231" i="23"/>
  <c r="J231" i="23"/>
  <c r="P228" i="23"/>
  <c r="N228" i="23"/>
  <c r="L228" i="23"/>
  <c r="J228" i="23"/>
  <c r="P226" i="23"/>
  <c r="N226" i="23"/>
  <c r="L226" i="23"/>
  <c r="J226" i="23"/>
  <c r="P223" i="23"/>
  <c r="N223" i="23"/>
  <c r="L223" i="23"/>
  <c r="J223" i="23"/>
  <c r="P221" i="23"/>
  <c r="N221" i="23"/>
  <c r="L221" i="23"/>
  <c r="J221" i="23"/>
  <c r="P218" i="23"/>
  <c r="N218" i="23"/>
  <c r="L218" i="23"/>
  <c r="J218" i="23"/>
  <c r="P216" i="23"/>
  <c r="N216" i="23"/>
  <c r="L216" i="23"/>
  <c r="J216" i="23"/>
  <c r="P213" i="23"/>
  <c r="N213" i="23"/>
  <c r="L213" i="23"/>
  <c r="J213" i="23"/>
  <c r="P211" i="23"/>
  <c r="N211" i="23"/>
  <c r="L211" i="23"/>
  <c r="J211" i="23"/>
  <c r="P210" i="23"/>
  <c r="N210" i="23"/>
  <c r="L210" i="23"/>
  <c r="J210" i="23"/>
  <c r="P209" i="23"/>
  <c r="N209" i="23"/>
  <c r="L209" i="23"/>
  <c r="J209" i="23"/>
  <c r="P206" i="23"/>
  <c r="N206" i="23"/>
  <c r="L206" i="23"/>
  <c r="J206" i="23"/>
  <c r="P205" i="23"/>
  <c r="N205" i="23"/>
  <c r="L205" i="23"/>
  <c r="J205" i="23"/>
  <c r="P204" i="23"/>
  <c r="N204" i="23"/>
  <c r="L204" i="23"/>
  <c r="J204" i="23"/>
  <c r="P202" i="23"/>
  <c r="N202" i="23"/>
  <c r="L202" i="23"/>
  <c r="J202" i="23"/>
  <c r="P199" i="23"/>
  <c r="N199" i="23"/>
  <c r="L199" i="23"/>
  <c r="J199" i="23"/>
  <c r="P197" i="23"/>
  <c r="N197" i="23"/>
  <c r="L197" i="23"/>
  <c r="J197" i="23"/>
  <c r="P194" i="23"/>
  <c r="N194" i="23"/>
  <c r="L194" i="23"/>
  <c r="J194" i="23"/>
  <c r="P192" i="23"/>
  <c r="N192" i="23"/>
  <c r="L192" i="23"/>
  <c r="J192" i="23"/>
  <c r="P189" i="23"/>
  <c r="N189" i="23"/>
  <c r="L189" i="23"/>
  <c r="J189" i="23"/>
  <c r="P187" i="23"/>
  <c r="N187" i="23"/>
  <c r="L187" i="23"/>
  <c r="J187" i="23"/>
  <c r="P184" i="23"/>
  <c r="N184" i="23"/>
  <c r="L184" i="23"/>
  <c r="J184" i="23"/>
  <c r="P182" i="23"/>
  <c r="N182" i="23"/>
  <c r="L182" i="23"/>
  <c r="J182" i="23"/>
  <c r="P181" i="23"/>
  <c r="N181" i="23"/>
  <c r="L181" i="23"/>
  <c r="J181" i="23"/>
  <c r="P178" i="23"/>
  <c r="N178" i="23"/>
  <c r="L178" i="23"/>
  <c r="J178" i="23"/>
  <c r="P177" i="23"/>
  <c r="N177" i="23"/>
  <c r="L177" i="23"/>
  <c r="J177" i="23"/>
  <c r="P175" i="23"/>
  <c r="N175" i="23"/>
  <c r="L175" i="23"/>
  <c r="J175" i="23"/>
  <c r="P172" i="23"/>
  <c r="N172" i="23"/>
  <c r="L172" i="23"/>
  <c r="J172" i="23"/>
  <c r="P170" i="23"/>
  <c r="N170" i="23"/>
  <c r="L170" i="23"/>
  <c r="J170" i="23"/>
  <c r="P167" i="23"/>
  <c r="N167" i="23"/>
  <c r="L167" i="23"/>
  <c r="J167" i="23"/>
  <c r="P165" i="23"/>
  <c r="N165" i="23"/>
  <c r="L165" i="23"/>
  <c r="J165" i="23"/>
  <c r="P162" i="23"/>
  <c r="N162" i="23"/>
  <c r="L162" i="23"/>
  <c r="J162" i="23"/>
  <c r="P160" i="23"/>
  <c r="N160" i="23"/>
  <c r="L160" i="23"/>
  <c r="J160" i="23"/>
  <c r="P157" i="23"/>
  <c r="N157" i="23"/>
  <c r="L157" i="23"/>
  <c r="J157" i="23"/>
  <c r="P155" i="23"/>
  <c r="N155" i="23"/>
  <c r="L155" i="23"/>
  <c r="J155" i="23"/>
  <c r="P154" i="23"/>
  <c r="N154" i="23"/>
  <c r="L154" i="23"/>
  <c r="J154" i="23"/>
  <c r="P151" i="23"/>
  <c r="N151" i="23"/>
  <c r="L151" i="23"/>
  <c r="J151" i="23"/>
  <c r="P150" i="23"/>
  <c r="N150" i="23"/>
  <c r="L150" i="23"/>
  <c r="J150" i="23"/>
  <c r="P148" i="23"/>
  <c r="N148" i="23"/>
  <c r="L148" i="23"/>
  <c r="J148" i="23"/>
  <c r="P145" i="23"/>
  <c r="N145" i="23"/>
  <c r="L145" i="23"/>
  <c r="J145" i="23"/>
  <c r="P143" i="23"/>
  <c r="N143" i="23"/>
  <c r="L143" i="23"/>
  <c r="J143" i="23"/>
  <c r="P140" i="23"/>
  <c r="N140" i="23"/>
  <c r="L140" i="23"/>
  <c r="J140" i="23"/>
  <c r="P138" i="23"/>
  <c r="N138" i="23"/>
  <c r="L138" i="23"/>
  <c r="J138" i="23"/>
  <c r="P135" i="23"/>
  <c r="N135" i="23"/>
  <c r="L135" i="23"/>
  <c r="J135" i="23"/>
  <c r="P133" i="23"/>
  <c r="N133" i="23"/>
  <c r="L133" i="23"/>
  <c r="J133" i="23"/>
  <c r="P130" i="23"/>
  <c r="N130" i="23"/>
  <c r="L130" i="23"/>
  <c r="J130" i="23"/>
  <c r="P128" i="23"/>
  <c r="N128" i="23"/>
  <c r="L128" i="23"/>
  <c r="J128" i="23"/>
  <c r="P125" i="23"/>
  <c r="N125" i="23"/>
  <c r="L125" i="23"/>
  <c r="J125" i="23"/>
  <c r="B244" i="23"/>
  <c r="C244" i="23"/>
  <c r="D244" i="23"/>
  <c r="E244" i="23"/>
  <c r="F244" i="23"/>
  <c r="G244" i="23" a="1"/>
  <c r="G244" i="23" s="1"/>
  <c r="H244" i="23" a="1"/>
  <c r="H244" i="23" s="1"/>
  <c r="J120" i="23"/>
  <c r="L120" i="23"/>
  <c r="N120" i="23"/>
  <c r="P120" i="23"/>
  <c r="J123" i="23"/>
  <c r="L123" i="23"/>
  <c r="N123" i="23"/>
  <c r="P123" i="23"/>
  <c r="J115" i="23"/>
  <c r="L115" i="23"/>
  <c r="N115" i="23"/>
  <c r="P115" i="23"/>
  <c r="J118" i="23"/>
  <c r="L118" i="23"/>
  <c r="N118" i="23"/>
  <c r="P118" i="23"/>
  <c r="J110" i="23"/>
  <c r="L110" i="23"/>
  <c r="N110" i="23"/>
  <c r="P110" i="23"/>
  <c r="J113" i="23"/>
  <c r="L113" i="23"/>
  <c r="N113" i="23"/>
  <c r="P113" i="23"/>
  <c r="J105" i="23"/>
  <c r="L105" i="23"/>
  <c r="N105" i="23"/>
  <c r="P105" i="23"/>
  <c r="J108" i="23"/>
  <c r="L108" i="23"/>
  <c r="N108" i="23"/>
  <c r="P108" i="23"/>
  <c r="J100" i="23"/>
  <c r="L100" i="23"/>
  <c r="N100" i="23"/>
  <c r="P100" i="23"/>
  <c r="J103" i="23"/>
  <c r="L103" i="23"/>
  <c r="N103" i="23"/>
  <c r="P103" i="23"/>
  <c r="J95" i="23"/>
  <c r="L95" i="23"/>
  <c r="N95" i="23"/>
  <c r="P95" i="23"/>
  <c r="J98" i="23"/>
  <c r="L98" i="23"/>
  <c r="N98" i="23"/>
  <c r="P98" i="23"/>
  <c r="D72" i="26"/>
  <c r="Y148" i="10"/>
  <c r="Z148" i="10"/>
  <c r="AC148" i="10"/>
  <c r="AE148" i="10"/>
  <c r="AF148" i="10"/>
  <c r="C6" i="26"/>
  <c r="F6" i="26" s="1"/>
  <c r="C36" i="26"/>
  <c r="D20" i="26"/>
  <c r="F20" i="26" s="1"/>
  <c r="E20" i="26"/>
  <c r="C20" i="26"/>
  <c r="D6" i="26"/>
  <c r="E6" i="26"/>
  <c r="J80" i="23"/>
  <c r="L80" i="23"/>
  <c r="N80" i="23"/>
  <c r="P80" i="23"/>
  <c r="J83" i="23"/>
  <c r="L83" i="23"/>
  <c r="N83" i="23"/>
  <c r="P83" i="23"/>
  <c r="J75" i="23"/>
  <c r="L75" i="23"/>
  <c r="N75" i="23"/>
  <c r="P75" i="23"/>
  <c r="J78" i="23"/>
  <c r="L78" i="23"/>
  <c r="N78" i="23"/>
  <c r="P78" i="23"/>
  <c r="J70" i="23"/>
  <c r="L70" i="23"/>
  <c r="N70" i="23"/>
  <c r="P70" i="23"/>
  <c r="J73" i="23"/>
  <c r="L73" i="23"/>
  <c r="N73" i="23"/>
  <c r="P73" i="23"/>
  <c r="J65" i="23"/>
  <c r="L65" i="23"/>
  <c r="N65" i="23"/>
  <c r="P65" i="23"/>
  <c r="J68" i="23"/>
  <c r="L68" i="23"/>
  <c r="N68" i="23"/>
  <c r="P68" i="23"/>
  <c r="J60" i="23"/>
  <c r="L60" i="23"/>
  <c r="N60" i="23"/>
  <c r="P60" i="23"/>
  <c r="J63" i="23"/>
  <c r="L63" i="23"/>
  <c r="N63" i="23"/>
  <c r="P63" i="23"/>
  <c r="J55" i="23"/>
  <c r="L55" i="23"/>
  <c r="N55" i="23"/>
  <c r="P55" i="23"/>
  <c r="J58" i="23"/>
  <c r="L58" i="23"/>
  <c r="N58" i="23"/>
  <c r="P58" i="23"/>
  <c r="Q96" i="24"/>
  <c r="Q95" i="24"/>
  <c r="Q94" i="24"/>
  <c r="Q90" i="24"/>
  <c r="P90" i="24" s="1"/>
  <c r="Q89" i="24"/>
  <c r="P89" i="24"/>
  <c r="Q88" i="24"/>
  <c r="Q87" i="24"/>
  <c r="P87" i="24" s="1"/>
  <c r="Q86" i="24"/>
  <c r="Q85" i="24"/>
  <c r="Q84" i="24"/>
  <c r="Q83" i="24"/>
  <c r="P83" i="24"/>
  <c r="Q82" i="24"/>
  <c r="Q81" i="24"/>
  <c r="P81" i="24" s="1"/>
  <c r="Q80" i="24"/>
  <c r="P80" i="24" s="1"/>
  <c r="Q79" i="24"/>
  <c r="Q78" i="24"/>
  <c r="Q77" i="24"/>
  <c r="Q76" i="24"/>
  <c r="Q75" i="24"/>
  <c r="Q74" i="24"/>
  <c r="Q73" i="24"/>
  <c r="Q72" i="24"/>
  <c r="Q71" i="24"/>
  <c r="P71" i="24" s="1"/>
  <c r="Q70" i="24"/>
  <c r="Q69" i="24"/>
  <c r="P69" i="24" s="1"/>
  <c r="Q68" i="24"/>
  <c r="P68" i="24"/>
  <c r="Q67" i="24"/>
  <c r="P67" i="24" s="1"/>
  <c r="Q66" i="24"/>
  <c r="Q65" i="24"/>
  <c r="Q64" i="24"/>
  <c r="P64" i="24"/>
  <c r="Q63" i="24"/>
  <c r="Q62" i="24"/>
  <c r="Q61" i="24"/>
  <c r="P61" i="24" s="1"/>
  <c r="Q60" i="24"/>
  <c r="Q59" i="24"/>
  <c r="Q58" i="24"/>
  <c r="Q57" i="24"/>
  <c r="P57" i="24"/>
  <c r="Q56" i="24"/>
  <c r="Q55" i="24"/>
  <c r="Q54" i="24"/>
  <c r="Q53" i="24"/>
  <c r="P53" i="24"/>
  <c r="Q52" i="24"/>
  <c r="Q51" i="24"/>
  <c r="Q50" i="24"/>
  <c r="Q49" i="24"/>
  <c r="P49" i="24" s="1"/>
  <c r="Q48" i="24"/>
  <c r="Q47" i="24"/>
  <c r="P47" i="24"/>
  <c r="Q46" i="24"/>
  <c r="P46" i="24" s="1"/>
  <c r="Q45" i="24"/>
  <c r="Q44" i="24"/>
  <c r="Q43" i="24"/>
  <c r="P43" i="24" s="1"/>
  <c r="Q42" i="24"/>
  <c r="Q41" i="24"/>
  <c r="P41" i="24"/>
  <c r="Q40" i="24"/>
  <c r="Q39" i="24"/>
  <c r="Q38" i="24"/>
  <c r="Q37" i="24"/>
  <c r="P37" i="24"/>
  <c r="Q36" i="24"/>
  <c r="Q35" i="24"/>
  <c r="C9" i="24"/>
  <c r="B9" i="24" s="1"/>
  <c r="C7" i="24"/>
  <c r="B7" i="24"/>
  <c r="R38" i="10"/>
  <c r="U38" i="10"/>
  <c r="V38" i="10"/>
  <c r="R41" i="10"/>
  <c r="T41" i="10"/>
  <c r="V41" i="10"/>
  <c r="R42" i="10"/>
  <c r="R43" i="10"/>
  <c r="R46" i="10"/>
  <c r="T46" i="10"/>
  <c r="R48" i="10"/>
  <c r="S48" i="10"/>
  <c r="T48" i="10"/>
  <c r="U48" i="10"/>
  <c r="V48" i="10"/>
  <c r="R60" i="10"/>
  <c r="S60" i="10"/>
  <c r="T60" i="10"/>
  <c r="U60" i="10"/>
  <c r="V60" i="10"/>
  <c r="S62" i="10"/>
  <c r="T62" i="10"/>
  <c r="U62" i="10"/>
  <c r="V62" i="10"/>
  <c r="R65" i="10"/>
  <c r="U65" i="10"/>
  <c r="V65" i="10"/>
  <c r="R67" i="10"/>
  <c r="U67" i="10"/>
  <c r="S68" i="10"/>
  <c r="V68" i="10"/>
  <c r="R70" i="10"/>
  <c r="U70" i="10"/>
  <c r="V70" i="10"/>
  <c r="R72" i="10"/>
  <c r="R73" i="10"/>
  <c r="S73" i="10"/>
  <c r="T73" i="10"/>
  <c r="U73" i="10"/>
  <c r="V73" i="10"/>
  <c r="R74" i="10"/>
  <c r="T74" i="10"/>
  <c r="U74" i="10"/>
  <c r="S75" i="10"/>
  <c r="T75" i="10"/>
  <c r="E8" i="10"/>
  <c r="U75" i="10"/>
  <c r="V75" i="10"/>
  <c r="R76" i="10"/>
  <c r="S76" i="10"/>
  <c r="T76" i="10"/>
  <c r="U76" i="10"/>
  <c r="V76" i="10"/>
  <c r="R89" i="10"/>
  <c r="S89" i="10"/>
  <c r="T89" i="10"/>
  <c r="U89" i="10"/>
  <c r="V89" i="10"/>
  <c r="R90" i="10"/>
  <c r="T90" i="10"/>
  <c r="U90" i="10"/>
  <c r="V90" i="10"/>
  <c r="R93" i="10"/>
  <c r="S93" i="10"/>
  <c r="T93" i="10"/>
  <c r="U93" i="10"/>
  <c r="V93" i="10"/>
  <c r="R94" i="10"/>
  <c r="S94" i="10"/>
  <c r="T94" i="10"/>
  <c r="U94" i="10"/>
  <c r="V94" i="10"/>
  <c r="R95" i="10"/>
  <c r="S95" i="10"/>
  <c r="T95" i="10"/>
  <c r="U95" i="10"/>
  <c r="V95" i="10"/>
  <c r="R96" i="10"/>
  <c r="S96" i="10"/>
  <c r="T96" i="10"/>
  <c r="U96" i="10"/>
  <c r="V96" i="10"/>
  <c r="R97" i="10"/>
  <c r="S97" i="10"/>
  <c r="T97" i="10"/>
  <c r="U97" i="10"/>
  <c r="V97" i="10"/>
  <c r="R98" i="10"/>
  <c r="S98" i="10"/>
  <c r="V98" i="10"/>
  <c r="R99" i="10"/>
  <c r="S99" i="10"/>
  <c r="T99" i="10"/>
  <c r="U99" i="10"/>
  <c r="V99" i="10"/>
  <c r="R100" i="10"/>
  <c r="T100" i="10"/>
  <c r="U100" i="10"/>
  <c r="V100" i="10"/>
  <c r="V101" i="10"/>
  <c r="R102" i="10"/>
  <c r="S102" i="10"/>
  <c r="T102" i="10"/>
  <c r="U102" i="10"/>
  <c r="V102" i="10"/>
  <c r="R114" i="10"/>
  <c r="S114" i="10"/>
  <c r="T114" i="10"/>
  <c r="U114" i="10"/>
  <c r="V114" i="10"/>
  <c r="R115" i="10"/>
  <c r="S115" i="10"/>
  <c r="T115" i="10"/>
  <c r="U115" i="10"/>
  <c r="V115" i="10"/>
  <c r="R116" i="10"/>
  <c r="S116" i="10"/>
  <c r="T116" i="10"/>
  <c r="U116" i="10"/>
  <c r="V116" i="10"/>
  <c r="R129" i="10"/>
  <c r="S129" i="10"/>
  <c r="T129" i="10"/>
  <c r="U129" i="10"/>
  <c r="V129" i="10"/>
  <c r="R130" i="10"/>
  <c r="S130" i="10"/>
  <c r="T130" i="10"/>
  <c r="U130" i="10"/>
  <c r="V130" i="10"/>
  <c r="R131" i="10"/>
  <c r="S131" i="10"/>
  <c r="T131" i="10"/>
  <c r="U131" i="10"/>
  <c r="V131" i="10"/>
  <c r="R132" i="10"/>
  <c r="S132" i="10"/>
  <c r="T132" i="10"/>
  <c r="U132" i="10"/>
  <c r="V132" i="10"/>
  <c r="U148" i="10"/>
  <c r="V148" i="10"/>
  <c r="V35" i="10"/>
  <c r="U35" i="10"/>
  <c r="T35" i="10"/>
  <c r="S35" i="10"/>
  <c r="R35" i="10"/>
  <c r="V36" i="10"/>
  <c r="K50" i="23"/>
  <c r="P53" i="23"/>
  <c r="N53" i="23"/>
  <c r="L53" i="23"/>
  <c r="J53" i="23"/>
  <c r="P50" i="23"/>
  <c r="N50" i="23"/>
  <c r="L50" i="23"/>
  <c r="J50" i="23"/>
  <c r="O45" i="23"/>
  <c r="O48" i="23" s="1"/>
  <c r="M45" i="23"/>
  <c r="K45" i="23"/>
  <c r="K48" i="23" s="1"/>
  <c r="P48" i="23"/>
  <c r="N48" i="23"/>
  <c r="L48" i="23"/>
  <c r="J48" i="23"/>
  <c r="P45" i="23"/>
  <c r="N45" i="23"/>
  <c r="L45" i="23"/>
  <c r="J45" i="23"/>
  <c r="O40" i="23"/>
  <c r="O43" i="23" s="1"/>
  <c r="M40" i="23"/>
  <c r="M43" i="23" s="1"/>
  <c r="K40" i="23"/>
  <c r="P43" i="23"/>
  <c r="N43" i="23"/>
  <c r="L43" i="23"/>
  <c r="J43" i="23"/>
  <c r="P40" i="23"/>
  <c r="N40" i="23"/>
  <c r="L40" i="23"/>
  <c r="J40" i="23"/>
  <c r="P38" i="23"/>
  <c r="N38" i="23"/>
  <c r="O35" i="23"/>
  <c r="M35" i="23"/>
  <c r="M38" i="23" s="1"/>
  <c r="K35" i="23"/>
  <c r="P35" i="23"/>
  <c r="N35" i="23"/>
  <c r="L38" i="23"/>
  <c r="J38" i="23"/>
  <c r="L35" i="23"/>
  <c r="J35" i="23"/>
  <c r="P33" i="23"/>
  <c r="P32" i="23"/>
  <c r="P31" i="23"/>
  <c r="B39" i="23"/>
  <c r="C39" i="23"/>
  <c r="D39" i="23"/>
  <c r="E39" i="23"/>
  <c r="F39" i="23"/>
  <c r="G39" i="23" a="1"/>
  <c r="G39" i="23" s="1"/>
  <c r="H39" i="23" a="1"/>
  <c r="H39" i="23" s="1"/>
  <c r="B44" i="23"/>
  <c r="C44" i="23"/>
  <c r="D44" i="23"/>
  <c r="E44" i="23"/>
  <c r="F44" i="23"/>
  <c r="G44" i="23" a="1"/>
  <c r="G44" i="23" s="1"/>
  <c r="H44" i="23" a="1"/>
  <c r="H44" i="23" s="1"/>
  <c r="B49" i="23"/>
  <c r="C49" i="23"/>
  <c r="D49" i="23"/>
  <c r="E49" i="23"/>
  <c r="F49" i="23"/>
  <c r="G49" i="23" a="1"/>
  <c r="G49" i="23" s="1"/>
  <c r="H49" i="23" a="1"/>
  <c r="H49" i="23" s="1"/>
  <c r="B54" i="23"/>
  <c r="C54" i="23"/>
  <c r="D54" i="23"/>
  <c r="E54" i="23"/>
  <c r="F54" i="23"/>
  <c r="G54" i="23" a="1"/>
  <c r="G54" i="23" s="1"/>
  <c r="H54" i="23" a="1"/>
  <c r="H54" i="23" s="1"/>
  <c r="B59" i="23"/>
  <c r="C59" i="23"/>
  <c r="D59" i="23"/>
  <c r="E59" i="23"/>
  <c r="F59" i="23"/>
  <c r="G59" i="23" a="1"/>
  <c r="G59" i="23" s="1"/>
  <c r="H59" i="23" a="1"/>
  <c r="H59" i="23" s="1"/>
  <c r="B64" i="23"/>
  <c r="C64" i="23"/>
  <c r="D64" i="23"/>
  <c r="E64" i="23"/>
  <c r="F64" i="23"/>
  <c r="G64" i="23" a="1"/>
  <c r="G64" i="23" s="1"/>
  <c r="H64" i="23" a="1"/>
  <c r="H64" i="23" s="1"/>
  <c r="B69" i="23"/>
  <c r="C69" i="23"/>
  <c r="D69" i="23"/>
  <c r="E69" i="23"/>
  <c r="F69" i="23"/>
  <c r="G69" i="23" a="1"/>
  <c r="G69" i="23" s="1"/>
  <c r="H69" i="23" a="1"/>
  <c r="H69" i="23" s="1"/>
  <c r="B74" i="23"/>
  <c r="C74" i="23"/>
  <c r="D74" i="23"/>
  <c r="E74" i="23"/>
  <c r="F74" i="23"/>
  <c r="G74" i="23" a="1"/>
  <c r="G74" i="23" s="1"/>
  <c r="H74" i="23" a="1"/>
  <c r="H74" i="23" s="1"/>
  <c r="B79" i="23"/>
  <c r="C79" i="23"/>
  <c r="D79" i="23"/>
  <c r="E79" i="23"/>
  <c r="F79" i="23"/>
  <c r="G79" i="23" a="1"/>
  <c r="G79" i="23" s="1"/>
  <c r="H79" i="23" a="1"/>
  <c r="H79" i="23" s="1"/>
  <c r="B94" i="23"/>
  <c r="C94" i="23"/>
  <c r="D94" i="23"/>
  <c r="E94" i="23"/>
  <c r="F94" i="23"/>
  <c r="G94" i="23" a="1"/>
  <c r="G94" i="23" s="1"/>
  <c r="H94" i="23" a="1"/>
  <c r="H94" i="23" s="1"/>
  <c r="B99" i="23"/>
  <c r="C99" i="23"/>
  <c r="D99" i="23"/>
  <c r="E99" i="23"/>
  <c r="F99" i="23"/>
  <c r="G99" i="23" a="1"/>
  <c r="G99" i="23" s="1"/>
  <c r="H99" i="23" a="1"/>
  <c r="H99" i="23" s="1"/>
  <c r="B104" i="23"/>
  <c r="C104" i="23"/>
  <c r="D104" i="23"/>
  <c r="E104" i="23"/>
  <c r="F104" i="23"/>
  <c r="G104" i="23" a="1"/>
  <c r="G104" i="23" s="1"/>
  <c r="H104" i="23" a="1"/>
  <c r="H104" i="23" s="1"/>
  <c r="B109" i="23"/>
  <c r="C109" i="23"/>
  <c r="D109" i="23"/>
  <c r="E109" i="23"/>
  <c r="F109" i="23"/>
  <c r="G109" i="23" a="1"/>
  <c r="G109" i="23" s="1"/>
  <c r="H109" i="23" a="1"/>
  <c r="H109" i="23" s="1"/>
  <c r="B114" i="23"/>
  <c r="C114" i="23"/>
  <c r="D114" i="23"/>
  <c r="E114" i="23"/>
  <c r="F114" i="23"/>
  <c r="G114" i="23" a="1"/>
  <c r="G114" i="23" s="1"/>
  <c r="H114" i="23" a="1"/>
  <c r="H114" i="23" s="1"/>
  <c r="B119" i="23"/>
  <c r="C119" i="23"/>
  <c r="D119" i="23"/>
  <c r="E119" i="23"/>
  <c r="F119" i="23"/>
  <c r="G119" i="23" a="1"/>
  <c r="G119" i="23" s="1"/>
  <c r="H119" i="23" a="1"/>
  <c r="H119" i="23" s="1"/>
  <c r="B124" i="23"/>
  <c r="C124" i="23"/>
  <c r="D124" i="23"/>
  <c r="E124" i="23"/>
  <c r="F124" i="23"/>
  <c r="G124" i="23" a="1"/>
  <c r="G124" i="23" s="1"/>
  <c r="H124" i="23" a="1"/>
  <c r="H124" i="23" s="1"/>
  <c r="B129" i="23"/>
  <c r="C129" i="23"/>
  <c r="D129" i="23"/>
  <c r="E129" i="23"/>
  <c r="F129" i="23"/>
  <c r="G129" i="23" a="1"/>
  <c r="G129" i="23" s="1"/>
  <c r="H129" i="23" a="1"/>
  <c r="H129" i="23" s="1"/>
  <c r="B134" i="23"/>
  <c r="C134" i="23"/>
  <c r="D134" i="23"/>
  <c r="E134" i="23"/>
  <c r="F134" i="23"/>
  <c r="G134" i="23" a="1"/>
  <c r="G134" i="23" s="1"/>
  <c r="H134" i="23" a="1"/>
  <c r="H134" i="23" s="1"/>
  <c r="B139" i="23"/>
  <c r="C139" i="23"/>
  <c r="D139" i="23"/>
  <c r="E139" i="23"/>
  <c r="F139" i="23"/>
  <c r="G139" i="23" a="1"/>
  <c r="G139" i="23" s="1"/>
  <c r="H139" i="23" a="1"/>
  <c r="H139" i="23" s="1"/>
  <c r="B144" i="23"/>
  <c r="C144" i="23"/>
  <c r="D144" i="23"/>
  <c r="E144" i="23"/>
  <c r="F144" i="23"/>
  <c r="G144" i="23" a="1"/>
  <c r="G144" i="23" s="1"/>
  <c r="H144" i="23" a="1"/>
  <c r="H144" i="23" s="1"/>
  <c r="B149" i="23"/>
  <c r="C149" i="23"/>
  <c r="D149" i="23"/>
  <c r="E149" i="23"/>
  <c r="F149" i="23"/>
  <c r="G149" i="23" a="1"/>
  <c r="G149" i="23" s="1"/>
  <c r="H149" i="23" a="1"/>
  <c r="H149" i="23" s="1"/>
  <c r="B156" i="23"/>
  <c r="C156" i="23"/>
  <c r="D156" i="23"/>
  <c r="E156" i="23"/>
  <c r="F156" i="23"/>
  <c r="G156" i="23" a="1"/>
  <c r="G156" i="23" s="1"/>
  <c r="H156" i="23" a="1"/>
  <c r="H156" i="23" s="1"/>
  <c r="B161" i="23"/>
  <c r="C161" i="23"/>
  <c r="D161" i="23"/>
  <c r="E161" i="23"/>
  <c r="F161" i="23"/>
  <c r="G161" i="23" a="1"/>
  <c r="G161" i="23" s="1"/>
  <c r="H161" i="23" a="1"/>
  <c r="H161" i="23" s="1"/>
  <c r="B166" i="23"/>
  <c r="C166" i="23"/>
  <c r="D166" i="23"/>
  <c r="F166" i="23"/>
  <c r="G166" i="23" a="1"/>
  <c r="G166" i="23" s="1"/>
  <c r="H166" i="23" a="1"/>
  <c r="H166" i="23" s="1"/>
  <c r="B171" i="23"/>
  <c r="C171" i="23"/>
  <c r="D171" i="23"/>
  <c r="E171" i="23"/>
  <c r="F171" i="23"/>
  <c r="G171" i="23" a="1"/>
  <c r="G171" i="23" s="1"/>
  <c r="H171" i="23" a="1"/>
  <c r="H171" i="23" s="1"/>
  <c r="B176" i="23"/>
  <c r="C176" i="23"/>
  <c r="D176" i="23"/>
  <c r="E176" i="23"/>
  <c r="F176" i="23"/>
  <c r="G176" i="23" a="1"/>
  <c r="G176" i="23" s="1"/>
  <c r="H176" i="23" a="1"/>
  <c r="H176" i="23" s="1"/>
  <c r="B183" i="23"/>
  <c r="C183" i="23"/>
  <c r="D183" i="23"/>
  <c r="E183" i="23"/>
  <c r="F183" i="23"/>
  <c r="G183" i="23" a="1"/>
  <c r="G183" i="23" s="1"/>
  <c r="H183" i="23" a="1"/>
  <c r="H183" i="23" s="1"/>
  <c r="B188" i="23"/>
  <c r="C188" i="23"/>
  <c r="D188" i="23"/>
  <c r="E188" i="23"/>
  <c r="F188" i="23"/>
  <c r="G188" i="23" a="1"/>
  <c r="G188" i="23" s="1"/>
  <c r="H188" i="23" a="1"/>
  <c r="H188" i="23" s="1"/>
  <c r="B193" i="23"/>
  <c r="C193" i="23"/>
  <c r="D193" i="23"/>
  <c r="E193" i="23"/>
  <c r="F193" i="23"/>
  <c r="G193" i="23" a="1"/>
  <c r="G193" i="23" s="1"/>
  <c r="H193" i="23" a="1"/>
  <c r="H193" i="23" s="1"/>
  <c r="B198" i="23"/>
  <c r="D198" i="23"/>
  <c r="E198" i="23"/>
  <c r="F198" i="23"/>
  <c r="G198" i="23" a="1"/>
  <c r="G198" i="23" s="1"/>
  <c r="H198" i="23" a="1"/>
  <c r="H198" i="23" s="1"/>
  <c r="B203" i="23"/>
  <c r="D203" i="23"/>
  <c r="E203" i="23"/>
  <c r="F203" i="23"/>
  <c r="G203" i="23" a="1"/>
  <c r="G203" i="23" s="1"/>
  <c r="H203" i="23" a="1"/>
  <c r="H203" i="23" s="1"/>
  <c r="B212" i="23"/>
  <c r="D212" i="23"/>
  <c r="E212" i="23"/>
  <c r="F212" i="23"/>
  <c r="G212" i="23" a="1"/>
  <c r="G212" i="23" s="1"/>
  <c r="H212" i="23" a="1"/>
  <c r="H212" i="23" s="1"/>
  <c r="B217" i="23"/>
  <c r="D217" i="23"/>
  <c r="F217" i="23"/>
  <c r="G217" i="23" a="1"/>
  <c r="G217" i="23" s="1"/>
  <c r="H217" i="23" a="1"/>
  <c r="H217" i="23" s="1"/>
  <c r="B222" i="23"/>
  <c r="D222" i="23"/>
  <c r="E222" i="23"/>
  <c r="F222" i="23"/>
  <c r="G222" i="23" a="1"/>
  <c r="G222" i="23" s="1"/>
  <c r="H222" i="23" a="1"/>
  <c r="H222" i="23" s="1"/>
  <c r="B227" i="23"/>
  <c r="D227" i="23"/>
  <c r="E227" i="23"/>
  <c r="F227" i="23"/>
  <c r="G227" i="23" a="1"/>
  <c r="G227" i="23" s="1"/>
  <c r="H227" i="23" a="1"/>
  <c r="H227" i="23" s="1"/>
  <c r="B232" i="23"/>
  <c r="D232" i="23"/>
  <c r="F232" i="23"/>
  <c r="G232" i="23" a="1"/>
  <c r="G232" i="23" s="1"/>
  <c r="H232" i="23" a="1"/>
  <c r="H232" i="23" s="1"/>
  <c r="B34" i="23"/>
  <c r="R36" i="10"/>
  <c r="U36" i="10"/>
  <c r="H34" i="23" a="1"/>
  <c r="H34" i="23" s="1"/>
  <c r="F34" i="23"/>
  <c r="D34" i="23"/>
  <c r="C34" i="23"/>
  <c r="N33" i="23"/>
  <c r="L33" i="23"/>
  <c r="J33" i="23"/>
  <c r="N32" i="23"/>
  <c r="L32" i="23"/>
  <c r="J32" i="23"/>
  <c r="N31" i="23"/>
  <c r="L31" i="23"/>
  <c r="J31" i="23"/>
  <c r="C19" i="22"/>
  <c r="D19" i="22"/>
  <c r="E19" i="22"/>
  <c r="F19" i="22"/>
  <c r="G19" i="22"/>
  <c r="H19" i="22"/>
  <c r="I19" i="22"/>
  <c r="B19" i="22"/>
  <c r="C16" i="22"/>
  <c r="D16" i="22"/>
  <c r="E16" i="22"/>
  <c r="F16" i="22"/>
  <c r="G16" i="22"/>
  <c r="H16" i="22"/>
  <c r="I16" i="22"/>
  <c r="B16" i="22"/>
  <c r="C13" i="22"/>
  <c r="D13" i="22"/>
  <c r="E13" i="22"/>
  <c r="F13" i="22"/>
  <c r="G13" i="22"/>
  <c r="H13" i="22"/>
  <c r="I13" i="22"/>
  <c r="B13" i="22"/>
  <c r="C8" i="24"/>
  <c r="B8" i="24" s="1"/>
  <c r="C13" i="24"/>
  <c r="B13" i="24" s="1"/>
  <c r="C14" i="24"/>
  <c r="B14" i="24" s="1"/>
  <c r="C6" i="24"/>
  <c r="C10" i="24"/>
  <c r="U45" i="10"/>
  <c r="V45" i="10"/>
  <c r="V67" i="10"/>
  <c r="U72" i="10"/>
  <c r="V72" i="10"/>
  <c r="S61" i="10"/>
  <c r="S66" i="10"/>
  <c r="D8" i="10"/>
  <c r="S92" i="10"/>
  <c r="R92" i="10"/>
  <c r="V63" i="10"/>
  <c r="U66" i="10"/>
  <c r="V66" i="10"/>
  <c r="T61" i="10"/>
  <c r="U61" i="10"/>
  <c r="V61" i="10"/>
  <c r="V91" i="10"/>
  <c r="T92" i="10"/>
  <c r="U92" i="10"/>
  <c r="V92" i="10"/>
  <c r="D9" i="10"/>
  <c r="R61" i="10"/>
  <c r="T91" i="10"/>
  <c r="T71" i="10"/>
  <c r="R69" i="10"/>
  <c r="R71" i="10"/>
  <c r="S69" i="10"/>
  <c r="V46" i="10"/>
  <c r="U41" i="10"/>
  <c r="S71" i="10"/>
  <c r="E10" i="10"/>
  <c r="R63" i="10"/>
  <c r="U71" i="10"/>
  <c r="R75" i="10"/>
  <c r="R62" i="10"/>
  <c r="O50" i="23"/>
  <c r="O53" i="23" s="1"/>
  <c r="M50" i="23"/>
  <c r="C8" i="10"/>
  <c r="R66" i="10"/>
  <c r="U91" i="10"/>
  <c r="R45" i="10"/>
  <c r="C10" i="10"/>
  <c r="T69" i="10"/>
  <c r="D10" i="10"/>
  <c r="V71" i="10"/>
  <c r="U69" i="10"/>
  <c r="U63" i="10"/>
  <c r="R68" i="10"/>
  <c r="V69" i="10"/>
  <c r="AA166" i="10"/>
  <c r="AA167" i="10" s="1"/>
  <c r="O115" i="23"/>
  <c r="X160" i="10"/>
  <c r="X161" i="10" s="1"/>
  <c r="M115" i="23"/>
  <c r="S67" i="10"/>
  <c r="AD148" i="10"/>
  <c r="P65" i="24"/>
  <c r="AA148" i="10"/>
  <c r="T65" i="10"/>
  <c r="O125" i="23"/>
  <c r="S72" i="10"/>
  <c r="M110" i="23"/>
  <c r="M113" i="23" s="1"/>
  <c r="O135" i="23"/>
  <c r="AD166" i="10"/>
  <c r="AD167" i="10" s="1"/>
  <c r="M125" i="23"/>
  <c r="M128" i="23" s="1"/>
  <c r="O110" i="23"/>
  <c r="AD151" i="10"/>
  <c r="AD152" i="10" s="1"/>
  <c r="P93" i="24"/>
  <c r="H72" i="26"/>
  <c r="M140" i="23"/>
  <c r="M143" i="23" s="1"/>
  <c r="P52" i="24"/>
  <c r="P44" i="24"/>
  <c r="P85" i="24"/>
  <c r="P36" i="24"/>
  <c r="P96" i="24"/>
  <c r="S74" i="10"/>
  <c r="M105" i="23"/>
  <c r="S63" i="10"/>
  <c r="AA151" i="10"/>
  <c r="AA152" i="10" s="1"/>
  <c r="P88" i="24"/>
  <c r="P39" i="24"/>
  <c r="P77" i="24"/>
  <c r="P40" i="24"/>
  <c r="P63" i="24"/>
  <c r="P58" i="24"/>
  <c r="D5" i="24"/>
  <c r="D4" i="24" s="1"/>
  <c r="B10" i="24"/>
  <c r="P38" i="24"/>
  <c r="P50" i="24"/>
  <c r="P70" i="24"/>
  <c r="P51" i="24"/>
  <c r="P42" i="24"/>
  <c r="P95" i="24"/>
  <c r="P55" i="24"/>
  <c r="P56" i="24"/>
  <c r="P74" i="24"/>
  <c r="P35" i="24"/>
  <c r="P60" i="24"/>
  <c r="P79" i="24"/>
  <c r="K92" i="23" l="1"/>
  <c r="I93" i="23"/>
  <c r="I92" i="23" s="1"/>
  <c r="I90" i="23"/>
  <c r="I89" i="23" s="1"/>
  <c r="I85" i="23"/>
  <c r="I84" i="23" s="1"/>
  <c r="K84" i="23"/>
  <c r="M84" i="23"/>
  <c r="O84" i="23"/>
  <c r="I88" i="23"/>
  <c r="I87" i="23" s="1"/>
  <c r="K87" i="23"/>
  <c r="I204" i="23"/>
  <c r="I70" i="23"/>
  <c r="I172" i="23"/>
  <c r="I157" i="23"/>
  <c r="I105" i="23"/>
  <c r="M31" i="23"/>
  <c r="I100" i="23"/>
  <c r="I223" i="23"/>
  <c r="I110" i="23"/>
  <c r="I189" i="23"/>
  <c r="I125" i="23"/>
  <c r="I130" i="23"/>
  <c r="I218" i="23"/>
  <c r="O32" i="23"/>
  <c r="O33" i="23"/>
  <c r="I115" i="23"/>
  <c r="I213" i="23"/>
  <c r="I55" i="23"/>
  <c r="I60" i="23"/>
  <c r="I228" i="23"/>
  <c r="I65" i="23"/>
  <c r="I135" i="23"/>
  <c r="I233" i="23"/>
  <c r="I245" i="23"/>
  <c r="I199" i="23"/>
  <c r="I75" i="23"/>
  <c r="I162" i="23"/>
  <c r="K31" i="23"/>
  <c r="I80" i="23"/>
  <c r="O31" i="23"/>
  <c r="I120" i="23"/>
  <c r="I95" i="23"/>
  <c r="I184" i="23"/>
  <c r="M32" i="23"/>
  <c r="M33" i="23"/>
  <c r="K32" i="23"/>
  <c r="K33" i="23"/>
  <c r="O256" i="23"/>
  <c r="I257" i="23"/>
  <c r="M256" i="23"/>
  <c r="AE163" i="10"/>
  <c r="AB162" i="10"/>
  <c r="I262" i="23"/>
  <c r="I258" i="23"/>
  <c r="O261" i="23"/>
  <c r="I261" i="23" s="1"/>
  <c r="M260" i="23"/>
  <c r="K256" i="23"/>
  <c r="AB193" i="10"/>
  <c r="AB192" i="10"/>
  <c r="AE192" i="10"/>
  <c r="AE182" i="10"/>
  <c r="AB163" i="10"/>
  <c r="AE162" i="10"/>
  <c r="Q40" i="10"/>
  <c r="Q143" i="10"/>
  <c r="E25" i="23"/>
  <c r="D8" i="22" s="1"/>
  <c r="Q101" i="10"/>
  <c r="M104" i="23"/>
  <c r="M196" i="23"/>
  <c r="F25" i="23"/>
  <c r="E8" i="22" s="1"/>
  <c r="Q39" i="10"/>
  <c r="M237" i="23"/>
  <c r="K171" i="23"/>
  <c r="I194" i="23"/>
  <c r="I250" i="23"/>
  <c r="M114" i="23"/>
  <c r="I151" i="23"/>
  <c r="Q42" i="10"/>
  <c r="Q90" i="10"/>
  <c r="O176" i="23"/>
  <c r="O166" i="23"/>
  <c r="M94" i="23"/>
  <c r="K64" i="23"/>
  <c r="O74" i="23"/>
  <c r="M64" i="23"/>
  <c r="M203" i="23"/>
  <c r="M34" i="23"/>
  <c r="Q136" i="10"/>
  <c r="Q126" i="10"/>
  <c r="M166" i="23"/>
  <c r="M59" i="23"/>
  <c r="Q74" i="10"/>
  <c r="M97" i="23"/>
  <c r="Q38" i="10"/>
  <c r="I181" i="23"/>
  <c r="M108" i="23"/>
  <c r="M107" i="23" s="1"/>
  <c r="I150" i="23"/>
  <c r="Q63" i="10"/>
  <c r="T148" i="10"/>
  <c r="Q89" i="10"/>
  <c r="O139" i="23"/>
  <c r="Q64" i="10"/>
  <c r="Q134" i="10"/>
  <c r="Q124" i="10"/>
  <c r="Q110" i="10"/>
  <c r="Q82" i="10"/>
  <c r="Q80" i="10"/>
  <c r="Q59" i="10"/>
  <c r="K117" i="23"/>
  <c r="K144" i="23"/>
  <c r="K74" i="23"/>
  <c r="O153" i="23"/>
  <c r="K188" i="23"/>
  <c r="Q76" i="10"/>
  <c r="K232" i="23"/>
  <c r="O107" i="23"/>
  <c r="O142" i="23"/>
  <c r="I251" i="23"/>
  <c r="M79" i="23"/>
  <c r="K156" i="23"/>
  <c r="M193" i="23"/>
  <c r="M112" i="23"/>
  <c r="M129" i="23"/>
  <c r="M156" i="23"/>
  <c r="S148" i="10"/>
  <c r="I236" i="23"/>
  <c r="O232" i="23"/>
  <c r="M249" i="23"/>
  <c r="O217" i="23"/>
  <c r="K79" i="23"/>
  <c r="Q70" i="10"/>
  <c r="Q46" i="10"/>
  <c r="D25" i="23"/>
  <c r="C8" i="22" s="1"/>
  <c r="Q50" i="10"/>
  <c r="B9" i="10"/>
  <c r="E13" i="10"/>
  <c r="M122" i="23"/>
  <c r="M176" i="23"/>
  <c r="K175" i="23"/>
  <c r="M137" i="23"/>
  <c r="Q92" i="10"/>
  <c r="Q66" i="10"/>
  <c r="D24" i="23"/>
  <c r="C7" i="22" s="1"/>
  <c r="M119" i="23"/>
  <c r="I143" i="23"/>
  <c r="Q41" i="10"/>
  <c r="Q36" i="10"/>
  <c r="M44" i="23"/>
  <c r="Q68" i="10"/>
  <c r="AE149" i="10"/>
  <c r="M69" i="23"/>
  <c r="K147" i="23"/>
  <c r="Q112" i="10"/>
  <c r="Q84" i="10"/>
  <c r="E24" i="23"/>
  <c r="D7" i="22" s="1"/>
  <c r="F22" i="23"/>
  <c r="E5" i="22" s="1"/>
  <c r="K54" i="23"/>
  <c r="K97" i="23"/>
  <c r="Q128" i="10"/>
  <c r="Q122" i="10"/>
  <c r="F24" i="23"/>
  <c r="E7" i="22" s="1"/>
  <c r="Q104" i="10"/>
  <c r="K235" i="23"/>
  <c r="M171" i="23"/>
  <c r="I123" i="23"/>
  <c r="Q137" i="10"/>
  <c r="Q135" i="10"/>
  <c r="Q133" i="10"/>
  <c r="Q125" i="10"/>
  <c r="Q123" i="10"/>
  <c r="Q121" i="10"/>
  <c r="Q119" i="10"/>
  <c r="Q108" i="10"/>
  <c r="Q51" i="10"/>
  <c r="Q93" i="10"/>
  <c r="Q44" i="10"/>
  <c r="Q142" i="10"/>
  <c r="Q57" i="10"/>
  <c r="O220" i="23"/>
  <c r="Q131" i="10"/>
  <c r="Q73" i="10"/>
  <c r="Q48" i="10"/>
  <c r="K129" i="23"/>
  <c r="O197" i="23"/>
  <c r="O196" i="23" s="1"/>
  <c r="O119" i="23"/>
  <c r="M118" i="23"/>
  <c r="M117" i="23" s="1"/>
  <c r="I145" i="23"/>
  <c r="O129" i="23"/>
  <c r="M247" i="23"/>
  <c r="Q55" i="10"/>
  <c r="O235" i="23"/>
  <c r="D13" i="10"/>
  <c r="K215" i="23"/>
  <c r="Q78" i="10"/>
  <c r="Q53" i="10"/>
  <c r="M77" i="23"/>
  <c r="K67" i="23"/>
  <c r="O174" i="23"/>
  <c r="E14" i="23" a="1"/>
  <c r="E14" i="23" s="1"/>
  <c r="M48" i="23"/>
  <c r="I48" i="23" s="1"/>
  <c r="M161" i="23"/>
  <c r="O34" i="23"/>
  <c r="K230" i="23"/>
  <c r="M132" i="23"/>
  <c r="X148" i="10"/>
  <c r="R148" i="10" s="1"/>
  <c r="Q147" i="10"/>
  <c r="Q145" i="10"/>
  <c r="Q141" i="10"/>
  <c r="Q113" i="10"/>
  <c r="Q111" i="10"/>
  <c r="Q109" i="10"/>
  <c r="Q105" i="10"/>
  <c r="Q87" i="10"/>
  <c r="Q85" i="10"/>
  <c r="Q81" i="10"/>
  <c r="Q77" i="10"/>
  <c r="Q56" i="10"/>
  <c r="Q54" i="10"/>
  <c r="M165" i="23"/>
  <c r="M164" i="23" s="1"/>
  <c r="O156" i="23"/>
  <c r="O186" i="23"/>
  <c r="O49" i="23"/>
  <c r="K217" i="23"/>
  <c r="O149" i="23"/>
  <c r="M232" i="23"/>
  <c r="M212" i="23"/>
  <c r="O212" i="23"/>
  <c r="I206" i="23"/>
  <c r="K124" i="23"/>
  <c r="Q139" i="10"/>
  <c r="Q127" i="10"/>
  <c r="Q107" i="10"/>
  <c r="Q79" i="10"/>
  <c r="F23" i="23"/>
  <c r="E6" i="22" s="1"/>
  <c r="M244" i="23"/>
  <c r="D23" i="23"/>
  <c r="C6" i="22" s="1"/>
  <c r="K191" i="23"/>
  <c r="O99" i="23"/>
  <c r="K59" i="23"/>
  <c r="Q103" i="10"/>
  <c r="C11" i="10"/>
  <c r="B11" i="10" s="1"/>
  <c r="M83" i="23"/>
  <c r="M82" i="23" s="1"/>
  <c r="M216" i="23"/>
  <c r="I216" i="23" s="1"/>
  <c r="K57" i="23"/>
  <c r="M174" i="23"/>
  <c r="Q35" i="10"/>
  <c r="Q60" i="10"/>
  <c r="M188" i="23"/>
  <c r="Q43" i="10"/>
  <c r="Q47" i="10"/>
  <c r="Q83" i="10"/>
  <c r="O159" i="23"/>
  <c r="E15" i="23" a="1"/>
  <c r="E15" i="23" s="1"/>
  <c r="O64" i="23"/>
  <c r="O203" i="23"/>
  <c r="M144" i="23"/>
  <c r="K186" i="23"/>
  <c r="I210" i="23"/>
  <c r="I177" i="23"/>
  <c r="O148" i="23"/>
  <c r="I148" i="23" s="1"/>
  <c r="O188" i="23"/>
  <c r="I255" i="23"/>
  <c r="O124" i="23"/>
  <c r="Q69" i="10"/>
  <c r="Q146" i="10"/>
  <c r="Q144" i="10"/>
  <c r="Q140" i="10"/>
  <c r="Q120" i="10"/>
  <c r="Q106" i="10"/>
  <c r="Q86" i="10"/>
  <c r="I78" i="23"/>
  <c r="O144" i="23"/>
  <c r="M198" i="23"/>
  <c r="Q129" i="10"/>
  <c r="Q100" i="10"/>
  <c r="Q95" i="10"/>
  <c r="I103" i="23"/>
  <c r="M74" i="23"/>
  <c r="O249" i="23"/>
  <c r="Q71" i="10"/>
  <c r="Q61" i="10"/>
  <c r="I98" i="23"/>
  <c r="O97" i="23"/>
  <c r="K109" i="23"/>
  <c r="M134" i="23"/>
  <c r="K249" i="23"/>
  <c r="O69" i="23"/>
  <c r="O73" i="23"/>
  <c r="O72" i="23" s="1"/>
  <c r="AD149" i="10"/>
  <c r="M235" i="23"/>
  <c r="M39" i="23"/>
  <c r="I238" i="23"/>
  <c r="M242" i="23"/>
  <c r="K226" i="23"/>
  <c r="K225" i="23" s="1"/>
  <c r="K222" i="23"/>
  <c r="M221" i="23"/>
  <c r="I221" i="23" s="1"/>
  <c r="M217" i="23"/>
  <c r="K160" i="23"/>
  <c r="I160" i="23" s="1"/>
  <c r="I68" i="23"/>
  <c r="Q72" i="10"/>
  <c r="AA149" i="10"/>
  <c r="AF149" i="10"/>
  <c r="I140" i="23"/>
  <c r="K182" i="23"/>
  <c r="I182" i="23" s="1"/>
  <c r="K176" i="23"/>
  <c r="I167" i="23"/>
  <c r="M170" i="23"/>
  <c r="Z167" i="10"/>
  <c r="D14" i="23" a="1"/>
  <c r="D14" i="23" s="1"/>
  <c r="Z149" i="10"/>
  <c r="M231" i="23"/>
  <c r="M230" i="23" s="1"/>
  <c r="M227" i="23"/>
  <c r="O134" i="23"/>
  <c r="O138" i="23"/>
  <c r="O137" i="23" s="1"/>
  <c r="Q45" i="10"/>
  <c r="C7" i="10"/>
  <c r="K49" i="23"/>
  <c r="K53" i="23"/>
  <c r="K52" i="23" s="1"/>
  <c r="K209" i="23"/>
  <c r="I209" i="23" s="1"/>
  <c r="K203" i="23"/>
  <c r="K253" i="23"/>
  <c r="I192" i="23"/>
  <c r="K198" i="23"/>
  <c r="O128" i="23"/>
  <c r="O127" i="23" s="1"/>
  <c r="I50" i="23"/>
  <c r="Q97" i="10"/>
  <c r="K62" i="23"/>
  <c r="M99" i="23"/>
  <c r="M102" i="23"/>
  <c r="E16" i="23" a="1"/>
  <c r="E16" i="23" s="1"/>
  <c r="I40" i="23"/>
  <c r="M58" i="23"/>
  <c r="M57" i="23" s="1"/>
  <c r="M54" i="23"/>
  <c r="B10" i="10"/>
  <c r="O118" i="23"/>
  <c r="O117" i="23" s="1"/>
  <c r="O122" i="23"/>
  <c r="M42" i="23"/>
  <c r="O226" i="23"/>
  <c r="O225" i="23" s="1"/>
  <c r="O222" i="23"/>
  <c r="I254" i="23"/>
  <c r="Q98" i="10"/>
  <c r="O244" i="23"/>
  <c r="M139" i="23"/>
  <c r="O171" i="23"/>
  <c r="I205" i="23"/>
  <c r="Q75" i="10"/>
  <c r="O211" i="23"/>
  <c r="K183" i="23"/>
  <c r="M253" i="23"/>
  <c r="K193" i="23"/>
  <c r="K99" i="23"/>
  <c r="M153" i="23"/>
  <c r="M149" i="23"/>
  <c r="E23" i="23"/>
  <c r="D6" i="22" s="1"/>
  <c r="O54" i="23"/>
  <c r="M73" i="23"/>
  <c r="M72" i="23" s="1"/>
  <c r="M180" i="23"/>
  <c r="Q58" i="10"/>
  <c r="M62" i="23"/>
  <c r="K73" i="23"/>
  <c r="K69" i="23"/>
  <c r="M191" i="23"/>
  <c r="O169" i="23"/>
  <c r="B8" i="10"/>
  <c r="K38" i="23"/>
  <c r="K37" i="23" s="1"/>
  <c r="K34" i="23"/>
  <c r="Q94" i="10"/>
  <c r="K244" i="23"/>
  <c r="K237" i="23"/>
  <c r="O227" i="23"/>
  <c r="O102" i="23"/>
  <c r="O161" i="23"/>
  <c r="M159" i="23"/>
  <c r="K142" i="23"/>
  <c r="K139" i="23"/>
  <c r="Q138" i="10"/>
  <c r="O164" i="23"/>
  <c r="X152" i="10"/>
  <c r="D22" i="23" s="1"/>
  <c r="C5" i="22" s="1"/>
  <c r="D15" i="23" a="1"/>
  <c r="D15" i="23" s="1"/>
  <c r="F14" i="23" a="1"/>
  <c r="F14" i="23" s="1"/>
  <c r="Q65" i="10"/>
  <c r="K241" i="23"/>
  <c r="O52" i="23"/>
  <c r="Q130" i="10"/>
  <c r="K161" i="23"/>
  <c r="O94" i="23"/>
  <c r="K212" i="23"/>
  <c r="O248" i="23"/>
  <c r="O247" i="23" s="1"/>
  <c r="O113" i="23"/>
  <c r="O112" i="23" s="1"/>
  <c r="O109" i="23"/>
  <c r="O47" i="23"/>
  <c r="O193" i="23"/>
  <c r="M147" i="23"/>
  <c r="R91" i="10"/>
  <c r="C14" i="10" s="1"/>
  <c r="AC152" i="10"/>
  <c r="E22" i="23" s="1"/>
  <c r="AC149" i="10"/>
  <c r="Q132" i="10"/>
  <c r="Q115" i="10"/>
  <c r="Q99" i="10"/>
  <c r="Y149" i="10"/>
  <c r="M67" i="23"/>
  <c r="O201" i="23"/>
  <c r="O215" i="23"/>
  <c r="O183" i="23"/>
  <c r="K119" i="23"/>
  <c r="K128" i="23"/>
  <c r="K127" i="23" s="1"/>
  <c r="Q49" i="10"/>
  <c r="Q67" i="10"/>
  <c r="M225" i="23"/>
  <c r="E7" i="10"/>
  <c r="E5" i="10" s="1"/>
  <c r="Q102" i="10"/>
  <c r="Q96" i="10"/>
  <c r="M222" i="23"/>
  <c r="O104" i="23"/>
  <c r="M109" i="23"/>
  <c r="K112" i="23"/>
  <c r="I155" i="23"/>
  <c r="O39" i="23"/>
  <c r="M183" i="23"/>
  <c r="D14" i="10"/>
  <c r="O44" i="23"/>
  <c r="M142" i="23"/>
  <c r="O253" i="23"/>
  <c r="O63" i="23"/>
  <c r="O59" i="23"/>
  <c r="K134" i="23"/>
  <c r="M124" i="23"/>
  <c r="M49" i="23"/>
  <c r="O38" i="23"/>
  <c r="O37" i="23" s="1"/>
  <c r="O83" i="23"/>
  <c r="O180" i="23"/>
  <c r="C12" i="24"/>
  <c r="B12" i="24" s="1"/>
  <c r="O79" i="23"/>
  <c r="K77" i="23"/>
  <c r="I35" i="23"/>
  <c r="K43" i="23"/>
  <c r="K44" i="23"/>
  <c r="K47" i="23"/>
  <c r="O77" i="23"/>
  <c r="E14" i="10"/>
  <c r="I45" i="23"/>
  <c r="I187" i="23"/>
  <c r="D16" i="23" a="1"/>
  <c r="D16" i="23" s="1"/>
  <c r="Q62" i="10"/>
  <c r="C5" i="24"/>
  <c r="O243" i="23"/>
  <c r="O241" i="23" s="1"/>
  <c r="O237" i="23"/>
  <c r="I239" i="23"/>
  <c r="K39" i="23"/>
  <c r="K247" i="23"/>
  <c r="B6" i="10"/>
  <c r="D7" i="10"/>
  <c r="D5" i="10" s="1"/>
  <c r="Q116" i="10"/>
  <c r="M208" i="23"/>
  <c r="K154" i="23"/>
  <c r="K149" i="23"/>
  <c r="K102" i="23"/>
  <c r="K220" i="23"/>
  <c r="F16" i="23" a="1"/>
  <c r="F16" i="23" s="1"/>
  <c r="K94" i="23"/>
  <c r="X149" i="10"/>
  <c r="K114" i="23"/>
  <c r="K82" i="23"/>
  <c r="P62" i="24"/>
  <c r="P72" i="24"/>
  <c r="AB191" i="10"/>
  <c r="O231" i="23"/>
  <c r="O230" i="23" s="1"/>
  <c r="K197" i="23"/>
  <c r="K108" i="23"/>
  <c r="K104" i="23"/>
  <c r="Q52" i="10"/>
  <c r="AB149" i="10"/>
  <c r="M53" i="23"/>
  <c r="P75" i="24"/>
  <c r="K133" i="23"/>
  <c r="F15" i="23" a="1"/>
  <c r="F15" i="23" s="1"/>
  <c r="K227" i="23"/>
  <c r="B6" i="24"/>
  <c r="C13" i="10"/>
  <c r="O198" i="23"/>
  <c r="P92" i="24"/>
  <c r="P78" i="24"/>
  <c r="O114" i="23"/>
  <c r="I202" i="23"/>
  <c r="P86" i="24"/>
  <c r="I178" i="23"/>
  <c r="Q88" i="10"/>
  <c r="Q114" i="10"/>
  <c r="I31" i="23" l="1"/>
  <c r="M30" i="23"/>
  <c r="I32" i="23"/>
  <c r="I33" i="23"/>
  <c r="K208" i="23"/>
  <c r="O30" i="23"/>
  <c r="I256" i="23"/>
  <c r="O260" i="23"/>
  <c r="AG162" i="10"/>
  <c r="I197" i="23"/>
  <c r="I196" i="23" s="1"/>
  <c r="K30" i="23"/>
  <c r="K260" i="23"/>
  <c r="I260" i="23"/>
  <c r="C25" i="23"/>
  <c r="I193" i="23"/>
  <c r="AU35" i="10"/>
  <c r="K174" i="23"/>
  <c r="AU37" i="10"/>
  <c r="I161" i="23"/>
  <c r="I171" i="23"/>
  <c r="B8" i="22"/>
  <c r="I149" i="23"/>
  <c r="I122" i="23"/>
  <c r="Q91" i="10"/>
  <c r="O147" i="23"/>
  <c r="I124" i="23"/>
  <c r="I118" i="23"/>
  <c r="I117" i="23" s="1"/>
  <c r="M201" i="23"/>
  <c r="K159" i="23"/>
  <c r="I94" i="23"/>
  <c r="Q148" i="10"/>
  <c r="M215" i="23"/>
  <c r="I175" i="23"/>
  <c r="I119" i="23"/>
  <c r="I249" i="23"/>
  <c r="I222" i="23"/>
  <c r="M169" i="23"/>
  <c r="F21" i="23"/>
  <c r="M47" i="23"/>
  <c r="I235" i="23"/>
  <c r="I74" i="23"/>
  <c r="I165" i="23"/>
  <c r="I164" i="23" s="1"/>
  <c r="D12" i="10"/>
  <c r="D4" i="10" s="1"/>
  <c r="I212" i="23"/>
  <c r="K4" i="10"/>
  <c r="I180" i="23"/>
  <c r="B6" i="22"/>
  <c r="E13" i="23"/>
  <c r="C5" i="10"/>
  <c r="B5" i="10" s="1"/>
  <c r="O132" i="23"/>
  <c r="M186" i="23"/>
  <c r="I248" i="23"/>
  <c r="I247" i="23" s="1"/>
  <c r="I114" i="23"/>
  <c r="I142" i="23"/>
  <c r="I99" i="23"/>
  <c r="I156" i="23"/>
  <c r="C15" i="23"/>
  <c r="I147" i="23"/>
  <c r="I79" i="23"/>
  <c r="E9" i="22"/>
  <c r="I58" i="23"/>
  <c r="I144" i="23"/>
  <c r="I47" i="23"/>
  <c r="D21" i="23"/>
  <c r="I176" i="23"/>
  <c r="I109" i="23"/>
  <c r="I77" i="23"/>
  <c r="I232" i="23"/>
  <c r="I215" i="23"/>
  <c r="I4" i="10"/>
  <c r="I198" i="23"/>
  <c r="I97" i="23"/>
  <c r="E12" i="10"/>
  <c r="E4" i="10" s="1"/>
  <c r="M37" i="23"/>
  <c r="C14" i="23"/>
  <c r="I64" i="23"/>
  <c r="I134" i="23"/>
  <c r="M127" i="23"/>
  <c r="I59" i="23"/>
  <c r="B7" i="22"/>
  <c r="C24" i="23"/>
  <c r="I188" i="23"/>
  <c r="I69" i="23"/>
  <c r="C23" i="23"/>
  <c r="I104" i="23"/>
  <c r="I102" i="23"/>
  <c r="H4" i="10"/>
  <c r="G4" i="10" s="1"/>
  <c r="I54" i="23"/>
  <c r="I138" i="23"/>
  <c r="I137" i="23" s="1"/>
  <c r="K122" i="23"/>
  <c r="I159" i="23"/>
  <c r="I49" i="23"/>
  <c r="I237" i="23"/>
  <c r="I227" i="23"/>
  <c r="I129" i="23"/>
  <c r="M220" i="23"/>
  <c r="K164" i="23"/>
  <c r="I139" i="23"/>
  <c r="I217" i="23"/>
  <c r="D5" i="22"/>
  <c r="D9" i="22" s="1"/>
  <c r="E21" i="23"/>
  <c r="C22" i="23"/>
  <c r="I203" i="23"/>
  <c r="I183" i="23"/>
  <c r="I220" i="23"/>
  <c r="O57" i="23"/>
  <c r="I226" i="23"/>
  <c r="I225" i="23" s="1"/>
  <c r="I113" i="23"/>
  <c r="I67" i="23"/>
  <c r="O67" i="23"/>
  <c r="I242" i="23"/>
  <c r="M241" i="23"/>
  <c r="F13" i="23"/>
  <c r="K137" i="23"/>
  <c r="O208" i="23"/>
  <c r="I211" i="23"/>
  <c r="I208" i="23" s="1"/>
  <c r="I128" i="23"/>
  <c r="I127" i="23" s="1"/>
  <c r="I39" i="23"/>
  <c r="I44" i="23"/>
  <c r="I244" i="23"/>
  <c r="K169" i="23"/>
  <c r="I38" i="23"/>
  <c r="I37" i="23" s="1"/>
  <c r="I253" i="23"/>
  <c r="K180" i="23"/>
  <c r="I186" i="23"/>
  <c r="I170" i="23"/>
  <c r="I169" i="23" s="1"/>
  <c r="K166" i="23"/>
  <c r="I73" i="23"/>
  <c r="B5" i="24"/>
  <c r="C4" i="24"/>
  <c r="B4" i="24" s="1"/>
  <c r="O42" i="23"/>
  <c r="I154" i="23"/>
  <c r="K153" i="23"/>
  <c r="K132" i="23"/>
  <c r="I133" i="23"/>
  <c r="I132" i="23" s="1"/>
  <c r="I191" i="23"/>
  <c r="O191" i="23"/>
  <c r="I231" i="23"/>
  <c r="I230" i="23" s="1"/>
  <c r="K107" i="23"/>
  <c r="I108" i="23"/>
  <c r="I107" i="23" s="1"/>
  <c r="K72" i="23"/>
  <c r="C16" i="23"/>
  <c r="I34" i="23"/>
  <c r="K196" i="23"/>
  <c r="I243" i="23"/>
  <c r="I83" i="23"/>
  <c r="I82" i="23" s="1"/>
  <c r="O82" i="23"/>
  <c r="I201" i="23"/>
  <c r="K201" i="23"/>
  <c r="I43" i="23"/>
  <c r="K42" i="23"/>
  <c r="B7" i="10"/>
  <c r="B13" i="10"/>
  <c r="C12" i="10"/>
  <c r="I53" i="23"/>
  <c r="I52" i="23" s="1"/>
  <c r="M52" i="23"/>
  <c r="O62" i="23"/>
  <c r="I63" i="23"/>
  <c r="C9" i="22"/>
  <c r="D13" i="23"/>
  <c r="B14" i="10"/>
  <c r="I30" i="23" l="1"/>
  <c r="I153" i="23"/>
  <c r="I241" i="23"/>
  <c r="I174" i="23"/>
  <c r="B12" i="10"/>
  <c r="C21" i="23"/>
  <c r="I57" i="23"/>
  <c r="I112" i="23"/>
  <c r="I166" i="23"/>
  <c r="I62" i="23"/>
  <c r="I42" i="23"/>
  <c r="I72" i="23"/>
  <c r="C13" i="23"/>
  <c r="B5" i="22"/>
  <c r="B9" i="22" s="1"/>
  <c r="C4" i="10"/>
  <c r="B4"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tc={DCDBA50E-B20C-493C-A88B-2014B8FC1E25}</author>
    <author>tc={B932773A-B923-48C5-A1E9-F33A949A44D5}</author>
    <author>tc={09C780F6-41F3-45DA-9D5C-E79A8CD9D816}</author>
    <author>tc={B22E1F75-ECB1-4766-BC8F-96810AAA9FB9}</author>
    <author>tc={EC14AD25-149F-4FD2-AD5C-7EE2D7119F19}</author>
    <author>tc={6D54D5C7-7999-44C5-80BB-DA9F0D0539AF}</author>
    <author>tc={ACD9930E-1A8B-4F64-B9EB-889CE2EDBF96}</author>
    <author>tc={B2B21D8C-1B09-40AE-9782-2E888130218F}</author>
    <author>tc={B94690DD-4F1C-41CA-A94E-9C4700FFCCA1}</author>
    <author>tc={3508A4BE-83F0-4493-8EE2-DFAB4CDD7DF2}</author>
    <author>tc={4A4B399C-CC76-47CA-938E-329CA1CDFD47}</author>
    <author>tc={BD18CE6B-52ED-42D3-981B-DF18E92240D1}</author>
    <author>tc={F48BB19E-6010-42D6-9193-A88BA0DA3BA5}</author>
    <author>tc={309BCF5E-F47B-46F9-BC8F-B9F53292DF15}</author>
    <author>tc={CF934CF2-FCF3-42E6-A6CD-9C1E17E1DF2B}</author>
    <author>tc={B7058486-0D37-4FA5-AF33-5FB5E2E11CE6}</author>
    <author>tc={A825A881-DD5E-4F69-AC0D-5EB14C2B3020}</author>
    <author>tc={CD58BF1D-B8F3-4C11-B84E-CA06268770D2}</author>
    <author>tc={DA737BC8-D515-4B01-9DED-3DA99F43F470}</author>
    <author>tc={102F7A29-B2EF-4FE1-B9E8-4511F006DB47}</author>
    <author>tc={740436F8-85B1-4C3A-BD57-F31CE1FFECA0}</author>
    <author>tc={9B23A04D-26FC-4323-A96A-2C8A65CAE172}</author>
    <author>tc={C164D107-E61E-453B-A16F-49695AF889D6}</author>
    <author>tc={084FB66B-5D01-419C-97F2-E54FAF5DBCA5}</author>
    <author>tc={BF7F7345-0FC4-48BD-9974-3E416B401E12}</author>
    <author>tc={A7BD5565-4CA4-4E18-8249-01BE56655340}</author>
    <author>tc={E1323BC5-32A9-4F62-9E21-38F5EAA6AF01}</author>
    <author>tc={2C6060E4-9803-46B2-8F3A-CE2A5840E353}</author>
    <author>tc={1E2C15FA-BEA4-49C1-828F-C8BB167FD662}</author>
    <author>tc={14B54222-3D23-442B-B110-50FBB832827A}</author>
    <author>tc={9787B2B0-C1F8-497A-AA7A-ABFC85DC2288}</author>
    <author>tc={D4B7F4FA-AFF5-4D2F-9884-E5ACA9DCDFB1}</author>
    <author>tc={A538C1BB-B5D5-4240-A7FD-CFC1D53E82F3}</author>
    <author>tc={BC40FAE1-432C-4B52-81A1-9FB5A7D885D4}</author>
    <author>tc={A2B23AEF-2F4C-4D80-ACFD-2E21D2FD59A0}</author>
    <author>tc={4898FED2-A7BD-4487-9DAB-6D77B4BD0C18}</author>
    <author>tc={409A2128-8D6A-448F-8199-B96F666B1945}</author>
    <author>tc={216EAA4F-EDEB-4F7E-9232-9A668B5E240C}</author>
    <author>tc={F0E9169B-FA91-428C-93C3-F9C3D0B7EE5C}</author>
    <author>tc={0FDDC672-7425-417F-945F-DD5597922549}</author>
    <author>tc={397A0AEC-F0E1-43BF-B4EA-DA34920CC4C7}</author>
    <author>tc={08BC5F48-0714-4C97-ABDF-987623081B19}</author>
    <author>tc={1A37DE53-5441-4D22-8C05-0588FD231D45}</author>
    <author>tc={AFE8A836-6FB5-45B0-B7C7-C61E7E7D304D}</author>
    <author>tc={F5B4EA36-728F-4FFA-8402-85D8C2CC9305}</author>
    <author>tc={A36FCF2C-B756-4565-BEFB-BD30C19944AB}</author>
    <author>tc={EF2C6973-3FE3-4AB4-B0BB-9CB408259A76}</author>
    <author>tc={1A7C47CC-F226-4F81-8C90-A60ACCA74EBE}</author>
    <author>tc={610D5B04-A929-4DB3-9E8E-4993C395082E}</author>
    <author>tc={99382ED9-9837-4E8F-A7B8-C2AE348564DC}</author>
    <author>tc={2DD2AFA7-614E-4CC7-8B68-54F01C83877B}</author>
    <author>tc={AE696148-8362-4D1A-9909-644EB77B4F77}</author>
    <author>tc={E7BB3D53-1C7D-408D-B514-0695F4AEED3C}</author>
    <author>tc={03882254-2502-4B8C-A6F2-8E29B6F6AF28}</author>
    <author>tc={BF78C2A6-CD08-4986-B099-7DF4B623155F}</author>
    <author>tc={63C232B9-9937-4081-A55D-F13BE4E9AE4E}</author>
    <author>tc={969183E7-E0BC-4D04-8743-0505D9B02A49}</author>
    <author>tc={11A38489-746C-48B2-B341-6AA13C1B1B0B}</author>
    <author>tc={6634B5A0-078F-47AC-BA94-8AA40DEE270C}</author>
    <author>tc={FA0AE815-B0F5-4821-9E4C-A33CF2C57317}</author>
    <author>Liisi Tali</author>
    <author>Anneli Jürgens</author>
    <author>tc={975D554D-4D84-4B16-9939-E23EAC9BA93B}</author>
    <author>tc={532239FC-C2ED-4A10-9930-F61E2D1F1479}</author>
  </authors>
  <commentList>
    <comment ref="F19" authorId="0" shapeId="0" xr:uid="{DCDBA50E-B20C-493C-A88B-2014B8FC1E25}">
      <text>
        <t>[Lõimkommentaar]
Teie Exceli versioon võimaldab teil seda lõimkommentaari lugeda, ent kõik sellesse tehtud muudatused eemaldatakse, kui fail avatakse Exceli uuemas versioonis. Lisateavet leiate siit: https://go.microsoft.com/fwlink/?linkid=870924.
Kommentaar:
    Valideerida MKMiga, kas meie kasutajate arvu metoodika on sobiv</t>
      </text>
    </comment>
    <comment ref="C28" authorId="1" shapeId="0" xr:uid="{B932773A-B923-48C5-A1E9-F33A949A44D5}">
      <text>
        <t>[Lõimkommentaar]
Teie Exceli versioon võimaldab teil seda lõimkommentaari lugeda, ent kõik sellesse tehtud muudatused eemaldatakse, kui fail avatakse Exceli uuemas versioonis. Lisateavet leiate siit: https://go.microsoft.com/fwlink/?linkid=870924.
Kommentaar:
    Eesmärk koostöös MKMiga 2024.a. jooksul töötada välja metoodika</t>
      </text>
    </comment>
    <comment ref="S38" authorId="2" shapeId="0" xr:uid="{09C780F6-41F3-45DA-9D5C-E79A8CD9D816}">
      <text>
        <t>[Lõimkommentaar]
Teie Exceli versioon võimaldab teil seda lõimkommentaari lugeda, ent kõik sellesse tehtud muudatused eemaldatakse, kui fail avatakse Exceli uuemas versioonis. Lisateavet leiate siit: https://go.microsoft.com/fwlink/?linkid=870924.
Kommentaar:
    Kinnitatud 280 000, kuid sellest hinnanguliselt 186 667 € kandub 2025. aastasse</t>
      </text>
    </comment>
    <comment ref="T38" authorId="3" shapeId="0" xr:uid="{B22E1F75-ECB1-4766-BC8F-96810AAA9FB9}">
      <text>
        <t>[Lõimkommentaar]
Teie Exceli versioon võimaldab teil seda lõimkommentaari lugeda, ent kõik sellesse tehtud muudatused eemaldatakse, kui fail avatakse Exceli uuemas versioonis. Lisateavet leiate siit: https://go.microsoft.com/fwlink/?linkid=870924.
Kommentaar:
    Ülekantud eelarve</t>
      </text>
    </comment>
    <comment ref="T39" authorId="4" shapeId="0" xr:uid="{EC14AD25-149F-4FD2-AD5C-7EE2D7119F19}">
      <text>
        <t>[Lõimkommentaar]
Teie Exceli versioon võimaldab teil seda lõimkommentaari lugeda, ent kõik sellesse tehtud muudatused eemaldatakse, kui fail avatakse Exceli uuemas versioonis. Lisateavet leiate siit: https://go.microsoft.com/fwlink/?linkid=870924.
Kommentaar:
    Uus RR kaasajastamise projekt, mis algab 2025</t>
      </text>
    </comment>
    <comment ref="R40" authorId="5" shapeId="0" xr:uid="{6D54D5C7-7999-44C5-80BB-DA9F0D0539AF}">
      <text>
        <t>[Lõimkommentaar]
Teie Exceli versioon võimaldab teil seda lõimkommentaari lugeda, ent kõik sellesse tehtud muudatused eemaldatakse, kui fail avatakse Exceli uuemas versioonis. Lisateavet leiate siit: https://go.microsoft.com/fwlink/?linkid=870924.
Kommentaar:
    RR omatuludest ja leping täitmisel</t>
      </text>
    </comment>
    <comment ref="T41" authorId="6" shapeId="0" xr:uid="{ACD9930E-1A8B-4F64-B9EB-889CE2EDBF96}">
      <text>
        <t>[Lõimkommentaar]
Teie Exceli versioon võimaldab teil seda lõimkommentaari lugeda, ent kõik sellesse tehtud muudatused eemaldatakse, kui fail avatakse Exceli uuemas versioonis. Lisateavet leiate siit: https://go.microsoft.com/fwlink/?linkid=870924.
Kommentaar:
    Uus RR kaasajastamise projekt, mis algab 2025</t>
      </text>
    </comment>
    <comment ref="S42" authorId="7" shapeId="0" xr:uid="{B2B21D8C-1B09-40AE-9782-2E888130218F}">
      <text>
        <t>[Lõimkommentaar]
Teie Exceli versioon võimaldab teil seda lõimkommentaari lugeda, ent kõik sellesse tehtud muudatused eemaldatakse, kui fail avatakse Exceli uuemas versioonis. Lisateavet leiate siit: https://go.microsoft.com/fwlink/?linkid=870924.
Kommentaar:
    Kinnitatud 282 000, kuid sellest hinnanguliselt 188 000 € kandub 2025. aastasse</t>
      </text>
    </comment>
    <comment ref="T42" authorId="8" shapeId="0" xr:uid="{B94690DD-4F1C-41CA-A94E-9C4700FFCCA1}">
      <text>
        <t>[Lõimkommentaar]
Teie Exceli versioon võimaldab teil seda lõimkommentaari lugeda, ent kõik sellesse tehtud muudatused eemaldatakse, kui fail avatakse Exceli uuemas versioonis. Lisateavet leiate siit: https://go.microsoft.com/fwlink/?linkid=870924.
Kommentaar:
    Sellest ülekantud 188 000 € ja 2025 SFist juurde 188 000 €</t>
      </text>
    </comment>
    <comment ref="S43" authorId="9" shapeId="0" xr:uid="{3508A4BE-83F0-4493-8EE2-DFAB4CDD7DF2}">
      <text>
        <t>[Lõimkommentaar]
Teie Exceli versioon võimaldab teil seda lõimkommentaari lugeda, ent kõik sellesse tehtud muudatused eemaldatakse, kui fail avatakse Exceli uuemas versioonis. Lisateavet leiate siit: https://go.microsoft.com/fwlink/?linkid=870924.
Kommentaar:
    Kinnitatud 669 000, kuid sellest hinnanguliselt 420 000 € kandub 2025. aastasse</t>
      </text>
    </comment>
    <comment ref="T43" authorId="10" shapeId="0" xr:uid="{4A4B399C-CC76-47CA-938E-329CA1CDFD47}">
      <text>
        <t>[Lõimkommentaar]
Teie Exceli versioon võimaldab teil seda lõimkommentaari lugeda, ent kõik sellesse tehtud muudatused eemaldatakse, kui fail avatakse Exceli uuemas versioonis. Lisateavet leiate siit: https://go.microsoft.com/fwlink/?linkid=870924.
Kommentaar:
    Ülekantud eelarve, SF 2025 juurde ei vaja</t>
      </text>
    </comment>
    <comment ref="K44" authorId="11" shapeId="0" xr:uid="{BD18CE6B-52ED-42D3-981B-DF18E92240D1}">
      <text>
        <t>[Lõimkommentaar]
Teie Exceli versioon võimaldab teil seda lõimkommentaari lugeda, ent kõik sellesse tehtud muudatused eemaldatakse, kui fail avatakse Exceli uuemas versioonis. Lisateavet leiate siit: https://go.microsoft.com/fwlink/?linkid=870924.
Kommentaar:
    Tehakse koos projektiga: SF Menetluste uuendamise I etapp, sh andmevahetuse kaasajastamine [MENETLUSTE KAASAJASTAMINE] - palun seda rida enam hoida.</t>
      </text>
    </comment>
    <comment ref="T44" authorId="12" shapeId="0" xr:uid="{F48BB19E-6010-42D6-9193-A88BA0DA3BA5}">
      <text>
        <t>[Lõimkommentaar]
Teie Exceli versioon võimaldab teil seda lõimkommentaari lugeda, ent kõik sellesse tehtud muudatused eemaldatakse, kui fail avatakse Exceli uuemas versioonis. Lisateavet leiate siit: https://go.microsoft.com/fwlink/?linkid=870924.
Kommentaar:
    Tehakse koos projektiga: SF Menetluste uuendamise I etapp, sh andmevahetuse kaasajastamine [MENETLUSTE KAASAJASTAMINE] - palun seda rida enam hoida. Enne oli 156 000 €, muutsin 0.</t>
      </text>
    </comment>
    <comment ref="S45" authorId="13" shapeId="0" xr:uid="{309BCF5E-F47B-46F9-BC8F-B9F53292DF15}">
      <text>
        <t>[Lõimkommentaar]
Teie Exceli versioon võimaldab teil seda lõimkommentaari lugeda, ent kõik sellesse tehtud muudatused eemaldatakse, kui fail avatakse Exceli uuemas versioonis. Lisateavet leiate siit: https://go.microsoft.com/fwlink/?linkid=870924.
Kommentaar:
    2024 hinnanguline täitmine 76250 € (arvestatud 5 kuud arendustööd)
MK eraldas 183 000 €, sellest hinnanguliselt 106 750€ kandub 2025. aastasse</t>
      </text>
    </comment>
    <comment ref="S46" authorId="14" shapeId="0" xr:uid="{CF934CF2-FCF3-42E6-A6CD-9C1E17E1DF2B}">
      <text>
        <t xml:space="preserve">[Lõimkommentaar]
Teie Exceli versioon võimaldab teil seda lõimkommentaari lugeda, ent kõik sellesse tehtud muudatused eemaldatakse, kui fail avatakse Exceli uuemas versioonis. Lisateavet leiate siit: https://go.microsoft.com/fwlink/?linkid=870924.
Kommentaar:
    Kinnitatud 282 000 €, kuid sellest hinnanguliselt 94 000 € kandub 2025. aastasse
</t>
      </text>
    </comment>
    <comment ref="T46" authorId="15" shapeId="0" xr:uid="{B7058486-0D37-4FA5-AF33-5FB5E2E11CE6}">
      <text>
        <t>[Lõimkommentaar]
Teie Exceli versioon võimaldab teil seda lõimkommentaari lugeda, ent kõik sellesse tehtud muudatused eemaldatakse, kui fail avatakse Exceli uuemas versioonis. Lisateavet leiate siit: https://go.microsoft.com/fwlink/?linkid=870924.
Kommentaar:
    Sellest ülekantud 94 000 € ja 2025 SFist juurde 282 000 €</t>
      </text>
    </comment>
    <comment ref="AA61" authorId="16" shapeId="0" xr:uid="{A825A881-DD5E-4F69-AC0D-5EB14C2B3020}">
      <text>
        <t>[Lõimkommentaar]
Teie Exceli versioon võimaldab teil seda lõimkommentaari lugeda, ent kõik sellesse tehtud muudatused eemaldatakse, kui fail avatakse Exceli uuemas versioonis. Lisateavet leiate siit: https://go.microsoft.com/fwlink/?linkid=870924.
Kommentaar:
    Kinnitatud 445592, edasi lükatud 15592</t>
      </text>
    </comment>
    <comment ref="S63" authorId="17" shapeId="0" xr:uid="{CD58BF1D-B8F3-4C11-B84E-CA06268770D2}">
      <text>
        <t>[Lõimkommentaar]
Teie Exceli versioon võimaldab teil seda lõimkommentaari lugeda, ent kõik sellesse tehtud muudatused eemaldatakse, kui fail avatakse Exceli uuemas versioonis. Lisateavet leiate siit: https://go.microsoft.com/fwlink/?linkid=870924.
Kommentaar:
    Kinnitatud 99.. Osaliselt üle kantud 2025. aastasse</t>
      </text>
    </comment>
    <comment ref="AA63" authorId="18" shapeId="0" xr:uid="{DA737BC8-D515-4B01-9DED-3DA99F43F470}">
      <text>
        <t>[Lõimkommentaar]
Teie Exceli versioon võimaldab teil seda lõimkommentaari lugeda, ent kõik sellesse tehtud muudatused eemaldatakse, kui fail avatakse Exceli uuemas versioonis. Lisateavet leiate siit: https://go.microsoft.com/fwlink/?linkid=870924.
Kommentaar:
    Esialgu oli siin 99726€, sellest 33242€ kanname üle 2025. a-sse</t>
      </text>
    </comment>
    <comment ref="AD63" authorId="19" shapeId="0" xr:uid="{102F7A29-B2EF-4FE1-B9E8-4511F006DB47}">
      <text>
        <t>[Lõimkommentaar]
Teie Exceli versioon võimaldab teil seda lõimkommentaari lugeda, ent kõik sellesse tehtud muudatused eemaldatakse, kui fail avatakse Exceli uuemas versioonis. Lisateavet leiate siit: https://go.microsoft.com/fwlink/?linkid=870924.
Kommentaar:
    Esialgu oli siin 0€, kuid 2024. a-st kandsime 2025. a-sse üle 33242€</t>
      </text>
    </comment>
    <comment ref="J64" authorId="20" shapeId="0" xr:uid="{740436F8-85B1-4C3A-BD57-F31CE1FFECA0}">
      <text>
        <t xml:space="preserve">[Lõimkommentaar]
Teie Exceli versioon võimaldab teil seda lõimkommentaari lugeda, ent kõik sellesse tehtud muudatused eemaldatakse, kui fail avatakse Exceli uuemas versioonis. Lisateavet leiate siit: https://go.microsoft.com/fwlink/?linkid=870924.
Kommentaar:
    Eelnevalt olid toodud etapid kahe eraldi reana, tõstsime kokku. Summad liitsime, summa kokku ei ole suurenenud. </t>
      </text>
    </comment>
    <comment ref="AD64" authorId="21" shapeId="0" xr:uid="{9B23A04D-26FC-4323-A96A-2C8A65CAE172}">
      <text>
        <t>[Lõimkommentaar]
Teie Exceli versioon võimaldab teil seda lõimkommentaari lugeda, ent kõik sellesse tehtud muudatused eemaldatakse, kui fail avatakse Exceli uuemas versioonis. Lisateavet leiate siit: https://go.microsoft.com/fwlink/?linkid=870924.
Kommentaar:
    Esialgu oli siin 0€, kuid kandsime 2026. a-st siia 525000€, projekti arendus algab 2025. a</t>
      </text>
    </comment>
    <comment ref="AG64" authorId="22" shapeId="0" xr:uid="{C164D107-E61E-453B-A16F-49695AF889D6}">
      <text>
        <t>[Lõimkommentaar]
Teie Exceli versioon võimaldab teil seda lõimkommentaari lugeda, ent kõik sellesse tehtud muudatused eemaldatakse, kui fail avatakse Exceli uuemas versioonis. Lisateavet leiate siit: https://go.microsoft.com/fwlink/?linkid=870924.
Kommentaar:
    Esilagu oli siin 781362€, kuid kandsime sellest 525000€ 2025. a-sse, projekti arendus algab 2025. a 
Vastus:
    Lisatud on ka eelnevalt eraldi real olnud summa III etapi osas</t>
      </text>
    </comment>
    <comment ref="S65" authorId="23" shapeId="0" xr:uid="{084FB66B-5D01-419C-97F2-E54FAF5DBCA5}">
      <text>
        <t>[Lõimkommentaar]
Teie Exceli versioon võimaldab teil seda lõimkommentaari lugeda, ent kõik sellesse tehtud muudatused eemaldatakse, kui fail avatakse Exceli uuemas versioonis. Lisateavet leiate siit: https://go.microsoft.com/fwlink/?linkid=870924.
Kommentaar:
    Osaliselt üle tõstetud 2025. aastasse</t>
      </text>
    </comment>
    <comment ref="AA65" authorId="24" shapeId="0" xr:uid="{BF7F7345-0FC4-48BD-9974-3E416B401E12}">
      <text>
        <t>[Lõimkommentaar]
Teie Exceli versioon võimaldab teil seda lõimkommentaari lugeda, ent kõik sellesse tehtud muudatused eemaldatakse, kui fail avatakse Exceli uuemas versioonis. Lisateavet leiate siit: https://go.microsoft.com/fwlink/?linkid=870924.
Kommentaar:
    Esialgu oli siin 96960€, kuid jätasime sellest 1/3 alles, ülejäänud 2/3 lisasime 2025. a-sse</t>
      </text>
    </comment>
    <comment ref="AD65" authorId="25" shapeId="0" xr:uid="{A7BD5565-4CA4-4E18-8249-01BE56655340}">
      <text>
        <t>[Lõimkommentaar]
Teie Exceli versioon võimaldab teil seda lõimkommentaari lugeda, ent kõik sellesse tehtud muudatused eemaldatakse, kui fail avatakse Exceli uuemas versioonis. Lisateavet leiate siit: https://go.microsoft.com/fwlink/?linkid=870924.
Kommentaar:
    Esialgu oli siin 0€, kuid kanname 2024. a-st 2025. a-sse üle 64640€</t>
      </text>
    </comment>
    <comment ref="AD66" authorId="26" shapeId="0" xr:uid="{E1323BC5-32A9-4F62-9E21-38F5EAA6AF01}">
      <text>
        <t>[Lõimkommentaar]
Teie Exceli versioon võimaldab teil seda lõimkommentaari lugeda, ent kõik sellesse tehtud muudatused eemaldatakse, kui fail avatakse Exceli uuemas versioonis. Lisateavet leiate siit: https://go.microsoft.com/fwlink/?linkid=870924.
Kommentaar:
    Esialgu oli siin 390000€, kuid kandsime sellest 90000€ üle 2026. a-sse</t>
      </text>
    </comment>
    <comment ref="AG66" authorId="27" shapeId="0" xr:uid="{2C6060E4-9803-46B2-8F3A-CE2A5840E353}">
      <text>
        <t>[Lõimkommentaar]
Teie Exceli versioon võimaldab teil seda lõimkommentaari lugeda, ent kõik sellesse tehtud muudatused eemaldatakse, kui fail avatakse Exceli uuemas versioonis. Lisateavet leiate siit: https://go.microsoft.com/fwlink/?linkid=870924.
Kommentaar:
    Esialgu oli siin 361936€, kuid kandsime 2025. a-st 90000€ üle 2026. a-sse</t>
      </text>
    </comment>
    <comment ref="AM66" authorId="28" shapeId="0" xr:uid="{1E2C15FA-BEA4-49C1-828F-C8BB167FD662}">
      <text>
        <t xml:space="preserve">[Lõimkommentaar]
Teie Exceli versioon võimaldab teil seda lõimkommentaari lugeda, ent kõik sellesse tehtud muudatused eemaldatakse, kui fail avatakse Exceli uuemas versioonis. Lisateavet leiate siit: https://go.microsoft.com/fwlink/?linkid=870924.
Kommentaar:
    Lisandunud vajadus. </t>
      </text>
    </comment>
    <comment ref="S67" authorId="29" shapeId="0" xr:uid="{14B54222-3D23-442B-B110-50FBB832827A}">
      <text>
        <t>[Lõimkommentaar]
Teie Exceli versioon võimaldab teil seda lõimkommentaari lugeda, ent kõik sellesse tehtud muudatused eemaldatakse, kui fail avatakse Exceli uuemas versioonis. Lisateavet leiate siit: https://go.microsoft.com/fwlink/?linkid=870924.
Kommentaar:
    Kinnitatud 100 000, osalistelt üle kantud 2025. aastasse</t>
      </text>
    </comment>
    <comment ref="AA67" authorId="30" shapeId="0" xr:uid="{9787B2B0-C1F8-497A-AA7A-ABFC85DC2288}">
      <text>
        <t>[Lõimkommentaar]
Teie Exceli versioon võimaldab teil seda lõimkommentaari lugeda, ent kõik sellesse tehtud muudatused eemaldatakse, kui fail avatakse Exceli uuemas versioonis. Lisateavet leiate siit: https://go.microsoft.com/fwlink/?linkid=870924.
Kommentaar:
    Esialgu oli siin 100000€, kuid kandsime sellest 33333€ 2025. a-sse üle</t>
      </text>
    </comment>
    <comment ref="AD67" authorId="31" shapeId="0" xr:uid="{D4B7F4FA-AFF5-4D2F-9884-E5ACA9DCDFB1}">
      <text>
        <t>[Lõimkommentaar]
Teie Exceli versioon võimaldab teil seda lõimkommentaari lugeda, ent kõik sellesse tehtud muudatused eemaldatakse, kui fail avatakse Exceli uuemas versioonis. Lisateavet leiate siit: https://go.microsoft.com/fwlink/?linkid=870924.
Kommentaar:
    Esialgu oli siin 0€, kuid kandsime 2024. a-st 33333€ 2025. a-sse üle</t>
      </text>
    </comment>
    <comment ref="AD68" authorId="32" shapeId="0" xr:uid="{A538C1BB-B5D5-4240-A7FD-CFC1D53E82F3}">
      <text>
        <t>[Lõimkommentaar]
Teie Exceli versioon võimaldab teil seda lõimkommentaari lugeda, ent kõik sellesse tehtud muudatused eemaldatakse, kui fail avatakse Exceli uuemas versioonis. Lisateavet leiate siit: https://go.microsoft.com/fwlink/?linkid=870924.
Kommentaar:
    Esialgu oli siin 206741€, kuid sellest 100000€ kandsime üle 2026. a-sse</t>
      </text>
    </comment>
    <comment ref="AG68" authorId="33" shapeId="0" xr:uid="{BC40FAE1-432C-4B52-81A1-9FB5A7D885D4}">
      <text>
        <t>[Lõimkommentaar]
Teie Exceli versioon võimaldab teil seda lõimkommentaari lugeda, ent kõik sellesse tehtud muudatused eemaldatakse, kui fail avatakse Exceli uuemas versioonis. Lisateavet leiate siit: https://go.microsoft.com/fwlink/?linkid=870924.
Kommentaar:
    Esialgu oli siin 206741€, kuid kandsime 2025. a-st 100000@ üle 2026. a-sse</t>
      </text>
    </comment>
    <comment ref="AA69" authorId="34" shapeId="0" xr:uid="{A2B23AEF-2F4C-4D80-ACFD-2E21D2FD59A0}">
      <text>
        <t>[Lõimkommentaar]
Teie Exceli versioon võimaldab teil seda lõimkommentaari lugeda, ent kõik sellesse tehtud muudatused eemaldatakse, kui fail avatakse Exceli uuemas versioonis. Lisateavet leiate siit: https://go.microsoft.com/fwlink/?linkid=870924.
Kommentaar:
    Kinnitatud summa 327800, osaliselt üle kantud 2025. aastasse</t>
      </text>
    </comment>
    <comment ref="K70" authorId="35" shapeId="0" xr:uid="{4898FED2-A7BD-4487-9DAB-6D77B4BD0C18}">
      <text>
        <t>[Lõimkommentaar]
Teie Exceli versioon võimaldab teil seda lõimkommentaari lugeda, ent kõik sellesse tehtud muudatused eemaldatakse, kui fail avatakse Exceli uuemas versioonis. Lisateavet leiate siit: https://go.microsoft.com/fwlink/?linkid=870924.
Kommentaar:
    Lisatud 2026 aastasse III etapi vajadus</t>
      </text>
    </comment>
    <comment ref="S70" authorId="36" shapeId="0" xr:uid="{409A2128-8D6A-448F-8199-B96F666B1945}">
      <text>
        <t>[Lõimkommentaar]
Teie Exceli versioon võimaldab teil seda lõimkommentaari lugeda, ent kõik sellesse tehtud muudatused eemaldatakse, kui fail avatakse Exceli uuemas versioonis. Lisateavet leiate siit: https://go.microsoft.com/fwlink/?linkid=870924.
Kommentaar:
    Kinnitatud summa 583 296, osaliselt üle kantud 2025. aastasse</t>
      </text>
    </comment>
    <comment ref="AA70" authorId="37" shapeId="0" xr:uid="{216EAA4F-EDEB-4F7E-9232-9A668B5E240C}">
      <text>
        <t>[Lõimkommentaar]
Teie Exceli versioon võimaldab teil seda lõimkommentaari lugeda, ent kõik sellesse tehtud muudatused eemaldatakse, kui fail avatakse Exceli uuemas versioonis. Lisateavet leiate siit: https://go.microsoft.com/fwlink/?linkid=870924.
Kommentaar:
    Esialgu oli siin 583296€, kuid kanname sellest 246336€ üle 2025. a-sse</t>
      </text>
    </comment>
    <comment ref="AD70" authorId="38" shapeId="0" xr:uid="{F0E9169B-FA91-428C-93C3-F9C3D0B7EE5C}">
      <text>
        <t>[Lõimkommentaar]
Teie Exceli versioon võimaldab teil seda lõimkommentaari lugeda, ent kõik sellesse tehtud muudatused eemaldatakse, kui fail avatakse Exceli uuemas versioonis. Lisateavet leiate siit: https://go.microsoft.com/fwlink/?linkid=870924.
Kommentaar:
    Esialgu oli siin 249984€, kuid kandsime 2024. a-st 246336€ 2025. a-sse üle</t>
      </text>
    </comment>
    <comment ref="AG70" authorId="39" shapeId="0" xr:uid="{0FDDC672-7425-417F-945F-DD5597922549}">
      <text>
        <t>[Lõimkommentaar]
Teie Exceli versioon võimaldab teil seda lõimkommentaari lugeda, ent kõik sellesse tehtud muudatused eemaldatakse, kui fail avatakse Exceli uuemas versioonis. Lisateavet leiate siit: https://go.microsoft.com/fwlink/?linkid=870924.
Kommentaar:
    Lisandunud vajadus 416 140 ja 2025. aastast üle kantud 46 336.</t>
      </text>
    </comment>
    <comment ref="S71" authorId="40" shapeId="0" xr:uid="{397A0AEC-F0E1-43BF-B4EA-DA34920CC4C7}">
      <text>
        <t>[Lõimkommentaar]
Teie Exceli versioon võimaldab teil seda lõimkommentaari lugeda, ent kõik sellesse tehtud muudatused eemaldatakse, kui fail avatakse Exceli uuemas versioonis. Lisateavet leiate siit: https://go.microsoft.com/fwlink/?linkid=870924.
Kommentaar:
    Kinnitatud 2024, kogu summa üle kantud 2025.aastasse</t>
      </text>
    </comment>
    <comment ref="AA71" authorId="41" shapeId="0" xr:uid="{08BC5F48-0714-4C97-ABDF-987623081B19}">
      <text>
        <t>[Lõimkommentaar]
Teie Exceli versioon võimaldab teil seda lõimkommentaari lugeda, ent kõik sellesse tehtud muudatused eemaldatakse, kui fail avatakse Exceli uuemas versioonis. Lisateavet leiate siit: https://go.microsoft.com/fwlink/?linkid=870924.
Kommentaar:
    Esialgu oli siin 285353€, kuid kandsime kogu summa üle 2025. a-sse. Tööd algavad alles detsembris 2024.</t>
      </text>
    </comment>
    <comment ref="AD71" authorId="42" shapeId="0" xr:uid="{1A37DE53-5441-4D22-8C05-0588FD231D45}">
      <text>
        <t>[Lõimkommentaar]
Teie Exceli versioon võimaldab teil seda lõimkommentaari lugeda, ent kõik sellesse tehtud muudatused eemaldatakse, kui fail avatakse Exceli uuemas versioonis. Lisateavet leiate siit: https://go.microsoft.com/fwlink/?linkid=870924.
Kommentaar:
    Esialgu oli siin 0€, kuid kandsime kogu summa 285353€ 2024. a-st 2025. a-sse üle</t>
      </text>
    </comment>
    <comment ref="AG71" authorId="43" shapeId="0" xr:uid="{AFE8A836-6FB5-45B0-B7C7-C61E7E7D304D}">
      <text>
        <t xml:space="preserve">[Lõimkommentaar]
Teie Exceli versioon võimaldab teil seda lõimkommentaari lugeda, ent kõik sellesse tehtud muudatused eemaldatakse, kui fail avatakse Exceli uuemas versioonis. Lisateavet leiate siit: https://go.microsoft.com/fwlink/?linkid=870924.
Kommentaar:
    Lisasime kõik etapid ühele reale. </t>
      </text>
    </comment>
    <comment ref="AJ71" authorId="44" shapeId="0" xr:uid="{F5B4EA36-728F-4FFA-8402-85D8C2CC9305}">
      <text>
        <t>[Lõimkommentaar]
Teie Exceli versioon võimaldab teil seda lõimkommentaari lugeda, ent kõik sellesse tehtud muudatused eemaldatakse, kui fail avatakse Exceli uuemas versioonis. Lisateavet leiate siit: https://go.microsoft.com/fwlink/?linkid=870924.
Kommentaar:
    Esialgu oli siin 0€, kuid kandsime siia 2026. a summa</t>
      </text>
    </comment>
    <comment ref="AM71" authorId="45" shapeId="0" xr:uid="{A36FCF2C-B756-4565-BEFB-BD30C19944AB}">
      <text>
        <t>[Lõimkommentaar]
Teie Exceli versioon võimaldab teil seda lõimkommentaari lugeda, ent kõik sellesse tehtud muudatused eemaldatakse, kui fail avatakse Exceli uuemas versioonis. Lisateavet leiate siit: https://go.microsoft.com/fwlink/?linkid=870924.
Kommentaar:
    Lisandunud vajadus</t>
      </text>
    </comment>
    <comment ref="AA72" authorId="46" shapeId="0" xr:uid="{EF2C6973-3FE3-4AB4-B0BB-9CB408259A76}">
      <text>
        <t>[Lõimkommentaar]
Teie Exceli versioon võimaldab teil seda lõimkommentaari lugeda, ent kõik sellesse tehtud muudatused eemaldatakse, kui fail avatakse Exceli uuemas versioonis. Lisateavet leiate siit: https://go.microsoft.com/fwlink/?linkid=870924.
Kommentaar:
    Esialgu oli siin 776032€, kuid kandsime sellest poole ehk 388016€ üle 2025. a-sse</t>
      </text>
    </comment>
    <comment ref="AD72" authorId="47" shapeId="0" xr:uid="{1A7C47CC-F226-4F81-8C90-A60ACCA74EBE}">
      <text>
        <t>[Lõimkommentaar]
Teie Exceli versioon võimaldab teil seda lõimkommentaari lugeda, ent kõik sellesse tehtud muudatused eemaldatakse, kui fail avatakse Exceli uuemas versioonis. Lisateavet leiate siit: https://go.microsoft.com/fwlink/?linkid=870924.
Kommentaar:
    Esialgu oli siin 401422€, kuid lisasime siia poole 2024. a üle kantud summast ehk 194008€</t>
      </text>
    </comment>
    <comment ref="AG72" authorId="48" shapeId="0" xr:uid="{610D5B04-A929-4DB3-9E8E-4993C395082E}">
      <text>
        <t>[Lõimkommentaar]
Teie Exceli versioon võimaldab teil seda lõimkommentaari lugeda, ent kõik sellesse tehtud muudatused eemaldatakse, kui fail avatakse Exceli uuemas versioonis. Lisateavet leiate siit: https://go.microsoft.com/fwlink/?linkid=870924.
Kommentaar:
    Esialgu oli siin 401422€, kuid lisasime siia poole 2024. a üle kantud summast ehk 194008€</t>
      </text>
    </comment>
    <comment ref="AM73" authorId="49" shapeId="0" xr:uid="{99382ED9-9837-4E8F-A7B8-C2AE348564DC}">
      <text>
        <t>[Lõimkommentaar]
Teie Exceli versioon võimaldab teil seda lõimkommentaari lugeda, ent kõik sellesse tehtud muudatused eemaldatakse, kui fail avatakse Exceli uuemas versioonis. Lisateavet leiate siit: https://go.microsoft.com/fwlink/?linkid=870924.
Kommentaar:
    Lisandunud vajadused</t>
      </text>
    </comment>
    <comment ref="S74" authorId="50" shapeId="0" xr:uid="{2DD2AFA7-614E-4CC7-8B68-54F01C83877B}">
      <text>
        <t>[Lõimkommentaar]
Teie Exceli versioon võimaldab teil seda lõimkommentaari lugeda, ent kõik sellesse tehtud muudatused eemaldatakse, kui fail avatakse Exceli uuemas versioonis. Lisateavet leiate siit: https://go.microsoft.com/fwlink/?linkid=870924.
Kommentaar:
    Osaliselt edasi lükatud, kuna personal ei ole veel värvatud</t>
      </text>
    </comment>
    <comment ref="AB74" authorId="51" shapeId="0" xr:uid="{AE696148-8362-4D1A-9909-644EB77B4F77}">
      <text>
        <t>[Lõimkommentaar]
Teie Exceli versioon võimaldab teil seda lõimkommentaari lugeda, ent kõik sellesse tehtud muudatused eemaldatakse, kui fail avatakse Exceli uuemas versioonis. Lisateavet leiate siit: https://go.microsoft.com/fwlink/?linkid=870924.
Kommentaar:
    Esialgu oli siin 51510€, kuid kandsime sellest poole ehk 25755€ üle 2027. a-sse. Kuna see on töötasu, siis 2025. a ja 2026. a summad jäävad samaks, töösuhe pikeneb poole aasta võrra (sest algus viibib pool aastat)</t>
      </text>
    </comment>
    <comment ref="AB75" authorId="52" shapeId="0" xr:uid="{E7BB3D53-1C7D-408D-B514-0695F4AEED3C}">
      <text>
        <t>[Lõimkommentaar]
Teie Exceli versioon võimaldab teil seda lõimkommentaari lugeda, ent kõik sellesse tehtud muudatused eemaldatakse, kui fail avatakse Exceli uuemas versioonis. Lisateavet leiate siit: https://go.microsoft.com/fwlink/?linkid=870924.
Kommentaar:
    2024 summast 23 584 lükkame2027 aastasse. 2025 vajadus on kaetud.</t>
      </text>
    </comment>
    <comment ref="AA89" authorId="53" shapeId="0" xr:uid="{03882254-2502-4B8C-A6F2-8E29B6F6AF28}">
      <text>
        <t>[Lõimkommentaar]
Teie Exceli versioon võimaldab teil seda lõimkommentaari lugeda, ent kõik sellesse tehtud muudatused eemaldatakse, kui fail avatakse Exceli uuemas versioonis. Lisateavet leiate siit: https://go.microsoft.com/fwlink/?linkid=870924.
Kommentaar:
    Tõstetud kogu summas 2025. aastasse</t>
      </text>
    </comment>
    <comment ref="AA90" authorId="54" shapeId="0" xr:uid="{BF78C2A6-CD08-4986-B099-7DF4B623155F}">
      <text>
        <t>[Lõimkommentaar]
Teie Exceli versioon võimaldab teil seda lõimkommentaari lugeda, ent kõik sellesse tehtud muudatused eemaldatakse, kui fail avatakse Exceli uuemas versioonis. Lisateavet leiate siit: https://go.microsoft.com/fwlink/?linkid=870924.
Kommentaar:
    Osa raha tõstetud 2025 aastasse. NB! 2024 jääki peab saama tõsta järgmisesse aastasse. Vastasel korral tuleb kogu summa tõsta 2025 aastasse.</t>
      </text>
    </comment>
    <comment ref="AB90" authorId="55" shapeId="0" xr:uid="{63C232B9-9937-4081-A55D-F13BE4E9AE4E}">
      <text>
        <t>[Lõimkommentaar]
Teie Exceli versioon võimaldab teil seda lõimkommentaari lugeda, ent kõik sellesse tehtud muudatused eemaldatakse, kui fail avatakse Exceli uuemas versioonis. Lisateavet leiate siit: https://go.microsoft.com/fwlink/?linkid=870924.
Kommentaar:
    Kinnitatud summa 493800 lükatud 2025. aastasse</t>
      </text>
    </comment>
    <comment ref="AB91" authorId="56" shapeId="0" xr:uid="{969183E7-E0BC-4D04-8743-0505D9B02A49}">
      <text>
        <t xml:space="preserve">[Lõimkommentaar]
Teie Exceli versioon võimaldab teil seda lõimkommentaari lugeda, ent kõik sellesse tehtud muudatused eemaldatakse, kui fail avatakse Exceli uuemas versioonis. Lisateavet leiate siit: https://go.microsoft.com/fwlink/?linkid=870924.
Kommentaar:
    Osa raha tõstetud 2025 aastasse. NB! 2024 jääki peab saama tõsta järgmisesse aastasse. Vastasel korral tuleb kogu summa tõsta 2025 aastasse.
</t>
      </text>
    </comment>
    <comment ref="AC91" authorId="57" shapeId="0" xr:uid="{11A38489-746C-48B2-B341-6AA13C1B1B0B}">
      <text>
        <t xml:space="preserve">[Lõimkommentaar]
Teie Exceli versioon võimaldab teil seda lõimkommentaari lugeda, ent kõik sellesse tehtud muudatused eemaldatakse, kui fail avatakse Exceli uuemas versioonis. Lisateavet leiate siit: https://go.microsoft.com/fwlink/?linkid=870924.
Kommentaar:
    Töökohag seotud majanduskulu ei ole abikõlbulik, mistõttu on see eemaldatud. </t>
      </text>
    </comment>
    <comment ref="AA94" authorId="58" shapeId="0" xr:uid="{6634B5A0-078F-47AC-BA94-8AA40DEE270C}">
      <text>
        <t xml:space="preserve">[Lõimkommentaar]
Teie Exceli versioon võimaldab teil seda lõimkommentaari lugeda, ent kõik sellesse tehtud muudatused eemaldatakse, kui fail avatakse Exceli uuemas versioonis. Lisateavet leiate siit: https://go.microsoft.com/fwlink/?linkid=870924.
Kommentaar:
    Osa raha tõstetud 2025 aastasse. NB! 2024 jääki peab saama tõsta järgmisesse aastasse. Vastasel korral tuleb kogu summa tõsta 2025 aastasse.
</t>
      </text>
    </comment>
    <comment ref="S100" authorId="59" shapeId="0" xr:uid="{FA0AE815-B0F5-4821-9E4C-A33CF2C57317}">
      <text>
        <t>[Lõimkommentaar]
Teie Exceli versioon võimaldab teil seda lõimkommentaari lugeda, ent kõik sellesse tehtud muudatused eemaldatakse, kui fail avatakse Exceli uuemas versioonis. Lisateavet leiate siit: https://go.microsoft.com/fwlink/?linkid=870924.
Kommentaar:
    2024 kinnitatud: 393 750, sellest 246 094 üle kantud 2025. aastasse. 2025.aastast on osa summast kantud edasi 2026. aastasse.</t>
      </text>
    </comment>
    <comment ref="S129" authorId="60" shapeId="0" xr:uid="{44015B87-7820-43C3-AE1B-F8DA812CEDB7}">
      <text>
        <r>
          <rPr>
            <sz val="11"/>
            <color theme="1"/>
            <rFont val="Calibri"/>
            <family val="2"/>
            <charset val="186"/>
            <scheme val="minor"/>
          </rPr>
          <t>Kinnitatud 320 000€, kuid sellest hinnanguliselt 240 000 € kandub 2025. a</t>
        </r>
      </text>
    </comment>
    <comment ref="T129" authorId="60" shapeId="0" xr:uid="{F34A02A6-9EC8-43C7-9E9C-A2052FA855D1}">
      <text>
        <r>
          <rPr>
            <sz val="11"/>
            <color theme="1"/>
            <rFont val="Calibri"/>
            <family val="2"/>
            <charset val="186"/>
            <scheme val="minor"/>
          </rPr>
          <t>Ülekantud eelarve</t>
        </r>
      </text>
    </comment>
    <comment ref="S130" authorId="61" shapeId="0" xr:uid="{24AD1173-0D52-406D-B553-2403E845F63B}">
      <text>
        <r>
          <rPr>
            <b/>
            <sz val="9"/>
            <color indexed="81"/>
            <rFont val="Tahoma"/>
            <family val="2"/>
            <charset val="186"/>
          </rPr>
          <t>Anneli Jürgens:</t>
        </r>
        <r>
          <rPr>
            <sz val="9"/>
            <color indexed="81"/>
            <rFont val="Tahoma"/>
            <family val="2"/>
            <charset val="186"/>
          </rPr>
          <t xml:space="preserve">
Kinnitatud summa 83 334 €, millest 50 000,4 € ülekantav summa</t>
        </r>
      </text>
    </comment>
    <comment ref="T130" authorId="61" shapeId="0" xr:uid="{38E4AE37-0767-41DC-B7E3-6B6FD21074EC}">
      <text>
        <r>
          <rPr>
            <b/>
            <sz val="9"/>
            <color indexed="81"/>
            <rFont val="Tahoma"/>
            <family val="2"/>
            <charset val="186"/>
          </rPr>
          <t>Anneli Jürgens:</t>
        </r>
        <r>
          <rPr>
            <sz val="9"/>
            <color indexed="81"/>
            <rFont val="Tahoma"/>
            <family val="2"/>
            <charset val="186"/>
          </rPr>
          <t xml:space="preserve">
Kinnitatud summa 83 334 €, millest 50 000,4 € ülekantav summa</t>
        </r>
      </text>
    </comment>
    <comment ref="S132" authorId="61" shapeId="0" xr:uid="{32ACBBFF-2192-4286-8D69-7622B74A9A00}">
      <text>
        <r>
          <rPr>
            <b/>
            <sz val="9"/>
            <color indexed="81"/>
            <rFont val="Tahoma"/>
            <family val="2"/>
            <charset val="186"/>
          </rPr>
          <t>Anneli Jürgens:</t>
        </r>
        <r>
          <rPr>
            <sz val="9"/>
            <color indexed="81"/>
            <rFont val="Tahoma"/>
            <family val="2"/>
            <charset val="186"/>
          </rPr>
          <t xml:space="preserve">
Kinnitatud summa 542 773 €, millest 325 663,8 € ülekantav summa</t>
        </r>
      </text>
    </comment>
    <comment ref="T132" authorId="61" shapeId="0" xr:uid="{E6167767-ED87-49A3-99F6-EABF7D1E9AB2}">
      <text>
        <r>
          <rPr>
            <b/>
            <sz val="9"/>
            <color indexed="81"/>
            <rFont val="Tahoma"/>
            <family val="2"/>
            <charset val="186"/>
          </rPr>
          <t>Anneli Jürgens:</t>
        </r>
        <r>
          <rPr>
            <sz val="9"/>
            <color indexed="81"/>
            <rFont val="Tahoma"/>
            <family val="2"/>
            <charset val="186"/>
          </rPr>
          <t xml:space="preserve">
Kinnitatud summa 542 773 €, millest 325 663,8 € ülekantav summa</t>
        </r>
      </text>
    </comment>
    <comment ref="S138" authorId="62" shapeId="0" xr:uid="{975D554D-4D84-4B16-9939-E23EAC9BA93B}">
      <text>
        <t>[Lõimkommentaar]
Teie Exceli versioon võimaldab teil seda lõimkommentaari lugeda, ent kõik sellesse tehtud muudatused eemaldatakse, kui fail avatakse Exceli uuemas versioonis. Lisateavet leiate siit: https://go.microsoft.com/fwlink/?linkid=870924.
Kommentaar:
    Kinnitatud 252 500, kuid sellest hinnanguliselt 168 333 € kandub 2025. a</t>
      </text>
    </comment>
    <comment ref="T138" authorId="63" shapeId="0" xr:uid="{532239FC-C2ED-4A10-9930-F61E2D1F1479}">
      <text>
        <t>[Lõimkommentaar]
Teie Exceli versioon võimaldab teil seda lõimkommentaari lugeda, ent kõik sellesse tehtud muudatused eemaldatakse, kui fail avatakse Exceli uuemas versioonis. Lisateavet leiate siit: https://go.microsoft.com/fwlink/?linkid=870924.
Kommentaar:
    Ülekantud eelarve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Margo Keerme</author>
    <author>tc={31E30C87-5E5A-441D-9609-D372582BFE59}</author>
  </authors>
  <commentList>
    <comment ref="B5" authorId="0" shapeId="0" xr:uid="{6E7E33FE-4C6E-4A50-BDE2-FC08529B893A}">
      <text>
        <r>
          <rPr>
            <b/>
            <sz val="9"/>
            <color indexed="81"/>
            <rFont val="Segoe UI"/>
            <family val="2"/>
            <charset val="186"/>
          </rPr>
          <t>Margo Keerme:</t>
        </r>
        <r>
          <rPr>
            <sz val="9"/>
            <color indexed="81"/>
            <rFont val="Segoe UI"/>
            <family val="2"/>
            <charset val="186"/>
          </rPr>
          <t xml:space="preserve">
Siin kajastada Digipöörde, kui terviku eesmärki.</t>
        </r>
      </text>
    </comment>
    <comment ref="B8" authorId="0" shapeId="0" xr:uid="{06F42116-DB42-496C-B1B9-7E8A6B63D09D}">
      <text>
        <r>
          <rPr>
            <b/>
            <sz val="9"/>
            <color indexed="81"/>
            <rFont val="Segoe UI"/>
            <family val="2"/>
            <charset val="186"/>
          </rPr>
          <t>Margo Keerme:</t>
        </r>
        <r>
          <rPr>
            <sz val="9"/>
            <color indexed="81"/>
            <rFont val="Segoe UI"/>
            <family val="2"/>
            <charset val="186"/>
          </rPr>
          <t xml:space="preserve">
Siin kajastada Digipöörde tegevuskava (18-24 kuud) eesmärki.</t>
        </r>
      </text>
    </comment>
    <comment ref="B249" authorId="1" shapeId="0" xr:uid="{31E30C87-5E5A-441D-9609-D372582BFE59}">
      <text>
        <t>[Lõimkommentaar]
Teie Exceli versioon võimaldab teil seda lõimkommentaari lugeda, ent kõik sellesse tehtud muudatused eemaldatakse, kui fail avatakse Exceli uuemas versioonis. Lisateavet leiate siit: https://go.microsoft.com/fwlink/?linkid=870924.
Kommentaar:
    Lisada õige rea number 141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tc={D3EC4D54-F980-40C9-87FC-D023A1861802}</author>
    <author>tc={6F9E7AEE-9A8E-441F-90D4-FE8FE0FB8B83}</author>
    <author>tc={696878B4-E576-49CD-83B5-D4BB647939B9}</author>
  </authors>
  <commentList>
    <comment ref="L4" authorId="0" shapeId="0" xr:uid="{D3EC4D54-F980-40C9-87FC-D023A1861802}">
      <text>
        <t>[Lõimkommentaar]
Teie Exceli versioon võimaldab teil seda lõimkommentaari lugeda, ent kõik sellesse tehtud muudatused eemaldatakse, kui fail avatakse Exceli uuemas versioonis. Lisateavet leiate siit: https://go.microsoft.com/fwlink/?linkid=870924.
Kommentaar:
    Kajastatud 2024. olemasolev palgakulu, mis on kaetud baasist ning ühekordselt erinevatest reservidest</t>
      </text>
    </comment>
    <comment ref="K10" authorId="1" shapeId="0" xr:uid="{6F9E7AEE-9A8E-441F-90D4-FE8FE0FB8B83}">
      <text>
        <t>[Lõimkommentaar]
Teie Exceli versioon võimaldab teil seda lõimkommentaari lugeda, ent kõik sellesse tehtud muudatused eemaldatakse, kui fail avatakse Exceli uuemas versioonis. Lisateavet leiate siit: https://go.microsoft.com/fwlink/?linkid=870924.
Kommentaar:
    NB! KILP olemasoleva meeskonna baasrahastus ei ole tagatud baasrahastusest, kaetud ühekordselt erinevatest reservides</t>
      </text>
    </comment>
    <comment ref="K13" authorId="2" shapeId="0" xr:uid="{696878B4-E576-49CD-83B5-D4BB647939B9}">
      <text>
        <t>[Lõimkommentaar]
Teie Exceli versioon võimaldab teil seda lõimkommentaari lugeda, ent kõik sellesse tehtud muudatused eemaldatakse, kui fail avatakse Exceli uuemas versioonis. Lisateavet leiate siit: https://go.microsoft.com/fwlink/?linkid=870924.
Kommentaar:
    Projektijuhi tasu jagatud vastavalt koormusele SFi ja teiste projektide vahel.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<sst xmlns="http://schemas.openxmlformats.org/spreadsheetml/2006/main" count="3954" uniqueCount="756">
  <si>
    <t>Valdkondlik digipööre</t>
  </si>
  <si>
    <t xml:space="preserve">Elluviija: </t>
  </si>
  <si>
    <t>Siseministeerium</t>
  </si>
  <si>
    <t>Valdkondliku digipöörde maksumus kokku (2023-2028) meetme nelja tegevuse lõikes, arvestdes kõiki rahasutsallikaid.</t>
  </si>
  <si>
    <t>Eelarve:</t>
  </si>
  <si>
    <t>Kokku
2023-2025</t>
  </si>
  <si>
    <t>Kokku:</t>
  </si>
  <si>
    <t>1. Infotehnoloogiliste lahenduste väljatöötamine ja arendamine</t>
  </si>
  <si>
    <t>2. küberruumi hoidmine, arendamine ja juurutamine usaldusväärse ja turvalisena</t>
  </si>
  <si>
    <t>3. Teadlikkuse tõstmine</t>
  </si>
  <si>
    <t>4. muu digipöördega seotud otsene kulu</t>
  </si>
  <si>
    <t>KOKKU:</t>
  </si>
  <si>
    <t>Digipöörde olemasolevad rahalised vahedid</t>
  </si>
  <si>
    <t>sh baaseelarve</t>
  </si>
  <si>
    <t>sh muu rahastus</t>
  </si>
  <si>
    <t>sh reserv (SR)</t>
  </si>
  <si>
    <t>sh RRF</t>
  </si>
  <si>
    <t>sh SF 14-20 (töös olev projekt)</t>
  </si>
  <si>
    <t>RRF</t>
  </si>
  <si>
    <t>Digipöörde puuduolevad rahalised vahendid</t>
  </si>
  <si>
    <t>sh RES IKT (vaja juurde taotleda)</t>
  </si>
  <si>
    <t>Puudu olev lisavajadus riigieelarvest, vajadus taotleda RES protsessis.</t>
  </si>
  <si>
    <t>sh SF 21-27 (taotletav raha)</t>
  </si>
  <si>
    <t>Puudu olev lisavajadus SF-st, SF 21-27 valdkondlike digipöörete toetusskeemist.</t>
  </si>
  <si>
    <t>NB! Mõõdikud tuleb täita ainult SF 2021-2027 rahastuse puhul.</t>
  </si>
  <si>
    <t>Meetmete nimekirja tulemusnäitaja:</t>
  </si>
  <si>
    <t>Uute ja uuendatud avalike digiteenuste, -toodete ja -protsesside kasutajad. Mõõtühik: lõppkasutajaid aastas.</t>
  </si>
  <si>
    <t>Elluviija kommentaar</t>
  </si>
  <si>
    <t>Käskkirjas välja toodud elluviijate peale kokku on mõõdiku 2029 sihttase 2 000 000. Välja tuua, milline on teie panus selle mõõdiku täitmisse.</t>
  </si>
  <si>
    <t>Periood</t>
  </si>
  <si>
    <t>2023 algtase</t>
  </si>
  <si>
    <t>2024 sihttase</t>
  </si>
  <si>
    <t>2025 sihttase</t>
  </si>
  <si>
    <t>2026 sihttase</t>
  </si>
  <si>
    <t>2027 sihttase</t>
  </si>
  <si>
    <t>2028 sihttase</t>
  </si>
  <si>
    <t>2029 sihttase</t>
  </si>
  <si>
    <t>2030 lõpptase</t>
  </si>
  <si>
    <t>Väärtus</t>
  </si>
  <si>
    <t>Sisestada tuleb täisarv.</t>
  </si>
  <si>
    <t>Meetmete nimekirja väljundnäitaja:</t>
  </si>
  <si>
    <t xml:space="preserve">Uued või uuendatud digiteenused, -tooted ja -protsessid. Mõõtühik: arv </t>
  </si>
  <si>
    <t>Käskkirjas välja toodud elluviijate peale kokku on mõõdiku 2029 sihttase 35. Välja tuua, milline on teie panus selle mõõdiku täitmisse.
Siia tuleb kokku lugeda lõpule viidud uued või uuendatud digiteenused, - tooted ja -protsessid.</t>
  </si>
  <si>
    <t>Kasutuskordade kokku lugemise metoodika määrab elluviija ise arvestades oma valdkonda. Sisestada tuleb täisarv.</t>
  </si>
  <si>
    <t>Avaliku sektori asutused, keda toetatakse digiteenuste, -toodete ja -protsesside väljatöötamiseks. Mõõtühik: Avaliku sektori asutused.</t>
  </si>
  <si>
    <t xml:space="preserve">Käskkirjas välja toodud elluviijate peale kokku on mõõdiku 2029 sihttase 35. Välja tuua, milline on teie panus selle mõõdiku täitmisse.
Siia tuleb kokku lugeda asutused, kes teie digipöörde raames SF toetust kasutavad (elluviija ja partnerid).
</t>
  </si>
  <si>
    <t>Tükkide kokku lugemise metoodika määrab elluviija ise arvestades oma valdkonda. Sisestada tuleb täisarv.</t>
  </si>
  <si>
    <t>Projektispetsiifiline näitaja (Eesti digiühiskonna arengukava 2030 (DA 2030) mõõdik):</t>
  </si>
  <si>
    <t xml:space="preserve">Avalike digiteenustega rahulolu. Mõõtühik: % </t>
  </si>
  <si>
    <t>Riigiüleselt avalike digiteenustega rahululu peab 2030. aastaks tõusma 90%-le. Välja tuua, milline on teie panus selle mõõdiku täitmisse.</t>
  </si>
  <si>
    <t>Rahulolu kokku lugemise metoodika määrab elluviija ise arvestades oma valdkonda</t>
  </si>
  <si>
    <t>NB! Kõik summad kajastada ilma käibemaksuta!</t>
  </si>
  <si>
    <t>Elluviija/ministeerium</t>
  </si>
  <si>
    <t>Struktuuriüksus</t>
  </si>
  <si>
    <t>Partner/Asutus</t>
  </si>
  <si>
    <t>Teenuse vastutaja</t>
  </si>
  <si>
    <t>DÜAK plokk</t>
  </si>
  <si>
    <t>Panus arengukava suunda</t>
  </si>
  <si>
    <t>Meetme toetatav tegevus</t>
  </si>
  <si>
    <t>TERE teenus</t>
  </si>
  <si>
    <t>Probleem</t>
  </si>
  <si>
    <t>Tegevuse (algatuse) nimi</t>
  </si>
  <si>
    <t>Tulemus</t>
  </si>
  <si>
    <t>Valdkonna prioriteet</t>
  </si>
  <si>
    <t>Otsus</t>
  </si>
  <si>
    <t>Slaid/allikas</t>
  </si>
  <si>
    <t>Paneeli vajadus</t>
  </si>
  <si>
    <t>Rahastuse allikas</t>
  </si>
  <si>
    <t>Summa kokku</t>
  </si>
  <si>
    <r>
      <t xml:space="preserve">2023
</t>
    </r>
    <r>
      <rPr>
        <sz val="11"/>
        <color theme="1"/>
        <rFont val="Calibri"/>
        <family val="2"/>
        <charset val="186"/>
        <scheme val="minor"/>
      </rPr>
      <t>(Kasutusse võetud vahendid, ehk kohustustega / lepingutega kaetud)</t>
    </r>
  </si>
  <si>
    <r>
      <t xml:space="preserve">Kalkulatsioon ja  allika põhjendus
</t>
    </r>
    <r>
      <rPr>
        <sz val="11"/>
        <color theme="1"/>
        <rFont val="Calibri"/>
        <family val="2"/>
        <charset val="186"/>
        <scheme val="minor"/>
      </rPr>
      <t>Võimalusel kirjeldada siin lahtris, kui on põhjalikum tabeli kujul kalkulatsioon, siis see tuua välja eraldi Exceli lehel ja siin vastava rea lahtris sellele viidata.</t>
    </r>
  </si>
  <si>
    <t>Tegevuse jätkusuutlikkuse kulu</t>
  </si>
  <si>
    <t>Kommentaar</t>
  </si>
  <si>
    <t>RES lisavajaduste grupid</t>
  </si>
  <si>
    <t>RES lisavajaduste kestvus</t>
  </si>
  <si>
    <t>Kontrollsumma kokku valdkond</t>
  </si>
  <si>
    <t>Punkt 5.3.1.
„Toetuse andmise tingimused valdkondlike
digipöörete toetamiseks“</t>
  </si>
  <si>
    <t>Valdkond, osakond, kes elluviija juures teema eest vastutab.</t>
  </si>
  <si>
    <t>Partner/asutus, kelle eelarvest algatusi teostatakse
Punkt 5.6.
„Toetuse andmise tingimused valdkondlike
digipöörete toetamiseks“</t>
  </si>
  <si>
    <t>Vastutav teenuseomanik/
projektijuht</t>
  </si>
  <si>
    <t>(valida rippmenüüst)</t>
  </si>
  <si>
    <t>(valida rippmenüüst, SF TAT käskkirja punkt 3.1. neli tegevust)</t>
  </si>
  <si>
    <t>Kirjutada välja TERE teenuse nimetus</t>
  </si>
  <si>
    <t>Täita kõikide ridade puhul</t>
  </si>
  <si>
    <t>Täita kõikide ridade puhul
(Kui tegmist jätkusuutlikkuse tagamise tegevusega, siis see nimes välja tuua.)</t>
  </si>
  <si>
    <t xml:space="preserve">Täita kõikide ridade puhul.
Kui mitme aastane tegevus/projekt, siis kirjutada välja vähemalt 2024. ja 2025. aasta tulemus ning lõpptulemus.
RES lisavajadustel tuua välja, mida mingi aasta RES rahade eest ära tehakse. Kui lisavajadus on kogu perioodiks ja kulud on aasta-aastalt sama, siis näiteks:
2025-2028 - SF-st arendatu hoolduskulu, väikearendused, majutus riigipilves, jne.
Kui tegevused on aastati erinevad, siis tuua need välja järgmiselt:
2025 - 
2026 - 
2027 -
2028 - </t>
  </si>
  <si>
    <t>Unikaalne prioriteet</t>
  </si>
  <si>
    <t xml:space="preserve">Esitatud slaidi number, või viide allikale, kus on võimalik tutvuda vajadusel sisuga, sh täpsemate kalkulatsioonidega </t>
  </si>
  <si>
    <t>Anda hinnang, kas on vajadus äri-, andmete-, arhitektuuri-, või muu paneeli järele.
NB! Paneelivajadus on igal üle 400 000 euro maksval algatusel/tegevusel. Konkreetne paneel, või paneelid otsustatakse MKM ettepanekul kohtumisel elluviijaga.</t>
  </si>
  <si>
    <t>Investeering
(15)</t>
  </si>
  <si>
    <t>Tööjõukulu
(50)</t>
  </si>
  <si>
    <t xml:space="preserve">Majandamiskulu
(55) </t>
  </si>
  <si>
    <t>Välja peab olema toodud tegevuste maksumuste arvutused, koos tundide hinna, tundide arvu ja tunnihinna selgitustega. Arenduste puhul lisada tunnihinna põhjendus varasemate hangetega. Inimeste palkamisel peab lähtuma Fontese palgauuringust ja viitama vastavale tööperele.</t>
  </si>
  <si>
    <t>RES lisavajaduste puhul tuua välja, milliste tabeli SF ridadega on käesolev jätkusuutlikkuse rida seotud. Nt: jätkusuutlikkuse kulu ridadele 38, 39 ja 40.
Kui ei ole tegemist jätkusuutlikkuse kuluga, vaid digipöördes eraldiseisva riigieelarvest täiendavat rahastust vajava tegevusega, siis see siin veerus välja tuua.</t>
  </si>
  <si>
    <t>R1. Personaalne riik.
2. AI ja andmed.
3. Õigusaktidest tulenevad vajadused. 
4. Baasi korrastamine.
5. Küberturvalisus.
6. Mittesõjalised riigikaitselised IKT vajadused.</t>
  </si>
  <si>
    <r>
      <t xml:space="preserve">RES lisavajaduste puhul tuua välja kas tegemist </t>
    </r>
    <r>
      <rPr>
        <b/>
        <i/>
        <sz val="11"/>
        <rFont val="Calibri"/>
        <family val="2"/>
        <charset val="186"/>
      </rPr>
      <t>püsikulu</t>
    </r>
    <r>
      <rPr>
        <i/>
        <sz val="11"/>
        <rFont val="Calibri"/>
        <family val="2"/>
        <charset val="186"/>
      </rPr>
      <t xml:space="preserve">ga mis peab minema baasi, või on tegemist </t>
    </r>
    <r>
      <rPr>
        <b/>
        <i/>
        <sz val="11"/>
        <rFont val="Calibri"/>
        <family val="2"/>
        <charset val="186"/>
      </rPr>
      <t>ühekordse</t>
    </r>
    <r>
      <rPr>
        <i/>
        <sz val="11"/>
        <rFont val="Calibri"/>
        <family val="2"/>
        <charset val="186"/>
      </rPr>
      <t xml:space="preserve"> </t>
    </r>
    <r>
      <rPr>
        <b/>
        <i/>
        <sz val="11"/>
        <rFont val="Calibri"/>
        <family val="2"/>
        <charset val="186"/>
      </rPr>
      <t>kulu</t>
    </r>
    <r>
      <rPr>
        <i/>
        <sz val="11"/>
        <rFont val="Calibri"/>
        <family val="2"/>
        <charset val="186"/>
      </rPr>
      <t>ga konkrteetse(te)l aasta(te)l.</t>
    </r>
  </si>
  <si>
    <t>Viola Mäemurd</t>
  </si>
  <si>
    <t>I: Digiriik</t>
  </si>
  <si>
    <t>1.2.1. Avalike teenuste juhtimise ja kasutajakesksuse juurutamine</t>
  </si>
  <si>
    <t>IV: muu digipöördega seotud otsene kulu</t>
  </si>
  <si>
    <t xml:space="preserve">Siseministeeriumis) puudub võimekus valitsemisala-üleseks teenuspõhise juhtimise koordineerimiseks, mis tagaks valitsemisala üleselt teenuste korrastamise, ja tervikliku planeerimise ning eelarvestamise. </t>
  </si>
  <si>
    <t>Siseminsteeriumis on tööl teenuste juht, alustatud on teenuste korrastamise valitsemisalaülest projekti (2024-2026).Teenuspõhise juhtimise juurutamist peab toetama IKT süsteem. Valitsemisalaüleselt on kasutusele võetud PlanPro keskkond.</t>
  </si>
  <si>
    <t>0 - vajalik kogu digipöörde elluviimiseks</t>
  </si>
  <si>
    <t>ok</t>
  </si>
  <si>
    <t>EI</t>
  </si>
  <si>
    <t>SF 21-27 (taotletav raha)</t>
  </si>
  <si>
    <t>Fontese palgauuring organisatsiooni protsessid tase 4</t>
  </si>
  <si>
    <t>Alli Murula</t>
  </si>
  <si>
    <t>1.2.7. Avaliku sektori digimuutuste võimendamine</t>
  </si>
  <si>
    <t>Digipöörde elluviijal SIMil ei ole vajalikku ressrussi, et kontrollida parnerite dokumentatsiooni, koondada arved, maksetaotlused jne ning eistada need e-toetuste keskkonnas RÜ-le</t>
  </si>
  <si>
    <t>Digipöörde projektijuhtimine</t>
  </si>
  <si>
    <t>Värvatud on SIM digipöörde projektijuht</t>
  </si>
  <si>
    <t>Fontese palgauuring, projektijuhtimine tase 2</t>
  </si>
  <si>
    <t>NUTIKAS RAHVASTIKUARVESTUS</t>
  </si>
  <si>
    <t xml:space="preserve">Siseministeerium </t>
  </si>
  <si>
    <t>SMIT</t>
  </si>
  <si>
    <t>Enel Pungas</t>
  </si>
  <si>
    <t>I: Infotehnoloogiliste lahenduste väljatöötamine ja arendamine</t>
  </si>
  <si>
    <t>Rahvastikuregistri pidamine ja vastava poliitika kujundamine</t>
  </si>
  <si>
    <t>Rahvastikuregistri haldusandmeid hoitakse ning hallatakse igas keskkonnas (arendus, test, toodang) eraldi, mis tekitab erinevaid veaolukordi. Valesti sisestatud asutus võib tekitada teenuse kasutamise tõrke või võimaldada ligipääsu andmetele neil, kellel ei ole selleks vajadust. Häälestusparameetrite valesti sisestamine või keskkonniti erinemine põhjustab tarkvara töö probleeme, mille põhjust on raske määratleda, kuna rakenduse kood keskkonniti on sama.
Keskkondade automaatne ühtlustamine/replikeerimine on võimatu, sest keskkonniti erinevad andmete identifikaatorid.
Hetke lahenduses ei ole võimalik fikseerida andmete algseisu ning säilitada muudatuste ajalugu. Olemasolev haldusandmete hoidmise ja haldamise kasutajaliides on iganenud töölauarakendus, selle kasutusmugavuse (UX/UI) peale pole peaaegu üldse mõeldud, kasutamine on ebamugav ja kohmakas. Lisaks on selle autentimise ja autoriseerimise lahendus puudulik.</t>
  </si>
  <si>
    <t xml:space="preserve">SF Rahvastikuregistrist haldusandmete haldamise keskse süsteemi II (asutused ja häälestusparameetrid) etapi arendus  [RR KAASAJASTAMINE] 
</t>
  </si>
  <si>
    <t>Kesksesse halduslahendusse on lisatud asutuste ja häälestusparamaeetrite haldamine</t>
  </si>
  <si>
    <t>Slaidid 26-30, lisavajaduskaart</t>
  </si>
  <si>
    <t>Uue RR arhitektuur kinnitatud arhitektuuripnaeelis 2021. aastal</t>
  </si>
  <si>
    <t>5. Tegevus, mis ei vaja jätkusuutlikkuse kulusid.</t>
  </si>
  <si>
    <t xml:space="preserve">Tänane olukord:_x000D_
1.	Aadressandmed on eri keskkondades ebaühtlase tasemega, eri hetketel sünkroniseeritud, haldusreform läbiviimata._x000D_
2.	Keskkondade automaatne ühtlustamine/replikeerimine on võimatu, sest keskkonniti erinevad andmete identifikaatorid._x000D_
3.	Hetke lahenduses ei ole võimalik fikseerida andmete algseisu ning säilitada muudatuste ajalugu. See omakorda tekitab olukorra, kus mingi vea tõttu ei ole võimalik taastada suvalise ajahetke olukorda infosüsteemis._x000D_
4.	Olemasolev aadressandmetea haldamise kasutajaliides on iganenud töölauarakendus, selle kasutusmugavuse (UX/UI) peale pole peaaegu üldse mõeldud, kasutamine on ebamugav ja kohmakas. Lisaks on selle autentimise ja autoriseerimise lahendus puudulik._x000D_
</t>
  </si>
  <si>
    <t xml:space="preserve">SF Rahvastikuregistrist haldusandmete haldamise keskse süsteemi II (aadressandmed) etapi arendus  [RR KAASAJASTAMINE] 
</t>
  </si>
  <si>
    <t>Projekti eesmärk on välja töötada Rahvastikuregistris kasutatavate haldusandmete lahenduse kolmas etapp - aadressandmete uuele platvormile viimine koos andmebaasi tabelite, X-tee teenuste, sõnumiruumi ning kasutajaliidese loomisega. Projekti läbiviimise tulemusena valmib mikroteenusena terviklahendus.</t>
  </si>
  <si>
    <t>nok</t>
  </si>
  <si>
    <t>RR kaasajastamise projekt on arhitektuuripaneelis kaitstud 2022.aastal</t>
  </si>
  <si>
    <t xml:space="preserve">Rahvastikuregistri operatiivandmebaasist moodustvad üle 70% päringute logid ja andmebaasi iga-aastane mahukasv tuleb 90% ulatuses logide mahukasvust. Logide suur maht operatiivandmebaasis tekitab jõudlusprobleeme ning andmebaasi taastamise aeg on vastuvõetamatult suur (~8 tundi). </t>
  </si>
  <si>
    <t>Rahvastikuregistri päringute logimise lahenduse uuele platvormile viimine</t>
  </si>
  <si>
    <t xml:space="preserve">Logid on viidud välja operatiivandmebaasist, vähenenud on jõudlusprobleemid ja andmebaasi taastamise aeg vastab SLAle. </t>
  </si>
  <si>
    <t>Muu rahastus</t>
  </si>
  <si>
    <t>Rahvastikuregistri kõikides igas rakenduses, on oma kasutajate haldus ja puudub keskne lahendus õiguste haldamiseks (sh KOVid).</t>
  </si>
  <si>
    <t>Keskse kasutajate haldussüsteemi loomine [RR KAASAJASTAMINE]</t>
  </si>
  <si>
    <t>Loodud on keskne kasutajate haldussüsteem, millega on liidestatud kasutajahaldust vajavad rakendused.</t>
  </si>
  <si>
    <t xml:space="preserve">Rahvastikuregister taakvara, milles on kasutusel Eestis väga vähe levinud Progress OpenEdge platvorm ning Progress OpenEdge Advanced Business Language (ABL) oskavaid spetsialiste (arendajaid, arhitekte) on vähe ja neid ei ole ka juurde tulemas. </t>
  </si>
  <si>
    <t>SF Rahvastikuregistri baastehnoloogia uuendamise [RR KAASAJASTAMINE</t>
  </si>
  <si>
    <t>Projekti tulemusena ei ole rahvastikuregistri teenused ja rakendused Progress OpenEdge platvormis.</t>
  </si>
  <si>
    <t>Rahvastikuregistri menetlustarkvara on töölauarakendus, mis ei
võimalda teostada piisavalt tehnilist järelevalvet, et tagada isikuandmete kaitse ning
piirata kasutaja tegevusi arvutisse tarkvara paigaldamisel ja eemaldamisel
(viirustõrje), seda eriti kaugtöö tingimustes. Rahvastikuregistri menetlustarkvara
arendamiseks vajalik ajakulu on registri tehnoloogilise ülesehituse (monoliit) tõttu
ebamõistlikult suur. Kasutusmugavuse (UX/UI) peale pole peaaegu üldse mõeldud,
kasutamine on ebamugav ja kohmakas;
kus kasutajate autentimine on võimalik ainult ID-kaardiga.</t>
  </si>
  <si>
    <t>SF Menetluste uuendamise I etapp, sh andmevahetuse kaasajastamine [MENETLUSTE KAASAJASTAMINE]</t>
  </si>
  <si>
    <t>Loodud on uue menetluste infosüsteemi baaslahenduse esimene etapp.</t>
  </si>
  <si>
    <t>Rahvastikuregistri ja menetustarkvara vaheline andmevahetus on kaasajastamata.</t>
  </si>
  <si>
    <t>SF Menetluste andmevahetuse kaasajastamine [MENETLUSTE KAASAJASTAMINE]</t>
  </si>
  <si>
    <t>Rahvastikuregistri ja menetlustarkvara vaheline andmevahetus on kaasajastatud. </t>
  </si>
  <si>
    <t>Majandus- ja Kommunikatsiooniministeerium</t>
  </si>
  <si>
    <t>1.1.3. Inimkeskne Digiriik</t>
  </si>
  <si>
    <t>EU-ülene SDG kohustab rahvastikuregistril osutuma teenuseid EU autentimisivahenditega isikutele, praegu võimekus puudub.</t>
  </si>
  <si>
    <t>SF SDG arendused - NB! Rahastatud riigiülesest digipöördest</t>
  </si>
  <si>
    <t>Portaalis rahvastikuregister.ee on teenused elukohatõendi väljastamine, sünnitõendi väljastamine, elukoha registreerimine
tehtud kättesaadavaks EU autentimisvahendiga isikutele eeldusel, et neil on õigus neid teenuseid saada.</t>
  </si>
  <si>
    <t>1.2.2. Andmepõhine riigivalitsemine ja andmete taaskasutus</t>
  </si>
  <si>
    <t>Andmelao I etapi on loodud alus uueks kaasaegseks analüütika vahendiks, puudu on hulk vajalikke aruandeid, mis on KOVile oluliseks töövahendiks</t>
  </si>
  <si>
    <t>SF RR Andmelao lahenduse II etapp</t>
  </si>
  <si>
    <t>Andmelao lahenduse II etapp on arendatud, loodud uued aruanded KOVile</t>
  </si>
  <si>
    <t>1.1.1. Üleminek sündmuspõhistele ja proaktiivsetele teenustele</t>
  </si>
  <si>
    <t>Täna puudub rahvastikuregstril platvorm sündmusteenuste pakkumiseks.</t>
  </si>
  <si>
    <t>RFF Sündmusteenused</t>
  </si>
  <si>
    <t>Loodud on sündmusteenused (täiendatud broneerimislahendus, lahutus ja nime muutmine)</t>
  </si>
  <si>
    <t>Isikukoodi andmine on manuaalne ja seetõttu on kitsendatud asutuse hulk, kes saavad seda inimestele väljastada. Osad riigiasutused kasutavad isikuandmeid ilma isikukoodita.</t>
  </si>
  <si>
    <t>Isikukoodita välismaalased - analüüs</t>
  </si>
  <si>
    <t>Dokumenteeritud olukorra kaardistus ja variandid kas ja kuidas isikukoodita isikute andmete haldamine saaks toimuda sh. milliste juhtudel saab isikukoodi väljastada ilma inimese ja ametniku füüsilise kohtumiseta ning mille oleks võimalik lahendus isikukoodide väljastamise automatiseerimiseks rahvastikuregistris.
Ühe teenuse baasil on loodud prototüüp ja andmed, mida isikute kohta kogutakse.</t>
  </si>
  <si>
    <t>Vajadus on kasutusele võtta Veera uus versioon ning parandada kasutajaliidest ja -kogemist, sh luuakse uusi e-teenuseid</t>
  </si>
  <si>
    <t>SF rahvastikuregister.ee III etapi arendustööd</t>
  </si>
  <si>
    <t>Rahvastikuregister.ee-s on kasutusele võetud VEERA stiiliraamat, parandatud on kasutajaliidest ning  –kogemust ning loodud uusi e-teenuseid</t>
  </si>
  <si>
    <t>SIM</t>
  </si>
  <si>
    <t>Vajadus juhtida menetluste kaasjastamise projekti tervikuna</t>
  </si>
  <si>
    <t>RR menetlustarkvara arendustööde projektijuhtimine (SIM)</t>
  </si>
  <si>
    <t>RR menetlustarkvara (menetluste) programmi projektijuht</t>
  </si>
  <si>
    <t>Maie Ristissaar</t>
  </si>
  <si>
    <t>Vajadus juhtida menetluste kaasjastamise projekti tervikuna ning tagada uute lahenduste ühtne kasutaja vaade ja arendus</t>
  </si>
  <si>
    <t>RR menetlustarkvara arendustööde elluviimine</t>
  </si>
  <si>
    <t>RR menetlustarkvara (menetluste) programmi it-projektijuht ning uute RR rakenduste kasutajaliideste arendaja</t>
  </si>
  <si>
    <t>Süüteomenetluse digitaliseerimine</t>
  </si>
  <si>
    <t>Politsei- ja Piirivalveamet</t>
  </si>
  <si>
    <t>Andres Kirsing / Rauno Piirsalu</t>
  </si>
  <si>
    <t>Kogukonnaga seotud süütegude lahendamise teenus</t>
  </si>
  <si>
    <t xml:space="preserve">Joobes kainenema toimetamisel teeb patrull täna mitmeid toiminguid paberil. Need antakse üle kainestusmajale või kinnipidamisasutusele. Lõpuks sisestab kogu info sisestaja paberilt menetlusinfosüsteemi. Digitaalne lahendusega on kasutajal olemas eeltäidetud andmetega vorm, info sisestatakse ühekordselt ning väheneb oluliselt ühe toimingu peale kuluv aeg.  Kinnipidamise protokolli digitaalselt vormistamine on üks osa süüteomenetluse digitaliseerimise teekaardi tulemuste täitmisest. Selle tulemusel kiireneb info liikumine ja väheneb paberprotokollide hulk ning tagab digitaalse menetluse läbiviimise võimekust. </t>
  </si>
  <si>
    <t>Apollo digitoimingud (II etapp)</t>
  </si>
  <si>
    <t>2024: Apollos saab digitaalselt sisestada joobes kainenema toimetamise protokolli ja testimiseks on valminud KrM alusel isikute kinnipidamise protokolli sisestamine (PRISi kaudu e-politsei seadmes).
2025: Kasutuseks on valminud KrM alusel isikute kinnipidamise protokolli sisestamise võimekus (PRISi kaudu e-politsei seadmes). ET liidese (PPA digitoimingute tarbeks läbi erinevate PPA rakenduste) analüüs ja arendus. Joobes kainenemisele toimetamise protokolli jätkutööd. 
2026: Vajadusel ET liidese jätkutööd.
Vastavalt süüteomenetluse digitaliseerimise ajakavale digitaliseeritakse järgnevad VTM toimingud koostöös VTM-ga sh VTMs, KorSi alusel isikute kinnipidamise protokolle (Apollos avatakse toimingud läbi VTM lahenduse).</t>
  </si>
  <si>
    <t>Slaidid 31-38, lisavajaduskaart</t>
  </si>
  <si>
    <t>Ei, MISX käinud arhitektuuripaneelis käimasolevate projketidega, tegemist jätkuprojektiga</t>
  </si>
  <si>
    <t>Töötunni hinnaks on arvestatud kõikidele rollidele 70 eurot + km ja hinnatõus 5% aastas. Töötunni hind on saadud varasemate hangete läbiviimisel.</t>
  </si>
  <si>
    <t>4. SF tegevus, mis vajab jätkusuutlikkuse kulusid, aga neid pole välja arvutatud ja eraldi real välja toodud</t>
  </si>
  <si>
    <t>Andres Kirsing / Rauno Rajasaar</t>
  </si>
  <si>
    <t>1.2.3. Tulevikukindlad digiriigi platvormid</t>
  </si>
  <si>
    <t>Esmareageerimine; partullitöö teenus</t>
  </si>
  <si>
    <t>e-Politsei riistvara elukaar ei ole tagatud, seadmete kasutusiga on 5 aastat. Tänane tahvelarvuti versioon ei toeta WIN -10 operatsioonisüsteemi ja ka tootetuge sellele enam ei pakuta.</t>
  </si>
  <si>
    <t>Apollo seadmete elukaare tagamine</t>
  </si>
  <si>
    <t>2023: Läbi on viidud hange uute seadmete soetamiseks. 2024 Kõik seadmed on soetatud.</t>
  </si>
  <si>
    <t>ei</t>
  </si>
  <si>
    <t>RES IKT (vaja juurde taotleda)</t>
  </si>
  <si>
    <t xml:space="preserve">Jätkusuutlikkuse kulu (seadmete väljavahetus) reale </t>
  </si>
  <si>
    <t>4. Baasi korrastamine</t>
  </si>
  <si>
    <t>Seadmete regulaarne väljavahetus - püsikulu, kuid aastates muutuv</t>
  </si>
  <si>
    <t>Kasutusel olevad väärteomenetluse menetlemise teenused on muutunud taakvaraks. PPAs kasutusel olev MIS on üle 15a vana (arendatud 2006-2008) ning ei ole enam mõistlike kuludega edasi arendatav. 134 asutust kasutavad VMP rakendust, mida ei ole viimased 3 aastat arendatud ning on seega ka vananenud. Kahte süsteemi arendada ei ole mõistlik. Olemasolevate süsteemidega ei ole võimalik tagada süüteomenetluse digitaliseerimise eesmärke. </t>
  </si>
  <si>
    <t>Väärteomenetluse rakenduse analüüs</t>
  </si>
  <si>
    <t>2024:  VTM analüüsi teostamiseks on olemas partner, kellega on kokkulepitud tegevuskava. On sõlmitud kokkulepped huvitatud osapooltega projektis osalemise osas. Kontseptsiooni, nõuete kaardistuse ja kirjeldusega on alustatud.
2025: Koostatud on kontseptsioon, teostatud on nõuete kaardistus ja kirjeldus uuest riigi ülese võimekusega väärteo rakendusest.</t>
  </si>
  <si>
    <t>Jah, peale analüüsi lepime kokku arhitektuuripaneeli</t>
  </si>
  <si>
    <t>Töötunni hinnaks on arvestatud kõikidele rollidele 70eur+km ja hinnatõus 5% aastas.</t>
  </si>
  <si>
    <t>3. Tegevus, mis vajab jätkusuutlikkuse kulusid ja need on eraldi real välja toodud</t>
  </si>
  <si>
    <t>Väärteomenetluse rakenduse arendus (etapid I-V)</t>
  </si>
  <si>
    <t>2025: On olemas baasfunktsionaaluse detailanalüüsi ja arenduse teostamise partner ning kokkulepitud tegevuskava. 2026: Läbi on viidud baasfunktsionaalsuse detailanalüüs ja vastavalt sellele on realiseeritud väärteomenetluse baasfunktsionaalsus, sh on võimalik alustada VTMi juhtumite lahendusest. On olemas liidestus töölauaga ja E-Toimikuga. Eesmärk on tagada võimekus 2026 lõpust väärteomenetlust läbi viia digitaalselt. 2027-2028: Tagatud on kõikidele väärteomenetlust läbiviivatele asutustele uus väärteorakenduse kasutamine. </t>
  </si>
  <si>
    <t xml:space="preserve">Politsei poolt läbiviidav haldusmenetlus viiakse läbi täna sarnaselt VTM-le MISis, mis on taakvara ning mida ei ole võimalik mõistliku aja- ja raha kuluga edasi arendada. MISst VTMi välja viimisel on vajalik sama teha ka haldusmenetlusega. Haldusmenetlustoimingud on seotud nii VTM, kui KrM-ga. </t>
  </si>
  <si>
    <t>Haldusmenetluse analüüs</t>
  </si>
  <si>
    <t>2024: HM analüüsi teostamiseks on olemas partner, kellega on kokkulepitud tegevuskava. Ärianalüüsiga on alustatud.
2025: Koostatud on ärianalüüs, mis arvestab ka haldustoimingutega väärteomenetluses ja kriminaalmenetluses ning nende kasutamisega riigiüleses VTM teenuses ja E-toimikus. On kirjeldatud Politsei haldusmenetluse läbiviimise nõuded. Uus haldusmenetluse rakendus toetab digitaalsele süüteomenetlusele üleminekut.</t>
  </si>
  <si>
    <t>Slaidid 31-38. lisavajaduskaart</t>
  </si>
  <si>
    <t xml:space="preserve">Praegune PPA infosüsteem MIS/Üldosa, mida kasutatakse haldusmenetluse läbiviimiseks, vajab asendamist uue kaasaegse rakendusega. </t>
  </si>
  <si>
    <t>Haldusmenetluse arendus (etapid I-III)</t>
  </si>
  <si>
    <t>2025: HM detailanalüüsi ja arenduse teostamiseks on olemas partner, kellega on kokkulepitud tegevuskava. Detailanalüüsi ja arendusega on alustatud.
2026: Politsei haldusmenetlust saab läbi viia digitaalselt, politsei haldustoiminguid saab lisada VTM ja KrM koosseisu, mis võimaldab VTM ja KrM läbi viia digitaalselt.</t>
  </si>
  <si>
    <t>Rahandusministeerium</t>
  </si>
  <si>
    <t>1.2.4. Keskselt osutatud IT-alusteenused</t>
  </si>
  <si>
    <t xml:space="preserve">Uute väärteo-, haldus- ja hoiatusmenetluse rakenduste loomisel on vajalik lahendada ka nõuete haldus (loomine, sissenõudmine, asenduskaristused jne.). EMTAl on olemas rakendus nõuete haldamiseks, kuid selle sobivust PPA nõuetele tuleb analüüsida. 2019 on teostatud täitemenetluse reformi riiginõuete sissenõudmise ümberkorraldamise tulu-kulu analüüs. PPAl ei ole mõistlik luua oma nõuete rakendust vaid see integreerida EMTA lahendusega. </t>
  </si>
  <si>
    <t xml:space="preserve">Nõuete haldus (analüüs) (koostöös RaMiga) </t>
  </si>
  <si>
    <t>PPAl on soov kasutusele võtta väärteomenetluses EMTA nõuete halduse keskkond ning on loodud alused, et teised asutused, kes kasutavad VTM rakendust saavad sama teha. EMTA nõuete halduse lahendusele tuleb teha analüüs (EMTA tegevus). PPA poolne projekti eesmärk on integreerida EMTA lahendus PPA lahendustega. 
2024: Nõuete halduse analüüsi teostamiseks on olemas partner, kellega on kokkulepitud tegevuskava. Analüüsiga on alustatud.
2025: Valminud on nõuete halduse analüüs.</t>
  </si>
  <si>
    <t>Nõuete halduse integreerimine</t>
  </si>
  <si>
    <t>2025: Nõuete halduse integreerimiseks vajalike arenduste teostamiseks on olemas partner, kellega on kokkulepitud tegevuskava. 
2026: PPA ja EMTA lahendused on integreeritud või on loodud esmane lahendus VTM nõuete halduseks. NB! RAM digipöördesse!</t>
  </si>
  <si>
    <t>Rone Grahe</t>
  </si>
  <si>
    <t>XY Monitor loodi SMITi poolt aastal 2010 ning tänaseks on rakendus amortiseerunud. Hetkel ei ole ühtegi
alternatiivset süsteemi (ega süsteemide kombinatsiooni), mis asendaks XY Monitori kogu funktsionaalsust.
Täna tarbivad XY Monitori teenust Apollo, SOS-i, Kilp-i kasutajad nii PPA-s kui koostööpartnerite näol. XY Monitori enda aktiivsete kasutajate arv on 3000, kuid tuleb arvestada, et süsteemi poolt edastatud info on oluline osa ka kõigi Apollo ning SOS-i kasutajate jaoks. Seega kogu mõjutatud kasutajate arv on kindlasti üle 6000 isiku.</t>
  </si>
  <si>
    <t>XY Monitori uuedamine (objektide asukohahaldus)</t>
  </si>
  <si>
    <t xml:space="preserve">XY Monitor tagab häirekeskuse infosüsteemis SOS, PPA ressursihaldamise teenuses KILP ja patrulli lahenduses Apollo sõidukite, käsiraadiote ja mobiiltelefonide reaalajal kaardil nähtavuse. See on kriitiliselt vajalik info politsei välitöö ametnikele. Tulemuseks on XY Monitori üle viimine uuele tehnilisele lahendusele, et tagada selle töökindlus. </t>
  </si>
  <si>
    <t>Ei ole vajalik (K. Vaheri kinnitus 2022.a.)</t>
  </si>
  <si>
    <t>2024 aasta alguses võtakse PPAs kasutusele uus juhtumite lahendus ja Töölaua I etapp, mis mõlemad on teostatud SF vahenditest 2022-2023. Uue lahenduse välja töötamisel jagati arendused kahte etappi. 2023 lõpuks saab teostatud I etapp ning vajalik on teostada 2024 II etapp ja samuti vastavalt kasutajate tagasisidele vajalikud uuendused. Töölaud aitab tuua kokku  ametnikule vaja mineva põhilise vaate ühele töölauale. Sealt liigub ametnik vastavalt vajalikule tööülesandmete uude rakendusse. Töölaud on vajalik, et tagada PPA ametnike töö muutunud vaates näiteks KrM menetlused on PRISis. Töölauale loodi 2022-2023 baasfunktsionaalsus ja seda on vajalik 2024 täiendada. Edaspidi täiendatakse töölaua funktsionaalsust iga uue rakenduse loomise käigus. </t>
  </si>
  <si>
    <t xml:space="preserve">MISX juhtumite lahenduse II etapp ja MISX töölaua arenduse II etapp, </t>
  </si>
  <si>
    <t>2024: Valitud on partner detailanalüüsi ja arenduse läbiviimiseks, sõlmitud on leping. Alustatud on analüüsi- ja arendustöödega. Valmistatakse ette jätkuhanget (II etapi tööde teine osa).
2025: Teostatud on juhtumite lahenduse II etapp. Lisatud on juhtumile objektide (sõiduki) lisamisel seos objektide registriga (teostatakse Objektide registri projekti raames vastavalt selle projekti ajakavale), kaardirakenduse seos ja teostatud on vastavalt kasutajate tagasisidele kogutud olulisemad parendused.
Täiendatud on töölaual olevate objektide vaateid (seos objektide registriga luuakse objektide projektis), juurde on loodud PPA tööks vajalikke teenuseid (x-tee teenused teistesse registritesse). Teostatud on kasutajate tagasiside põhjal olulisemad arendused. Töölaud on kasutaja jaoks integreeritud päringukeskusega (liikumine töölaualt Päringukeskusesse), kuid andmed hakkavad Päringukeskuse ja menetlussüsteemide vahel liikuma järgmiste projektide arenduste järgselt.</t>
  </si>
  <si>
    <t xml:space="preserve">Hetkel kasutusel olev  HIS on oma elukaare lõpus ning saavutanud maksimumi. Seetõttu ei ole võimalik olemasolevasse süsteemi lisada uusi funktsionaalsusi ega täiendavalt automatiseerida. Samuti mõjutab suurel määral süsteemi tõhusat toimimist järjest suurenev koormus (hoiatustrahvide arvu kasv). Paljud tööprotsessid on ajas muutunud, mistõttu tehakse täna liigselt käsitööd kasutades erinevaid infosüsteeme. Kasutusel olev HIS on liigselt seotud selle arendamise hetkel soetatud kaamerate tootjaga. Tuleb tagada kõiki tüüpe rikkumiste automaatse lahendamise võimekus. </t>
  </si>
  <si>
    <t>Hoiatusmenetluse infosüsteem (HIS2) (etapid I-IV)</t>
  </si>
  <si>
    <t>2025: Leitud on partner I etapi detailanalüüsiks ja arendustöödeks. Kokku on lepitud I etapi ajakava.  Teostatud on I etapi detailanalüüs ning alustatud I etapi arendustega - võimekus liidestada süsteemiga erinevat tüüpi ja tootjate tehnoloogilisi vahendeid.
2026: HIS2 on viidud uuele tehnilisele lahendusele menetluse läbi viimiseks vajalikud baastoimingud (andmete valideerimine, komplekspäringud, trahviteate genereerimine, allkirjastamine ja välja saatmine) toimivad. Uute funktsionaalsuste ja täiendava automatiseerituse tulemusel kiireneb menetlusprotsess tervikuna ning väheneb inimressursi kulu. 
2027-2028: HIS2 on integreeritud uue väärteomenetluse rakendusega (üldmenetlus), uuele tehnilisele lahendusele on viidud HISi ränga rikkumisega seotud protsessid ning täiendatud on kasutajaportaal.</t>
  </si>
  <si>
    <t>Slaid 35, lisavajaduskaart</t>
  </si>
  <si>
    <t xml:space="preserve">Tagamaks siseriikliku ja rahvusvahelist kohustust on vajalik luua uus seiremoodul, mis põhineb objektide registril. Seiresse lisatakse alati objekt või isik. Täna lisatakse ja hallatakse seireid läbi MISi. MIS on monoliitne taakvara, mida MISX programmi käigus uuendatakse ja muudetakse eraldi teenusteks, mis on jätkusuutlikud. Väärteo-, haldus-, hoiatus- ja kriminaalmenetlus põhineb täna Üldosa objektide lahendusel, mis on tugevalt seotud MISiga. Üldosa lahendus on muutunud taakvaraks. Samuti ei ole üldosa lahenduses arvestatud riiklike regsitritega ning andmeid dubleeritakse. </t>
  </si>
  <si>
    <t xml:space="preserve">MIS-X: objektide haldus ja seiremoodul </t>
  </si>
  <si>
    <t>2024: On teostatud detailanalüüs ja baasfunktsionaalsus on arendamisel - saab testida siseriikliku sõiduki seiresse lisamist ning esmaseid teenuseid partneritele.
2025: Teostatakse arendused vastavalt 2023-2024 teostatud detailanalüüsile. Rahastus plaanis ISFist.</t>
  </si>
  <si>
    <t xml:space="preserve">MISi ja üldosa sulgemiseks on vajalik vanadest süsteemidest viia andmed uutesse lahendustesse. Osaliselt andmed arhiveeritakse (vastavalt seaduses/määrustes) toodud nõuetele. </t>
  </si>
  <si>
    <t>MISX migreerimine, arhiveerimine ja juurutamine</t>
  </si>
  <si>
    <t>2025: On olemas partner migreerimise analüüsi teostamiseks. 2026: On olemas detailanalüüs, mille alusel teostatkse migratsiooni. Tagatud on VTM, HM ja juhtumite lahenduses arhiveerimise ja kustutamise nõuetele vastavus. Vanadest süsteemidest on migreeritud aktiivsed andmed, mis tagab jätkusuutlikkuse ning vanade süsteemide sulgemise. </t>
  </si>
  <si>
    <t>PPA</t>
  </si>
  <si>
    <t>MISX kontseptsiooni elluviimine on vajalik teostada samal ajal, kui tuleb üleval hoida ka kasutusel olevad süsteeme. Lisaressurss aitab tagada PPA poolt piisava panuse suunamise kontseptsiooni elluviimiseks. </t>
  </si>
  <si>
    <t>Süüteomenetluse digitaliseerimise toetamine - PPA ressurss</t>
  </si>
  <si>
    <t xml:space="preserve">Ressurss on arvestatud 1 inimene 3a. PPAs on olemas sisuline tooteomanik, kes tagab vajaliku sisendi PPA poolelt väärteomenetluse ja hoiatusmenetluse rakenduse loomiseks. </t>
  </si>
  <si>
    <t>Ei</t>
  </si>
  <si>
    <t xml:space="preserve">Ressursimaksumus on arvestatud vastavalt PPA palgamudelile, täpsemalt välja toodud personali lehel. </t>
  </si>
  <si>
    <t>5. SF tegevus, mis ei vaja jätkusuutlikkuse kulusid (nt analüüs)</t>
  </si>
  <si>
    <t>Kalmer Kärblane</t>
  </si>
  <si>
    <t>MISX kontseptsiooni elluviimine on vajalik teostada samal ajal, kui tuleb üleval hoida ka kasutusel olevad süsteeme. Lisaressurss aitab tagada SMITi poolsete nõuete ülevaatamise, et tagada jätkusuutlikud lahendused.</t>
  </si>
  <si>
    <t>Süüteomenetluse digitaliseerimise toetamine - SMIT ressurss</t>
  </si>
  <si>
    <t>SMITis on olemas ressurss (1 inimene 3a), kes vastutab arendusnõuete kontrollimise eest uute teenuste arendamisel ning annab välisele partnerile vajaliku sisendi SMITi tehniliste nõuete osas. </t>
  </si>
  <si>
    <t>Süüteomenetluse digitaliseerimisega ning olemasolevate rakenduste välja vahetamisega on lühikesel ajaperioodil vajalik viia läbi 30 projekti. Olemasoleva ressursiga on seda keeruline teha, kuna tuleb jätkata ka olemasolevate süsteemide olevaloleku tagamist. PPAs peavad kõik projekti kaasatud sisupoole eksperdid ilma lisaressursita panustama oma põhitöö kõrvalt, mistõttu ei ole neil võimalik panustada piisavalt.</t>
  </si>
  <si>
    <t xml:space="preserve">MIS-X kontseptsiooni  töökohad </t>
  </si>
  <si>
    <t>Tagatud on süüteomenetluse digitaliseerimise projektide elluviimiseks vajalik ressurss PPAs ja SMITis</t>
  </si>
  <si>
    <t xml:space="preserve">Ressursimaksumus on arvestatud vastavalt Fontese palgauuringutele, täpsemalt välja toodud personali lehel. </t>
  </si>
  <si>
    <t xml:space="preserve">Jätkusuutlikkuse </t>
  </si>
  <si>
    <t>Baasi korrastamine, AI ja andmed</t>
  </si>
  <si>
    <t>püsikulu</t>
  </si>
  <si>
    <t>Kiire ja asjatundlik abi</t>
  </si>
  <si>
    <t>Priit Järvpõld, Margo Erm</t>
  </si>
  <si>
    <t xml:space="preserve">III: Küberturvalisus </t>
  </si>
  <si>
    <t xml:space="preserve">Operatiivinfoe- ja ressursside juhtimise teenus, patrulltöö teenus, piiri valvamise teenus, SAR teenus on põhilised </t>
  </si>
  <si>
    <t>KILP käideldavuse tase ei vasta teiste seotud kriitiliste teenuste tasemega , mistõttu võivad sattuda ohtu inimelude ning ei suudatea tagada õigeaegselt turvalisust/sündmustele reageerimist.</t>
  </si>
  <si>
    <t>PPA KILP Projekt KILP taktikalise juhtimise rakenduse käideldavuse tõstmine K2-lt K3le</t>
  </si>
  <si>
    <t xml:space="preserve">2024 tulemus: Teostatud detailanalüüs 2024 arendustöödeks. Infras on tellitud keskkonnad (dev, test ja live).
2025 Lõpptulemus: KILP käideldavuse tase vastab K3 nõuetele. Turvatestimin eon läbi viidud.
</t>
  </si>
  <si>
    <t>Slaidid 42-43, lisavajaduskaart</t>
  </si>
  <si>
    <t>Kristo Vaheriga kokkulepe, et KILP ei pea minema (2022.a. projektide esitlus)</t>
  </si>
  <si>
    <t xml:space="preserve">Olemasolevad partnerid (10 inimest, keskmine tunnitasu 80 eur, kuu keskmine töötundide arv 168. </t>
  </si>
  <si>
    <t>Operatiivinfo- ja ressursside juhtimise teenus</t>
  </si>
  <si>
    <t xml:space="preserve">Ressurssidele väljasõidukorralduste andmine on ajakulukas ja väljasõidu korraldusi saab anda ainult ressursside loetelus (on aeganõudev). KILPIs puudub ülevaade partnerasutuste ressursside andmetest ja paiknemisest, mis on vajalikud sündmuse lahendamisel. Häirekeskuse infosüsteemis SOS ja partnerasutuste ressurssidel puuduvad andmed sündmuskohal olevatest politsei ressurssidest. Puudub oeratiivaruandlus, mistõttu ülevaade olukorrast vastutusalas on aeganõudev ja puudulik. Patrullil puudub eelinfo olukorrast ülesande täitmise alas. </t>
  </si>
  <si>
    <t>Operatiivinfo haldamine, väljasõidukorralduste automatiseerimine ja andmete vahendamine SOS-ga</t>
  </si>
  <si>
    <t>2024 valmib: KILP ja SOS on liidestatud nii, et sündmuse lahendamisele kaasatud ressurssidel on ülevaade sündmuskohal toimuvast ja kaasatud ressurssidest. KILP elupäästvale sündmusele alarmeeritakse lähim vaaba ressurss automaatselt. KILPis on erinevate operatiivaruannete genereerimise ja haldamise võimekus. 
2025 valmib:  KILP rakenduses saab patrullidele anda väljasõidukorraldusi kaardikuvalt. SOSist tuleva juhtumiandmete täiendamine kõne andmetega koos positsioneerimisandmetega. Oluorra eelinfot saab edastada digittalselt teenistuslehele ja juhtumi juurde.</t>
  </si>
  <si>
    <t>Kristo Vaheriga kokkulepe, et KILP ei pea minema.</t>
  </si>
  <si>
    <t>Olemasolevad partnerid (10 inimest, keskmine tunnitasu 80 eur, kuu keskmine töötundide arv 168</t>
  </si>
  <si>
    <t xml:space="preserve">KILP projektide edukaks elluviimiseks on vajalik projektijuhi palkamine PPAs. </t>
  </si>
  <si>
    <t>KILP projektijuht</t>
  </si>
  <si>
    <t>Projektijuhtimine on tagatud</t>
  </si>
  <si>
    <t>PPAs kehtestatud projektijuhtimises tunnihinna maksumus.</t>
  </si>
  <si>
    <t>Operatiivinfo- ja ressursside juhtimise teenus, patrulltöö teenus, piiri valvamise teenus, SAR teenus on põhilised </t>
  </si>
  <si>
    <t xml:space="preserve">Juba liidestatud infosüsteemid viiakse üle uutele platvormidele ja teenustele, mistõttu katkeb KILP is teenuse osutamine. </t>
  </si>
  <si>
    <t>KILP liideste kahepoolne toimimine operatiivtegevuse tagamiseks</t>
  </si>
  <si>
    <t>a) 2027: KILP ja TOPLIS on liidestatud ja reageeriva ressursi planeeritud tööaeg jms jõuab KILPi ja tegelik tööaeg jõuab automaatselt uude tööaja arvestuse infosüsteemi. 
b) 2026: Uus geoteenusega liidestus tagab jätkuvalt kaardil sündmuste ja ressursside haldamise sh positsioneerimise. 
c) 2026:KILP ja varahaldussüsteemi on liidestatud (sõidukid, varad, relvad).</t>
  </si>
  <si>
    <t>Tagamaks siseriikliku ja rahvusvahelist kohustust on vajalik liituda uue seiremooduliga. Tagaotsimise objekte ei ole võimalik määrata operatiivselt. Tagaotsitavad objektid võivad jäävad kinni pidamata.</t>
  </si>
  <si>
    <t>Tagaotsitava andmete seiresse määramine KILP inosüsteemis</t>
  </si>
  <si>
    <t>KILP kaudu on võimalik määrata tagaotsitavaid seiresse.</t>
  </si>
  <si>
    <t>APOLLO vahendusel ei ole võimalik vastu võtta rohkem kui  üks sündmuse asukoht, mis piirab patrullide operatiivtegevuse juhtimist ja lahendamist.</t>
  </si>
  <si>
    <t>KILP ja APOLLO vahel asukohtade andmestiku vahetamine</t>
  </si>
  <si>
    <t>APOLLO oskab vastu võtta lisaks sündmuse sasukohale muid asukohti, neid näha ja muuta nende andmeid.</t>
  </si>
  <si>
    <t xml:space="preserve">Relva ja relvaloa omamise õiguse kohta info puudus pärsib sündmuste lahendamist ja operatiivset ohuhinnangu tegemist. </t>
  </si>
  <si>
    <t>KILP päringud relvaloaregistrisse</t>
  </si>
  <si>
    <t xml:space="preserve">KILPis on võimekus kontrollida isiku relva ja relvaloa oelmasolu. </t>
  </si>
  <si>
    <t xml:space="preserve">Kasutajate pratikast tulenevalt on leitud võimalusi, kus digitaalsed lahendused võimaldavad optimeerida ressursihalduse protsesse. Mitmed tööriistad on puudu, mis on ilmnenud kasutajate pratikast ja mida ei olnud võimalik ette näha. </t>
  </si>
  <si>
    <t>Ressursside haldamise jätkuarendused</t>
  </si>
  <si>
    <t>Tulemus 2026: põhiülesannete haldus on klassifikaatori põhine.
Tulemus 2027: planeerimise protsessi ca 14 funktsionaalsust on kiiremad (luuakse tööriistada olemasolevate funktsionaalsuste optimeerimiseks). Loodud on erinevad täiendavad filtrid. Teavituste halduse funktsionaalsus on täiendatud uute võimalustega. Muudatused aitavad erinevates funktsionaalsustes ametnikel aega kokku hoida.</t>
  </si>
  <si>
    <t xml:space="preserve">Videoseire pilt ja KILP sündmuse asukoha info on erinevates infosüsteemides. Ametnkud peavad lisaaega kulutama andmete kokku viimisele ja süsteemis olevate piltide kuvamiseks. PPA-l on kasutada tuhandeid kaameraid avaliku korrra tagamisel. </t>
  </si>
  <si>
    <t>KILP liidestamine videoseire süsteemiga</t>
  </si>
  <si>
    <t xml:space="preserve">Tulemus  2024: I etapp: tehtud analüüs ja alustatud arendustöödega.
Tulemus 2025: II etapp:  KILPi registreeritud juhtumi asukoha põhjal saab videoseiresüsteemist juhtumi asukoha lähimate kaamerate vaated. Videoseire süsteemis operaator saab KILPi luua juhtumi seiretehnika asukoha põhiselt. 
</t>
  </si>
  <si>
    <t>PPA operatiivresurside väljapaneku ja taktikalise juhtimise funktsionaalsuste  jätkusuutlikkus ei ole tagatud. Osaline rahastus olemas 2026 lõpuni. SMIT KILP meeskonnal puudub baasrahastus.</t>
  </si>
  <si>
    <t>KILP jätkusuutlikkuse tagamine PPA operatiivressursside väljapanekul ja sündmuste taktikalisel juhtimisel</t>
  </si>
  <si>
    <t>KILP funktsionaalsuste jätkusuutlikkus on tagatud. KILP uued väikearendused on ellu viidud.
Kulud sisaldavad: SMIT meeskonna personalikulu ja majanduskulu sh koolitus ning PPA projektijuhi (SF arenduste rakendamiseks) palgakulu ja majandukulu koos maksudega.</t>
  </si>
  <si>
    <t>2. Tegevus on jätkusuutlikkuse kulu</t>
  </si>
  <si>
    <t>Jätkusuutlikkuse kulu ridadele 89, 90, 92-97</t>
  </si>
  <si>
    <t>Baasi korrastamine, küberturvalisus</t>
  </si>
  <si>
    <t>Häirekeskus</t>
  </si>
  <si>
    <t>Liisa Soosuu</t>
  </si>
  <si>
    <t>Hädaabiteadete vastuvõtmise ja töötlemise teenus</t>
  </si>
  <si>
    <t>SOS2 on nii moraalselt kui ka tehnoloogiliselt vananenud (kriitiliste intsidentide kui ka muude rikete arv on tõusuteel)  ning selle edasi arendamine ja sinna uute funktsionaalsuste arendamine ei ole enam võimalik.</t>
  </si>
  <si>
    <t>Häirekeskus SF Uue põlvkonna hädaabiteadete menetlemise infosüsteemi (HKSOS) päästekorraldaja töövoo realiseerimiseks</t>
  </si>
  <si>
    <t>Päästekorraldaja: 2026-2028 (kokku 1,85 milj): On valminud ja kasutusele võetud kaasaegsel tehnoloogial põhinev HKSOS päästekorraldaja töövoogude kasutajaliides. Kasutusele on võetud kaasaegsem tehnoloogia, kõrgem töökindlus ja kasutajate rahulolu on kasvanud ning on võimalik osutada kiiremat abi. 2026: Päästekorraldaja töövoo etapp I (SF 462 500 € KM-ta)
2027: Päästekorraldaja töövoo etapp II (SF 925 000 € KM-ta)
2028: Päästekorraldaja töövoo etapp III (SF 462 500 € KM-ta)</t>
  </si>
  <si>
    <t>Slaidid 44-46, lisavajaduskaart</t>
  </si>
  <si>
    <t>Jah, arhitektuuripaneeli 2026.a.</t>
  </si>
  <si>
    <t>4. Tegevus, mis vajab jätkusuutlikkuse kulusid, aga neid pole välja arvutatud ja eraldi real välja toodud</t>
  </si>
  <si>
    <t>Häirekeskus SF Uue põlvkonna hädaabiteadete menetlemise infosüsteemi (HKSOS) logistiku töövoo realiseerimiseks</t>
  </si>
  <si>
    <t xml:space="preserve">2024-2026 (kokku 1,5 milj): On valminud ja kasutusele võetud kaasaegsel tehnoloogial põhinev HKSOS logistiku töövoogude kasutajaliides. Kasutusele on võetud kaasaegsem tehnoloogia, kõrgem töökindlus ja kasutajate rahulolu on kasvanud ning on võimalik osutada kiiremat abi. 2024-2025: Logistiku töövoog etapp I ( SF 393 750 € KM-ta) 2025-2026: Logistiku töövoog etapp II ( SF 787 500 € KM-ta)
2026: Logistiku töövoog etapp III ( SF 318 750 € KM-ta)
</t>
  </si>
  <si>
    <t>Vajalik arhitektuuripaneel 2024.a.</t>
  </si>
  <si>
    <t>EU Ligipääsetavused direktiivi rakendamine aastaks 2025</t>
  </si>
  <si>
    <t>Ligipääsetavuse direktiivi rakendamise analüüs</t>
  </si>
  <si>
    <t>Analüüsitud on seadusega tulenevate kohustuste täitmine ja ligipääsetavuse võimaluste laienemine Ligipääsetavuse direktiivi rakendamiseks:
2024: Videokõne ja RTT võimekus uues kõnesides analüüs (RK 250 000 €  KM-ta, partner CGI)
2024-2025: Videokõne ja RTT võimekus uues kõnesides arendus (baas rahad)
2025: PEMEA võimekus 112 teenuses analüüs (RK  500 000 € KM-ta)
2025-2027: PEMEA võimekus 112 teenuses arendus ( rahastus planeerimata)</t>
  </si>
  <si>
    <t>Uue põlvkonna hädaabiteadete menetlemise infosüsteemi (SOS3) realiseerimine</t>
  </si>
  <si>
    <t xml:space="preserve">Tagatud on jätkusuutlikus HKSOS arendamisele (sh. logistiku ja päästekorraldaja töövood). Kogu taotletav ressurss (2 arendajat (front- ja back-end), devOps insener ja süsteemianalüütik) on vajalik infosüsteemide arenduseks, mis toetavad 112 teenust. </t>
  </si>
  <si>
    <t>Vajalike ametikohtade arvestuse aluseks on Fontese IKT sektori  tööperede kataloog, täpsem kalkulatsioon on sheedil Personal, read 151-154. Kalkulatsioon on välja toodud ka HäK 2024. aasta LVK'l. Kalkulatsiooni pole lisatud palgatõusu, aga peaks olema, sest palgatasemed on maha jäänud ja 2025. aastal on juba kindlat vaja personali hoidmiseks tõsta.</t>
  </si>
  <si>
    <t>Kriisideks valmisolek</t>
  </si>
  <si>
    <t>Kalle Kalmberg</t>
  </si>
  <si>
    <t>Kriisireguleerimispoliitika kujundamine</t>
  </si>
  <si>
    <t>Kriisiaegse infovahetusplatvormi SitRep keskkonna arendamine . 2923 ja 2024 rahastus on tagatud lisaeelarvest (kriisideks valmisolek).</t>
  </si>
  <si>
    <t>2023 ja 2024 tagatakse ärikriitiline teenus- dubleeritud mitmesse andmekeskusesse, läbi on viidud on turvatestid, andmete säilitamine ja arhiveerimine on viidud äripoole nõuetele vastavaks. 2023: Loodud on ühistööriist (collaboration-tool) võimaldades mitmel kasutajal sama aegselt infosisestust. Selle tulemusel on loobutud litsentsitootest. Võimalik erinevatest keskkondadest tuua live kaardipilti (nt elektrikatkestuste kaart, Tarktee, Ilmahoiatused)
Objektiotsingu lisamine.</t>
  </si>
  <si>
    <t>0 - Ei taotle SF rahastust</t>
  </si>
  <si>
    <t>II: küberruumi hoidmine, arendamine ja juurutamine usaldusväärse ja turvalisena</t>
  </si>
  <si>
    <t>SitRep baasrahastuse suurendamine</t>
  </si>
  <si>
    <t>Tagatud on SitRep keskkonna toetamiseks vajaminev ressurss SMITis ja teenuse taseme tõstmine ärikriitilisiseks.</t>
  </si>
  <si>
    <t>1 - Ei taotle SF rahastust</t>
  </si>
  <si>
    <t>6. Mittesõjalised riigikaitselised IKT vajadused.</t>
  </si>
  <si>
    <t>Kriisiaegse infovahetusplatvormi SitRep keskkonna arendamine</t>
  </si>
  <si>
    <t>2 - Ei taotle SF rahastust</t>
  </si>
  <si>
    <t>Ränne ja identiteet</t>
  </si>
  <si>
    <t>Triin Lõhmus</t>
  </si>
  <si>
    <t>Migratsioonijärelevalve teenus</t>
  </si>
  <si>
    <t>Migratsioonijärelevalve andmekogu MIGIS II etapi arendused</t>
  </si>
  <si>
    <t>0 - ei taotle uut rahastust</t>
  </si>
  <si>
    <t>Maksu- ja Tolliamet, RMIT</t>
  </si>
  <si>
    <t>Liis Valk</t>
  </si>
  <si>
    <t>Õigusliku staatuse määramise teenus</t>
  </si>
  <si>
    <t>RIS II etapp 2.osa: MTA liidestus, arendused</t>
  </si>
  <si>
    <t xml:space="preserve">MTA arendused, et liidestuda RIS-iga ja toimiks andmevahetus. Tulemus: sündmusteenus: andmed regitreeritakse ühes kohas </t>
  </si>
  <si>
    <t>Slaid 47-50, lisavajaduskaart</t>
  </si>
  <si>
    <t xml:space="preserve">Arhitektuuripaneelis kinnitatud 2022.a. </t>
  </si>
  <si>
    <t>RIS: TI arendused</t>
  </si>
  <si>
    <t>TI arendused, et liidestuda RIS-iga ja toimiks andmevahetus.</t>
  </si>
  <si>
    <t>RIS II etapp 2.osa RIS liidestus MTA ja Tiga (PPA poolne osa)</t>
  </si>
  <si>
    <t>Arhitektuuripaneelis kinnitatud</t>
  </si>
  <si>
    <t>RIS III etapp 1. ja 2. osa (elamisloa taotluste iseteeninduskeskkond, elamisloa menetleja töölaud, elamislubade menetluskeskkond) ning IV etapp (konsultatsioonimenetlused)</t>
  </si>
  <si>
    <t>1. Personaalne riik;  2.. AI ja andmed, 3. õigusaktidest tulenevad vajadused</t>
  </si>
  <si>
    <t>Turvaline elukeskkond</t>
  </si>
  <si>
    <t>Anneli Annist/ Ave Tuuling</t>
  </si>
  <si>
    <t>piirkonnapolitseitöö teenus ning tegevus- ja relvalubade väljaandmise teenus.</t>
  </si>
  <si>
    <t>Loodud ja kasutusel on uus relvaregister, millele lisatakse järk-järgult funtsionaalsusi. Hetkel ei ole piirkonnapolitseinikul võimalik relva hoiutingimuste kontrolli kohapeal kanda relvregistrisse läbi kaasaskantava APOLLO tahvli.</t>
  </si>
  <si>
    <t>Relvaregistri arenduste V etapp</t>
  </si>
  <si>
    <t xml:space="preserve">APOLLOs ja relvaregstris on vaja arendatud hoiutingimuste kontrolli tööülesande edastamine ja vastuvõtmine ning tööülesannete täitmine APOLLOs, mis võimaldavad kontrolle teostatavatel ametnikel tööülesandeid antud keskkondade vahel edukalt edastada, vastu võtta ning täita vajalikke kontrolliga seotud dokumente. </t>
  </si>
  <si>
    <t>Slaid 56, lisavajaduskaart</t>
  </si>
  <si>
    <t xml:space="preserve">Ei ole arhitektuuripaneelis käinud, täpsustame vajaduse M. Tapuperaga </t>
  </si>
  <si>
    <t>2.4. Uudsete sisu- ja äriteenuste arendus</t>
  </si>
  <si>
    <t>tegevus- ja relvalubade väljaandmise teenus.</t>
  </si>
  <si>
    <t>Relvaraamatud on paberkandjal ning puudub võimekus andmeid digitaalselt sisestada ja nende üle järelevalvet teostada. Relvaraamatute paberkandjal väljastamine lõpeb 31.12.2024 (relvaseaduse muudatus jõustub 31.12.2024)</t>
  </si>
  <si>
    <t>Relvaregistri arenduste VI etapp</t>
  </si>
  <si>
    <t>juriidiliste isikute relvaraamatud on digitaliseeritud</t>
  </si>
  <si>
    <t xml:space="preserve"> tegevus- ja relvalubade väljaandmise teenus.</t>
  </si>
  <si>
    <t>Dokumendid on paberkandjal ning nende üle arvestuse pidamine on excelis, puudub digitaalne võimekus neid relvaregistrisse sisestada ja neid väljastada.</t>
  </si>
  <si>
    <t>Relvaregistri arenduste VII etapp</t>
  </si>
  <si>
    <t>Seadusest tulenevate markeerimise nõuete digitaliseerimine ja relvade piiriülese liikumisega seotud dokumentide loomine ja nende alusel arvestuse pidamine</t>
  </si>
  <si>
    <t>Ave Tuuling</t>
  </si>
  <si>
    <t>Olemasoleva meeskonnaga ei ole võimalik teostada vajalikke arendusi, mis on tekkinud projektide vahel, kuid on olulised relvaregistri uudsuse tagamiseks ja jäävad välja planeeritud arendusprojektide skoopidest/teemadest.</t>
  </si>
  <si>
    <t>Relvaregistri baasrahastuse suurendamine</t>
  </si>
  <si>
    <t xml:space="preserve">RE rahastuse saamisel teostatud vajalikud arendused, mis on jäänud senistest projektidest välja (kasutajatelt uue registri kasutamisel tekkinud arendusvajadused, tehnilise võla vähendamine jms). </t>
  </si>
  <si>
    <t>3- Õigusaktidest tulenevad vajadused</t>
  </si>
  <si>
    <t>SMIT, PPA, PÄA, HÄK</t>
  </si>
  <si>
    <t>Ilona Peenemaa</t>
  </si>
  <si>
    <t>Vabatahtlikuks saamine on keeruline ja bürokraatlik. Vabatahtlike ning kaasajate vaheline infovahetus on aeglane ja dubleeriv. Protsessi kulg võib erineda, sõltuvalt koordineerijast ja piirkonnast. Praegused IT lahendused on killustunud. IT meeskod puudub.</t>
  </si>
  <si>
    <t>Vabatahtlike infosüsteemi VAPO arendamine</t>
  </si>
  <si>
    <t xml:space="preserve">Eest.ee keskkonda on loodud vabatahtlke teenuse toetamiseks vähemalt üks sündmusteenus
Vabatahtlike teenus on toetatud kaasaegse infosüsteemiga
Vabatahtlike maine kasv sh vabatahtlike arvu kasv on toetatud 
Võimalik tuua juurde ka teisi vabatahtlike liike,
Vabatahtlike kaasumine on toetatud ja arvestab erinevate kaasamisvõimalustega asendustegevustesse- lühiajalisesse ja ka pikaajalistesse kaasamistegevustesse sh kriisidesse
On kasutatav mobiilis - paljud VAPO kasutusjuhud on vabatahtlike jaoks operatiivsed.
 - Tagatud on ühekordne andmesisestus-x-tee liidestused süsteemidega, mis pärivad andmeid teistest süsteemidest
- Funktsionaalsused on taas- ja ristkasutatud 
VAPO vahendab infot asutuste süsteemide vahel 
- VAPO andmebaasis hoitakse ainult  unikaalseid andmed, mida teistes süsteemides ei salvestata või pole võimalik pärida; </t>
  </si>
  <si>
    <t>Slaidid 51-55, lisavajaduskaart</t>
  </si>
  <si>
    <t>Äripaneelis käinud, vajalik arhitektuuripaneel 2025.a.</t>
  </si>
  <si>
    <t>Vabatahtlike platvormi VAPO IT meeskonna komplekteerimine</t>
  </si>
  <si>
    <t>Tagatud on VAPO jätkusuutlikkus ja haldamine.
- SIM teenusejuht (projektijuht) 78 626
- SMIT tooteomanik
- SMIT arhitekt
- SMIT süsteemiadministraator
- SMIT süsteemianalüütik</t>
  </si>
  <si>
    <t>1. Personaalne riik, 2 AI ja andmed, 5. Mittesõjalised riigikaitselised IKT vajadused</t>
  </si>
  <si>
    <t>Baaseelarve</t>
  </si>
  <si>
    <t>NB! Juurde tulnud read on valemitest puudu, so 139 tuleb asendada 147</t>
  </si>
  <si>
    <t>1. Baaseelarve tegevus, mis sisaldab jätkusuutlikkuse kulusid ja need on samal real välja toodud</t>
  </si>
  <si>
    <t>II: Ühenduvus</t>
  </si>
  <si>
    <t>1.1.2. Krativäeline riik</t>
  </si>
  <si>
    <t>+km</t>
  </si>
  <si>
    <t>2. Tegevus on jätkusuutlikkuse kulu (baaseelarve, RES lisataotlus, muu allikas)</t>
  </si>
  <si>
    <t>III: teadlikkuse tõstmine</t>
  </si>
  <si>
    <t>3. SF tegevus, mis vajab jätkusuutlikkuse kulusid ja need on eraldi real välja toodud</t>
  </si>
  <si>
    <t>1.1.4. Roheline digiriik</t>
  </si>
  <si>
    <t>Reserv (SR)</t>
  </si>
  <si>
    <t>SF 14-20 (töös olev projekt)</t>
  </si>
  <si>
    <t>3. teadlikkuse tõstmine</t>
  </si>
  <si>
    <t>1.2.5. Uute lähenemisviiside pidev katsetamine</t>
  </si>
  <si>
    <t>1.2.6. Avatud innovatsioon ja digiriigi kogukonna arendamine</t>
  </si>
  <si>
    <t>1.2.8. Sihitud väliskoostöö</t>
  </si>
  <si>
    <t>2.1. Ajakohane ja ettevaatav õigusruum</t>
  </si>
  <si>
    <t>2.2. Juurdepääsuvõrkude väljaarendamine</t>
  </si>
  <si>
    <t>2.3. 5G- ja 6G-baastaristu arendamine</t>
  </si>
  <si>
    <t>Olemasolevad vahendid</t>
  </si>
  <si>
    <t>3.1. Ajakohane küberturvalisuse riiklik korraldus</t>
  </si>
  <si>
    <t>3.2. Suundumiste, riskide ja mõjude analüüsivõime</t>
  </si>
  <si>
    <t>3.3. Suurem küberturvalisuse tagamise võimekus</t>
  </si>
  <si>
    <t>Valdkonna digipööre</t>
  </si>
  <si>
    <t>Kokku</t>
  </si>
  <si>
    <t>Puudu olev jätkusuutlikkuse RES rahastus</t>
  </si>
  <si>
    <t>Algtase</t>
  </si>
  <si>
    <t>Lõpptase</t>
  </si>
  <si>
    <t>Lõpptase 2030</t>
  </si>
  <si>
    <t>Panustab arengukava suundadesse</t>
  </si>
  <si>
    <t>Meetme toetatavad tegevused</t>
  </si>
  <si>
    <t>Algatuse nimi</t>
  </si>
  <si>
    <t>2023 eelarve</t>
  </si>
  <si>
    <t>Kalkulatsioon ja allika põhjendus</t>
  </si>
  <si>
    <t>Jätkusuutlikkuse kulu</t>
  </si>
  <si>
    <t>Filter</t>
  </si>
  <si>
    <t>2023 eelarve täitmine</t>
  </si>
  <si>
    <t>2023 täitmise aruanne / sisu kirjeldus / põhjendused</t>
  </si>
  <si>
    <t>Täita kõikide ridade puhul.
Kui mitme aastane tegevus/projekt, siis kirjutada välja vähemalt 2023. aasta tulemus ja lõpptulemus.</t>
  </si>
  <si>
    <t>Anda hinnang, kas on vajadus äri-, andmete-, arhitektuuri-, või muu paneeli järele</t>
  </si>
  <si>
    <t>Seireküsimused (SF tegevustele):
1. Mis sai 2023. aastal tehtud?
2. Mis jäi 2023. aastal tegemata? Miks jäi tegemata?
3. Kas tegemata jäänud tegevus jäetaksegi tegemata, või lükkub edasi järgmisse perioodi?
4. Mis oli paneeli (andme-, äri, arhitektuuri-) tagasiside ja kas paneeli nõuded on täidetud?
5. Mis ettevalmistavaid tegevusi tehti 2023. aastal 2024, või hiljem algavate algatuste/tegevuste tarvis?
6. Mida on jõutud teha 2024. aasta alguses?</t>
  </si>
  <si>
    <t>NUTIKAS RAHVAARVESTUS</t>
  </si>
  <si>
    <t>2023.a ei olnud rahastusotsust, mistõttu tegevusega ei olnud võimalik alustada. Värbamine on käimas.</t>
  </si>
  <si>
    <t xml:space="preserve">2023.a ei olnud rahastusotsust, mistõttu tegevusega ei olnud võimalik alustada. 2024: raamhange on välja kuulutatud, toimub pakkumiste hindamine. Raamhange on esitatud RTK-le nõustamise raames eelkontrolli. </t>
  </si>
  <si>
    <t>SF Rahvastikuregistri päringute logimise lahenduse uuele platvormile viimine</t>
  </si>
  <si>
    <t>Hange läbi viidud, tegevustega alustatud märtsis 2024.</t>
  </si>
  <si>
    <t>Rahvastikuregistri igas rakenduses on oma kasutajate haldus ja puudub keskne lahendus õiguste haldamiseks (sh KOVid).</t>
  </si>
  <si>
    <t>Loodud on keskne kasutajate haldussüsteem.</t>
  </si>
  <si>
    <t xml:space="preserve">Tegevus planeeritud 2025. aastasse, rahastusotsust ei ole. </t>
  </si>
  <si>
    <t xml:space="preserve">Viiakse ellu teise projekti raames, eraldi tegevusena ei ole enam planeeritud. </t>
  </si>
  <si>
    <t xml:space="preserve">2023.a ei olnud rahastusotsust, mistõttu tegevusega ei olnud võimalik alustada. Rahastatud riigiülesest SFist, rahastust on oluliselt vähendatud. Hetkel ootel: ootame koostöölepingut MKMist, hange ettevalmistamisel. </t>
  </si>
  <si>
    <t xml:space="preserve">abielu sündmusteenuses puudub broneerimisvõimalus. </t>
  </si>
  <si>
    <t>RRF Sündmusteenuste broneerimissüsteem</t>
  </si>
  <si>
    <t>Sündmusteenustele on loodud broneerimisvõimalus</t>
  </si>
  <si>
    <t>RRFi projekt, tegevused on töös, seiratakse RRFi kaudu.</t>
  </si>
  <si>
    <t>Analüüs läbi viidud.</t>
  </si>
  <si>
    <t xml:space="preserve">2024: Apollos saab digitaalselt sisestada joobes kainenema toimetamise protokolli ja KrM alusel isikute kinnipidamise protokolli. 2025: Vastavalt süüteomenetluse digitaliseerimise ajakavale digitaliseeritakse järgnevad VTM toimingud koostöös VTM-ga sh VTMs, Kors alusel isikute kinnipidamise protokolle (Apollos avatakse toimingud läbi VTM lahenduse). </t>
  </si>
  <si>
    <t>Arvestatud on olemasolevas raamlepingus toodud hindadega: analüütik 43+km, arendaja 48+km ja testija 38+km</t>
  </si>
  <si>
    <t>2023.a ei olnud rahastusotsust, mistõttu tegevusega ei olnud võimalik alustada. Raamhange läbi viidud ning RTK poolt heaks kiidetud. Minikonkurss ettevalmistamisel.</t>
  </si>
  <si>
    <t>2023.a. eraldati toetus SIM reservist, millest kaeti 2023.a. vajadus. Hange läbiviidud,  tarneaeg juuni 2024.</t>
  </si>
  <si>
    <t>2024:  VTM analüüsi teostamiseks on olemas partner, kellega on kokkulepitud tegevuskava. On sõlmitud kokkulepped huvitatud osapooltega projektis osalemise osas. Koostatud on kontseptsioon, teostatud on nõuete kaardistus ja kirjeldus uuest riigi ülese võimekusega väärteo rakendusest. </t>
  </si>
  <si>
    <t>2023.a ei olnud rahastusotsust, mistõttu tegevusega ei olnud võimalik alustada. Raamhange läbi viidud ning RTK poolt heaks kiidetud. Hange ettevalmistamisel.</t>
  </si>
  <si>
    <t>Väärteomenetluse rakenduse arenduse I ja II etapp</t>
  </si>
  <si>
    <t xml:space="preserve">2024: On olemas baasfunktsionaaluse detailanalüüsi ja arenduse teostamise partner ning kokkulepitud tegevuskava. 2025: Läbi on viidud baasfunktsionaalsuse detailanalüüs ja vastavalt sellele on realiseeritud väärteomenetluse baasfunktsionaalsus, sh on võimalik alustada VTMi juhtumite lahendusest. On olemas liidestus töölauaga ja E-Toimikuga. </t>
  </si>
  <si>
    <t>Väärteomenetluse rakenduse III, IV ja V etapp</t>
  </si>
  <si>
    <t>2026: Väärteomenetlust saab läbi viia digitaalselt. 2027: Tagatud on kõikidele väärteomenetlust läbiviivatele asutustele uus väärteorakenduse kasutamine. </t>
  </si>
  <si>
    <t>2024: Koostatud on ärianalüüs, mis arvestab ka haldustoimingutega väärteomenetluses ja kriminaalmenetluses ning nende kasutamisega riigiüleses VTM teenuses ja E-toimikus. On kirjeldatud Politsei haldusmenetluse läbiviimise nõuded. Uus haldusmenetluse rakendus toetab digitaalsele süüteomenetlusele üleminekut.</t>
  </si>
  <si>
    <t>Haldusmenetluse arendus I-III etapp</t>
  </si>
  <si>
    <t>Politsei haldusmenetlust saab läbi viia digitaalselt, politsei haldustoiminguid saab lisada VTM ja KrM koosseisu, mis võimaldab VTM ja KrM läbi viia digitaalselt</t>
  </si>
  <si>
    <t xml:space="preserve">Nõuete haldus (analüüs) (RaMi plaani) </t>
  </si>
  <si>
    <t>PPAl on soov kasutusele võtta väärteomenetluses EMTA nõuete halduse keskkond ning on loodud alused, et teised asutused, kes kasutavad VTM rakendust saavad sama teha. EMTA nõuete halduse lahendusele tuleb teha analüüs, mida veab EMTA (ootab VV otsust). PPA poolne projekti eesmärk on 2025 integreerida EMTA lahendus PPA lahendustega. Tulemus 2024.a: valminud on nõuete halduse konsolideerimise analüüs või kui VV ei ole teinud vastavat otsust teostatakse nõuete halduse detailanalüüs ainult loodava VTM vaatest.</t>
  </si>
  <si>
    <t xml:space="preserve">2025-2026: PPA ja EMTA lahendused on integreeritud või on loodud esmane lahendus VTM nõuete halduseks. </t>
  </si>
  <si>
    <t>MISX juhtumite lahenduse II etapp ja MISX töölaua arenduse II etapp</t>
  </si>
  <si>
    <t>2024: Teostatud on juhtumite lahenduse II etapp. Lisatud on juhtumile objektide (sõiduki) lisamisel seos objektide registriga (teostatakse Objektide registri projekti raames vastavalt selle projekti ajakavale), kaardirakenduse seos ja teostatud on vastavalt kasutajate tagasisidele kogutud olulisemad parendused.
Täiendatud on töölaual olevate objektide vaateid (seos objektide registriga luuakse objektide projektis), juurde on loodud PPA tööks vajalike teenuseid (x-tee teenused teistesse registritesse). Teostatud on kasutajate tagasiside põhjal olulisemad arendused. Töölaud on integreeritud päringukeskusega. </t>
  </si>
  <si>
    <t>Hoiatusmenetluse infosüsteem (HIS) I etapp</t>
  </si>
  <si>
    <t>2024:Leitud on partner I etapi detailanalüüsi ja arendustöödeks. Kokku on lepitud I etapi ajakava.  Teostatud on I etapi detailanalüüs ning alustatud I etapi arendustega - võimekus liidestada süsteemiga erinevat tüüpi ja tootjate tehnoloogilisi vahendeid;</t>
  </si>
  <si>
    <t>Hoiatusmenetluse infosüsteem (HIS) II etapp</t>
  </si>
  <si>
    <t>2025: HISis on viidud uuele tehnilisele lahendusele menetluse läbi viimiseks vajalikud baastoimingud (andmete valideerimine, komplekspäringud, trahviteate genereerimine, allkirjastamine ja välja saatmine). Uute funktsionaalsuste ja täiendava automatiseerituse tulemusel kiireneb menetlusprotsess tervikuna ning väheneb inimressursi kulu</t>
  </si>
  <si>
    <t>Hoiatusmenetluse infosüsteemi (HIS) III -IV etapp</t>
  </si>
  <si>
    <t>2025: Integreeritud uue väärteomenetluse rakendusega (üldmenetlus), uuele tehnilisele lahendusele on viidud HISi ränga rikkumisega seotud protsessid ning täiendatud kasutajaportaal.</t>
  </si>
  <si>
    <t>2024: On teostatud detailanalüüs ja arendatud baasfunktsionaalsus - saab lisada siseriikliku sõiduki seiret ning on loodud esmased teenused partneritele. 2025 teostatakse arendused vastavalt 2023-2024 teostatud detailanalüüsile. Rahastus plaanis ISFist</t>
  </si>
  <si>
    <t>Rahastus planeeritud Sisejulgeoleku Fondist. Hange ettevalmistamisel .Arendustega planeeritud alustada juunis 2024.</t>
  </si>
  <si>
    <t>Planeeritud alustada 2025.</t>
  </si>
  <si>
    <t xml:space="preserve">RESist lisarahastust ei ole saadud. </t>
  </si>
  <si>
    <t xml:space="preserve">2023 tulemus: Teostatud detailanalüüs 2024 arendustöödeks. Infras on tellitud keskkonnad (dev, test ja live).
2024 Lõpptulemus: KILP käideldavuse tase vastab K3 nõuetele. Turvatestimin eon läbi viidud.
</t>
  </si>
  <si>
    <t>2023.a ei olnud rahastusotsust, mistõttu tegevusega ei olnud võimalik alustada. 2024.a. raamhange läbi viidud, RTK eelhindamisel. Minikonkurss ettevalmistamisel.</t>
  </si>
  <si>
    <t>2023 valmib: KILP ja SOS on liidestatud nii, et sündmuse lahendamisele kaasatud ressurssidel on ülevaade sündmuskohal toimuvast ja kaasatud ressurssidest.
2024 valmib: KILP elupäästvale sündmusele alarmeeritakse lähim vaaba ressurss automaatselt.  KILP rakenduses saab patrullidele anda väljasõidukorraldusi kaardikuvalt. KILPis on erinevate operatiivaruannete genereerimise ja haldamise võimekus. SOSist tuleva juhtumiandmete täiendamine kõne andmetega koos positsioneerimisandmetega. Oluorra eelinfot saab edastada digittalselt teenistuslehele ja juhtumi juurde.</t>
  </si>
  <si>
    <t>Projektijuht on värvatud 0.5 ametikohaga</t>
  </si>
  <si>
    <t xml:space="preserve">2023.a ei olnud rahastusotsust, mistõttu projektidega ei olnud võimalik alustada. Olemas projektijuht, kellele osaliselt tasutakse SFist. </t>
  </si>
  <si>
    <t>a) KILP ja TOPLIS on liidestatud ja reageeriva ressursi planeeritud tööaeg jms jõuab KILPi ja tegelik tööaeg jõuab automaatselt uude tööaja arvestuse infosüsteemi. 
b) Uus geoteenusega liidestus tagab jätkuvalt kaardil sündmuste ja ressursside haldamise sh positsioneerimise. 
c) KILP ja varahaldussüsteemi on liidestatud (sõidukid, varad, relvad).</t>
  </si>
  <si>
    <t>Tulemus 2024: põhiülesannete haldus on klassifikaatori põhine.
Tulemus 2025: planeerimise protsessi ca 14 funktsionaalsust on kiiremad (luuakse tööriistada olemasolevate funktsionaalsuste optimeerimiseks). Loodud on erinevad täiendavad filtrid. Teavituste halduse funktsionaalsus on täiendatud uute võimalustega. Muudatused aitavad erinevates funktsionaalsustes ametnikel aega kokku hoida.</t>
  </si>
  <si>
    <t>Häirekeskus SF Uue põlvkonna hädaabiteadete menetlemise infosüsteemi (SOS3) II etapi päästekorraldaja töövoo realiseerimiseks</t>
  </si>
  <si>
    <t>2026-2028 (kokku 1,85 milj): On valminud ja kasutusele võetud kaasaegsel tehnoloogial põhinev SOS3 päästekorraldaja töövoogude kasutajaliides. Kasutusele on võetud kaasaegsem tehnoloogia, kasutajate rahulolu on kasvanud ning on võimalik osutada kiiremat abi. </t>
  </si>
  <si>
    <t>Häirekeskus SF Uue põlvkonna hädaabiteadete menetlemise infosüsteemi (SOS3) III etapi logistiku töövoo realiseerimiseks</t>
  </si>
  <si>
    <t>2024: lõpetame eeltööd, kinnitame arhitektuuri, korraldame hanke ja leiame sobiva partneri. Partner alustab LOG töövoo I osa töödega. 2025: I osa tulemi (ressursside juhtimine ja alrmeerimine) üleandmine ja jätkab II osa töödega. 2026: II osa tulemi (sündmuse andmed) üleandmine. On valminud ja kasutusele võetud kaasaegsel tehnoloogial põhinev SOS3 logistiku töövoogude kasutajaliides. Kasutusele on võetud kaasaegsem tehnoloogia, kasutajate rahulolu on kasvanud ning on võimalik osutada kiiremat abi. </t>
  </si>
  <si>
    <t>2023.a ei olnud rahastusotsust, mistõttu tegevusega ei olnud võimalik alustada. 2024.a. raamhange välja kuulutatud.</t>
  </si>
  <si>
    <t>Analüüsitud on seadusega tulenevate kohustuste täitmine ja ligipääsetavuse võimaluste laienemine aastaks 2025.</t>
  </si>
  <si>
    <t xml:space="preserve">Riigikantselei on läbi viinud hanke, partner leitud. </t>
  </si>
  <si>
    <t>Häirekeskus RES Uue põlvkonna hädaabiteadete menetlemise infosüsteemi (SOS3) realiseerimine</t>
  </si>
  <si>
    <t>Tagatud on jätkusuutlikus SOS3 arendamisele ja parendustele. Võimalus alustada võimendatult projektiga kohe kui RES rahastus on tagatud. Tagatud on SOS3 ülalhoid.</t>
  </si>
  <si>
    <t xml:space="preserve">RESis lisarahastust ei ole saanud, 2024.a. kaetud lühiajaliselt SIM reservist. </t>
  </si>
  <si>
    <t xml:space="preserve">Rahastatud lisaeelarvest (elanikkonna kaitse). Arendused töös. </t>
  </si>
  <si>
    <t>Rahastatud lisaeelarvest (elanikkonna kaitse).</t>
  </si>
  <si>
    <t xml:space="preserve">2023.a ei olnud rahastusotsust, mistõttu tegevusega ei olnud võimalik alustada. 2024. hange ettevalmistamisel. </t>
  </si>
  <si>
    <t xml:space="preserve">2023.a ei olnud rahastusotsust, mistõttu tegevusega ei olnud võimalik alustada. 2024: raamhange hindamisel, kas on abikõlbulik. </t>
  </si>
  <si>
    <t xml:space="preserve">Kuna teistel osapooltel ei olnud rahastust, siis ei ole võimalik olnud alustada. </t>
  </si>
  <si>
    <t xml:space="preserve">2023.a ei olnud rahastusotsust, mistõttu tegevusega ei olnud võimalik alustada. </t>
  </si>
  <si>
    <t xml:space="preserve">2023.a ei olnud rahastusotsust, mistõttu tegevusega ei olnud võimalik alustada. 2024: raamhange olemas, minikonkurss ettevalmistamisel. </t>
  </si>
  <si>
    <t xml:space="preserve">Planeeritud 2025.a. </t>
  </si>
  <si>
    <t>Seadusest tulenevate markeerimise nõuete digitaliseerimine ja relvade piiriülese liikumisega seotud dokumentide loomine</t>
  </si>
  <si>
    <t>Planeeritud 2026.a.</t>
  </si>
  <si>
    <t>Ei ole positiivset rahastusotsust.</t>
  </si>
  <si>
    <t>1. Tegevus sisaldab jätkusuutlikkuse kulusid ja need on samal real välja toodud.</t>
  </si>
  <si>
    <t>Siseministeeriumi valdkondlik digipööre</t>
  </si>
  <si>
    <t>Panus Eesti 2035 näitajatesse: Sooline võrdõiguslikkus, hoolivus ja koostöömeelsus, ligipääsevatus, KOV rahulolu teenusega</t>
  </si>
  <si>
    <t>Seos DA 2030 arengukavaga -peab olema välja toodud DA 2030 rahulolu mõõdik ning metoodika, kuidas parim kasutajakogemus saavutatakse.</t>
  </si>
  <si>
    <t xml:space="preserve">Seos vastava valdkonna arengukavaga </t>
  </si>
  <si>
    <t>Tegevuse seos rakenduskava poliitikaeesmärk 1 „Nutikam Eesti“ erieesmärgi „digitaliseerimisest kasu toomine kodanike, ettevõtjate, teadusasutuste ja avaliku sektori asutuste jaoks"  kasusaajaga</t>
  </si>
  <si>
    <t>Tegevuse põhjendatus - tegevus on seotud TAT eesmärkide ja tulemuste saavutamisega ning on läbinud koordineerija nõustamise kontroll-lehtede alusel</t>
  </si>
  <si>
    <t>Tegevuse kuluefektiivsus -tegevuse hinnastamisel on arvestatud parimaid praktikaid ja üldist tava (nt hangete raamlepingu hindasid, personalil Fontese uuringuid jms)</t>
  </si>
  <si>
    <t>Tegevuse elluviija suutlikkus tegevust ellu viia - arvestatud on elluviija või partneri varasemat kogemusi ja võimekust</t>
  </si>
  <si>
    <t>Elluviija: Siseministeerium</t>
  </si>
  <si>
    <t>x</t>
  </si>
  <si>
    <t>2. Küberruumi hoidmine, arendamine ja juurutamine usaldusväärse ja turvalisena</t>
  </si>
  <si>
    <t>3. Teadlikkuse tõstmine (teadlikkuse tõstmine punktides 3.1.1., 3.1.2. ja 3.1.4. nimetatud tegevuste osas, sealhulgas elluviija ja partnerite teadlikkuse tõstmine )</t>
  </si>
  <si>
    <t>4. Muu digipöördega seotud otsene kulu (valdkondliku digipöörde elluviimisega seotud tegevused)</t>
  </si>
  <si>
    <t>EELARVE KOKKU</t>
  </si>
  <si>
    <t>2023
algtase</t>
  </si>
  <si>
    <t>2024
sihttase</t>
  </si>
  <si>
    <t>2025
sihttase</t>
  </si>
  <si>
    <t>2026
sihttase</t>
  </si>
  <si>
    <t>2027
sihttase</t>
  </si>
  <si>
    <t>2028
sihttase</t>
  </si>
  <si>
    <t>2029
sihttase</t>
  </si>
  <si>
    <t>2030
lõpptase</t>
  </si>
  <si>
    <t>Valdkondliku digipöörde tegevuskava – Siselministeerium</t>
  </si>
  <si>
    <r>
      <t>Digipöörde eesmärk:</t>
    </r>
    <r>
      <rPr>
        <sz val="11"/>
        <color theme="1"/>
        <rFont val="Calibri"/>
        <family val="2"/>
        <charset val="186"/>
        <scheme val="minor"/>
      </rPr>
      <t> </t>
    </r>
  </si>
  <si>
    <t xml:space="preserve">Digipööre: 
Kaasaegse rahvastikuregistri väljaarendamine: 
•	Monoliitne ja taakvara lahendus jaotada väiksemateks ning selge ja kindla eesmärgiga rakendusteks/mooduliteks, mis võimaldavad paindlikumat muudatuste tegemist ning paremat teenuse (sündmusteenused, ilma ametniku sekkumiseta teenused (automatiseeritud teenused)) pakkumist kasutajatele. Tegevustega tõstetakse infosüsteemi käideldavust. 
•	Viia operatiivandmebaasidest välja failid ja logid, mis põhjustavad täna andmebaaside mahtude kiire kasvamise. Suuremahuliste andmebaaside varukoopiate tegemine ning vajadusel taastamised on ajamahukad. Tegevustega vähendame ohtu, et fataalsete rikete korral ei suudeta tagada andmekogu teenuste pakkumist vastavalt kokkulepetele. 
•	Pakutavate X-tee teenuste ülevaatamine nii struktuuri kui ka tarbijate vajaduste vaates - vajadused on muutunud, aga teenused mitte. Teada on, et täna kasutusel olevad osad x-tee teenused tagastavad liiasusega andmeid ehk ei lähtu tarbijate vajadustest. Tagada infosüsteemi andmete konfidentsiaalsus. 
•	Parendada ülevaadet rahvastikuregistri andmete kasutamise kohta, luues lahendusi, mis tagavad ja võimaldavad ülevaadet teostatud päringute kohta ning toimunud muudatuste kohta andmekogus, tagades nii parema andmete tervikluse. 
•	Parendada ja luua uusi võimalusi rahvastikuregistri infosüsteemis toimingute tegemiseks nii perekonnaseisuametnikele kui ka kodanikele. 
Rahvastikuregistri kvaliteetsete andmete kättesaadavus on tagatud tehnoloogiliselt võimekas ja turvalises keskkonnas.  
Uuendatud rahvastikuregister võimaldab inimestel säästa riigi ja kohaliku omavalitsusega asjaajamisel aega ning suurendab seeläbi rahulolu avalike teenustega, kättesaadavamad ja vastavad kasutajate vajadusele. 
Süüteomenetluse digitaliseerimine - Süüteomenetlust on võimalik viia täisdigitaalselt sh alustada patrulli poolt koha peal digitaalsete menetlustoimingutega (kasutades Apollo seadmeid), avaliku e-Toimiku kaudu on kõigile menetlusosalistele kättesaadav info digitaalselt. PPAs on kasutusel tänapäevastele tehnoloogiatele vastav juhtumite, menetluste ja seire lahendused. 
Kiire ja asjatundliku abi tagamine - KILP investeeringute eesmärk on luua asutuseülene elektrooniline terviklahendus reageeriva ressursi väljapanekuks, selle haldamiseks, tagada reaalajas ressursside ja sündmuste lahendamise taktikaline juhtimine ning terviklik ja operatiivne ülevaade olukorrast sisemaal ja välispiiril.  
Kriisiaegse infovahetusplatvormi SitRep keskkonna arendamine - Arendusprojektiga viiakse SitRepis läbi olulised uuendused, mis aitavad kaasa toimepidevusele, käideldavusele ja turvalisusele. Arendused lähtuvad kasutajate vajadustest. 
Rändemenetlus SF digipööre - luua ühtne iseteeninduskeskkond, mille kaudu on välismaalastel ja nende tööandjatel võimalik esitada riigiasutustele (PPA, MTA, TI) välismaalase Eestis elamise ja töötamisega seotud andmeid ja dokumente.  
Relvaregistri arendamine - Tõhustada relvaloa taotluse isiku järelevalvet ja täiendada menetluskeskkonna funktsionaalsusi </t>
  </si>
  <si>
    <r>
      <t>Digipöörde tegevuskava eesmärk:</t>
    </r>
    <r>
      <rPr>
        <sz val="11"/>
        <color theme="1"/>
        <rFont val="Calibri"/>
        <family val="2"/>
        <charset val="186"/>
        <scheme val="minor"/>
      </rPr>
      <t> </t>
    </r>
  </si>
  <si>
    <t xml:space="preserve">Siseministeeriumi valdkondliku digipöörde 2023-2024 maksumus ilma käibemaksuta: </t>
  </si>
  <si>
    <r>
      <t>Kokku</t>
    </r>
    <r>
      <rPr>
        <sz val="11"/>
        <rFont val="Calibri"/>
        <family val="2"/>
        <charset val="186"/>
        <scheme val="minor"/>
      </rPr>
      <t> </t>
    </r>
  </si>
  <si>
    <r>
      <t>2023</t>
    </r>
    <r>
      <rPr>
        <sz val="11"/>
        <rFont val="Calibri"/>
        <family val="2"/>
        <charset val="186"/>
        <scheme val="minor"/>
      </rPr>
      <t> </t>
    </r>
  </si>
  <si>
    <r>
      <t>2024</t>
    </r>
    <r>
      <rPr>
        <sz val="11"/>
        <rFont val="Calibri"/>
        <family val="2"/>
        <charset val="186"/>
        <scheme val="minor"/>
      </rPr>
      <t> </t>
    </r>
  </si>
  <si>
    <r>
      <t>Olemasolevad vahendid</t>
    </r>
    <r>
      <rPr>
        <sz val="11"/>
        <rFont val="Calibri"/>
        <family val="2"/>
        <charset val="186"/>
        <scheme val="minor"/>
      </rPr>
      <t> </t>
    </r>
  </si>
  <si>
    <r>
      <t>SF 2021-2027</t>
    </r>
    <r>
      <rPr>
        <sz val="11"/>
        <rFont val="Calibri"/>
        <family val="2"/>
        <charset val="186"/>
        <scheme val="minor"/>
      </rPr>
      <t> </t>
    </r>
  </si>
  <si>
    <r>
      <t>RES 2024-2027</t>
    </r>
    <r>
      <rPr>
        <sz val="11"/>
        <rFont val="Calibri"/>
        <family val="2"/>
        <charset val="186"/>
        <scheme val="minor"/>
      </rPr>
      <t> </t>
    </r>
  </si>
  <si>
    <t>Siseministeeriumi valdkondliku digipöörde2023-2025 SF 2021-2027 toetuse summa koos käibemaksuga</t>
  </si>
  <si>
    <r>
      <t>2025</t>
    </r>
    <r>
      <rPr>
        <sz val="11"/>
        <rFont val="Calibri"/>
        <family val="2"/>
        <charset val="186"/>
        <scheme val="minor"/>
      </rPr>
      <t> </t>
    </r>
  </si>
  <si>
    <t>Ministeerium (elluviija) /
partner</t>
  </si>
  <si>
    <t>Rahastuse allikas / meetme tegevus (SF)</t>
  </si>
  <si>
    <t>2023 kokku</t>
  </si>
  <si>
    <t>2024 kokku</t>
  </si>
  <si>
    <t>2025 kokku</t>
  </si>
  <si>
    <t>(EA konto)</t>
  </si>
  <si>
    <t>KOKKU</t>
  </si>
  <si>
    <t>Summa koos käibemaksuga:</t>
  </si>
  <si>
    <t>2023 eelarve täitmine (miljonits eurodes)</t>
  </si>
  <si>
    <r>
      <t>Liikide lõikes</t>
    </r>
    <r>
      <rPr>
        <sz val="10"/>
        <color rgb="FF040C0C"/>
        <rFont val="Calibri"/>
        <family val="2"/>
        <charset val="186"/>
        <scheme val="minor"/>
      </rPr>
      <t>​</t>
    </r>
  </si>
  <si>
    <t>Eelarve täitmine 31.12.2023</t>
  </si>
  <si>
    <r>
      <t>Eelarve</t>
    </r>
    <r>
      <rPr>
        <sz val="10"/>
        <color rgb="FF000000"/>
        <rFont val="Calibri"/>
        <family val="2"/>
        <charset val="186"/>
        <scheme val="minor"/>
      </rPr>
      <t>​</t>
    </r>
  </si>
  <si>
    <r>
      <t>Täitmine</t>
    </r>
    <r>
      <rPr>
        <sz val="10"/>
        <color rgb="FF000000"/>
        <rFont val="Calibri"/>
        <family val="2"/>
        <charset val="186"/>
        <scheme val="minor"/>
      </rPr>
      <t>​</t>
    </r>
  </si>
  <si>
    <r>
      <t>Jääk</t>
    </r>
    <r>
      <rPr>
        <sz val="10"/>
        <color rgb="FF000000"/>
        <rFont val="Calibri"/>
        <family val="2"/>
        <charset val="186"/>
        <scheme val="minor"/>
      </rPr>
      <t>​</t>
    </r>
  </si>
  <si>
    <r>
      <t>Täitmise %</t>
    </r>
    <r>
      <rPr>
        <sz val="10"/>
        <color rgb="FF000000"/>
        <rFont val="Calibri"/>
        <family val="2"/>
        <charset val="186"/>
        <scheme val="minor"/>
      </rPr>
      <t>​</t>
    </r>
  </si>
  <si>
    <t>Kokku​</t>
  </si>
  <si>
    <t>Riigieelarve​</t>
  </si>
  <si>
    <t>Välistoetused​</t>
  </si>
  <si>
    <t>Muud​</t>
  </si>
  <si>
    <r>
      <t>Majandusliku sisu lõikes</t>
    </r>
    <r>
      <rPr>
        <sz val="10"/>
        <color rgb="FF000000"/>
        <rFont val="Calibri"/>
        <family val="2"/>
        <charset val="186"/>
        <scheme val="minor"/>
      </rPr>
      <t>​</t>
    </r>
  </si>
  <si>
    <t>Investeeringud​</t>
  </si>
  <si>
    <t>Tööjõukulud</t>
  </si>
  <si>
    <t>​Majandamiskulud​</t>
  </si>
  <si>
    <t>​Toetused ja muud</t>
  </si>
  <si>
    <t>2024 eelarve</t>
  </si>
  <si>
    <r>
      <t>Liikide lõikes</t>
    </r>
    <r>
      <rPr>
        <sz val="10"/>
        <color rgb="FF000000"/>
        <rFont val="Calibri"/>
        <family val="2"/>
        <charset val="186"/>
        <scheme val="minor"/>
      </rPr>
      <t>​</t>
    </r>
  </si>
  <si>
    <r>
      <t>Majandusliku sisu lõikes</t>
    </r>
    <r>
      <rPr>
        <sz val="10"/>
        <color rgb="FF000000"/>
        <rFont val="Calibri"/>
        <family val="2"/>
        <charset val="186"/>
        <scheme val="minor"/>
      </rPr>
      <t>​</t>
    </r>
  </si>
  <si>
    <t>Personali muutus</t>
  </si>
  <si>
    <r>
      <t>Valitsemisala IKT töötajate arv</t>
    </r>
    <r>
      <rPr>
        <sz val="11"/>
        <color rgb="FF000000"/>
        <rFont val="Raleway"/>
        <charset val="186"/>
      </rPr>
      <t>​</t>
    </r>
  </si>
  <si>
    <r>
      <t>01.01.2025*</t>
    </r>
    <r>
      <rPr>
        <sz val="11"/>
        <color rgb="FF000000"/>
        <rFont val="Raleway"/>
        <charset val="186"/>
      </rPr>
      <t>​</t>
    </r>
  </si>
  <si>
    <r>
      <t>01.01.2026*</t>
    </r>
    <r>
      <rPr>
        <sz val="11"/>
        <color rgb="FF000000"/>
        <rFont val="Raleway"/>
        <charset val="186"/>
      </rPr>
      <t>​</t>
    </r>
  </si>
  <si>
    <r>
      <t>01.01.2027*</t>
    </r>
    <r>
      <rPr>
        <sz val="11"/>
        <color rgb="FF000000"/>
        <rFont val="Raleway"/>
        <charset val="186"/>
      </rPr>
      <t>​</t>
    </r>
  </si>
  <si>
    <t>Töötajate arv ​SMIT</t>
  </si>
  <si>
    <t>Töötajate arv asutused</t>
  </si>
  <si>
    <t>Kasv​ (%, võrrelduna eelmise aastaga)</t>
  </si>
  <si>
    <t>* Prognoos</t>
  </si>
  <si>
    <t>Seisuga 01.01.2023</t>
  </si>
  <si>
    <t>Seisuga 01.01.2024</t>
  </si>
  <si>
    <t>IKT Personal</t>
  </si>
  <si>
    <t>Täidetud/olemas</t>
  </si>
  <si>
    <t>Täitmata</t>
  </si>
  <si>
    <t>IT juhtimine</t>
  </si>
  <si>
    <t>IT projektijuhtimine ja tootejuhtimine</t>
  </si>
  <si>
    <t>Süsteemianalüüs, andmeanalüüs, UX/UI disain</t>
  </si>
  <si>
    <t>Süsteemiarhitektuur</t>
  </si>
  <si>
    <t>Programmeerimine</t>
  </si>
  <si>
    <t>Administraator (andmebaasi, ja süsteemi), DevOps</t>
  </si>
  <si>
    <t>Testimine</t>
  </si>
  <si>
    <t>Kliendihaldus, tehniline tugi, paigaldus ja hooldus (tehnikud)</t>
  </si>
  <si>
    <t>Küberturve, andmekaitse, andmeturve</t>
  </si>
  <si>
    <t>Arvutigraafika</t>
  </si>
  <si>
    <t>it-konsultandid</t>
  </si>
  <si>
    <t>…</t>
  </si>
  <si>
    <t>NB! Tabelis tuua välja valitsemisala kõik IKT ametikohad. Vajadusel lisada ridu juurde.</t>
  </si>
  <si>
    <t>Andmeturve</t>
  </si>
  <si>
    <t>Analüütik (teabe)</t>
  </si>
  <si>
    <t>Andmeanalüüs</t>
  </si>
  <si>
    <t>Juhtimine</t>
  </si>
  <si>
    <t xml:space="preserve">Andmeanalüüs ja -seire </t>
  </si>
  <si>
    <t>Konsultandid</t>
  </si>
  <si>
    <t>Andmebaasiadministratsioon</t>
  </si>
  <si>
    <t>Projektijuhtimine</t>
  </si>
  <si>
    <t>Andmehaldur</t>
  </si>
  <si>
    <t>Süsteemiadministratsioon</t>
  </si>
  <si>
    <t>Andmeteadur (teabe)</t>
  </si>
  <si>
    <t>Süsteemianalüüs</t>
  </si>
  <si>
    <t>DEVOPS</t>
  </si>
  <si>
    <t>Haldus</t>
  </si>
  <si>
    <t>Tarkvara programmeerimine</t>
  </si>
  <si>
    <t>Helpdesk</t>
  </si>
  <si>
    <t>Teenuste tugi</t>
  </si>
  <si>
    <t>infoturbe logianalüütik</t>
  </si>
  <si>
    <t>Infoturbespetsialist</t>
  </si>
  <si>
    <t>IS haldur</t>
  </si>
  <si>
    <t>IS ärianalüütik</t>
  </si>
  <si>
    <t>IT analüütik</t>
  </si>
  <si>
    <t>Klienditeenindus</t>
  </si>
  <si>
    <t>küber pääsuhalduste spetsialist</t>
  </si>
  <si>
    <t>Küberinsener</t>
  </si>
  <si>
    <t>küberintsidentide haldur</t>
  </si>
  <si>
    <t>Küberkaitse spetsialist</t>
  </si>
  <si>
    <t>Masinõpe</t>
  </si>
  <si>
    <t>Rakenduse administraator</t>
  </si>
  <si>
    <t>Registripidaja</t>
  </si>
  <si>
    <t>Tarneinsener</t>
  </si>
  <si>
    <t>Teenuseomanik</t>
  </si>
  <si>
    <t xml:space="preserve">Tootejuhtimine </t>
  </si>
  <si>
    <t>Projekti/tegevuse nimi</t>
  </si>
  <si>
    <t>Digipöörde elluviimisega seotud personal tööperede lõikes</t>
  </si>
  <si>
    <t xml:space="preserve">Digipöörde elluviimisega seotud personal tööperede lõikes </t>
  </si>
  <si>
    <t>Mis aastal on plaanis värvata?</t>
  </si>
  <si>
    <t xml:space="preserve">Kas on võtmetähtsusega? </t>
  </si>
  <si>
    <t>Kas töötaja on olemas või tuleb värvata?</t>
  </si>
  <si>
    <t>Aastane palgakulu</t>
  </si>
  <si>
    <t>Või kas roll on plaanis teenusena sisse osta?</t>
  </si>
  <si>
    <t>Teenusena sisse ostmisel maksumus</t>
  </si>
  <si>
    <t>Kui pikaks ajaks inimene värvatakse, roll teenusena sisse ostetakse?</t>
  </si>
  <si>
    <t>Milline on koormus digipöördes?</t>
  </si>
  <si>
    <t>Värvatud või teenusena sisse ostetutud töötaja rahastamise allikas</t>
  </si>
  <si>
    <t>Mis asutuse ressurss</t>
  </si>
  <si>
    <t>("2a tegevuskava" lehe J veerg)</t>
  </si>
  <si>
    <t>(Tööpere nimetus, iga töötaja eraldi real)</t>
  </si>
  <si>
    <t>(Tööpere taseme number)</t>
  </si>
  <si>
    <t>(Tööpere nimetuse täpsustav selgitus)</t>
  </si>
  <si>
    <t>(märkida x-ga)</t>
  </si>
  <si>
    <t>(Jah/Ei)</t>
  </si>
  <si>
    <t>(On olemas / Tuleb värvata
tööjõukulu, 50)</t>
  </si>
  <si>
    <t>(olemasolev töötaja, või värvatav)</t>
  </si>
  <si>
    <t>(Jah / EI
majandamiskulu, 55)</t>
  </si>
  <si>
    <t>Kui lühiajaline (alla aasta), siis kogu maksumus, kui pikemaajaline (üle 1 aasta), siis aasta maksumus)</t>
  </si>
  <si>
    <t>(kuuks ajaks, aastaks, kogu digipöörde ajaks, jne)</t>
  </si>
  <si>
    <t>(% tööajast)</t>
  </si>
  <si>
    <t>(Baaseelarve/SF)</t>
  </si>
  <si>
    <t>KILP</t>
  </si>
  <si>
    <t xml:space="preserve">IKT tootejuhtimine </t>
  </si>
  <si>
    <t>Jah</t>
  </si>
  <si>
    <t>Olemas</t>
  </si>
  <si>
    <t>Kogu digipöörde aeg</t>
  </si>
  <si>
    <t>IT süsteemianalüüs</t>
  </si>
  <si>
    <t>RES taotlus</t>
  </si>
  <si>
    <t>KILP (PPA)</t>
  </si>
  <si>
    <t>SF taotlus</t>
  </si>
  <si>
    <t>Apollo Digitoimingud II</t>
  </si>
  <si>
    <t>IKT süsteemianalüüs</t>
  </si>
  <si>
    <t>IT tarkvara programmeerimine</t>
  </si>
  <si>
    <t>IKT tarkvara arendus</t>
  </si>
  <si>
    <t>IT süsteemiadministratsioon</t>
  </si>
  <si>
    <t>IKT süsteemiadministratsioon</t>
  </si>
  <si>
    <t>IT arvutigraafika</t>
  </si>
  <si>
    <t>UX/UI disainer</t>
  </si>
  <si>
    <t>-</t>
  </si>
  <si>
    <t>keskmiselt 20 977€ aastas, kokku 62 930</t>
  </si>
  <si>
    <t>Iga etapp tehakse eraldi hanke minikonkursiga</t>
  </si>
  <si>
    <t>Väline partner/täitja</t>
  </si>
  <si>
    <t>keskmiselt 59 250€ aastas; kokku 177 750€</t>
  </si>
  <si>
    <t>IKT süsteemiarhitektuur</t>
  </si>
  <si>
    <t>keskmiselt 68 000€ aastas; kokku 204 000€</t>
  </si>
  <si>
    <t>keskmiselt 107 797€ aastas; kokku 323 392€</t>
  </si>
  <si>
    <t>IT testimine</t>
  </si>
  <si>
    <t>IKT testimine</t>
  </si>
  <si>
    <t>keskmiselt 49 400€ aastas; kokku 148 200€</t>
  </si>
  <si>
    <t>Korra tagamine</t>
  </si>
  <si>
    <t>Peakasutaja</t>
  </si>
  <si>
    <t>Väärteomenetluse analüüs ja arendus (I - V etapp)</t>
  </si>
  <si>
    <t>IT süsteemiarhitektuur</t>
  </si>
  <si>
    <t>IT projektijuht (PPA)</t>
  </si>
  <si>
    <t>Õigusloome</t>
  </si>
  <si>
    <t>Jurist/andmekaitse</t>
  </si>
  <si>
    <t>Projektikoordinaator (teenuseekspert)</t>
  </si>
  <si>
    <t>Antud projekti kõikides etappides</t>
  </si>
  <si>
    <t>keskmiselt 25 677€ aastas; kokku 102 707€</t>
  </si>
  <si>
    <t>keskmiselt 88 510€ aastas; kokku 354 039€</t>
  </si>
  <si>
    <t>keskmiselt 148 066€ aastas; kokku 429 393€</t>
  </si>
  <si>
    <t>keskmiselt 96 285 € aastas; kokku 288 855€</t>
  </si>
  <si>
    <t>Väärteomenetluse turvatestimine (iga arendusprojekti sees)</t>
  </si>
  <si>
    <t>Küberkaitse</t>
  </si>
  <si>
    <t>30 000€ iga aastaselt</t>
  </si>
  <si>
    <t>MISX juhtumite lahenduse II etapp</t>
  </si>
  <si>
    <t>1 aasta</t>
  </si>
  <si>
    <t>MISX töölaua arenduse II etapp</t>
  </si>
  <si>
    <t>IKT tootejuhtimine </t>
  </si>
  <si>
    <t>Haldusmenetluse analüüs ja arendus (I-III etapp)</t>
  </si>
  <si>
    <t>PPa</t>
  </si>
  <si>
    <t>keskmiselt 23 425€ aastas; kokku 70274€</t>
  </si>
  <si>
    <t>keskmiselt 86 056€ aastas; kokku 252 168€</t>
  </si>
  <si>
    <t>keskmiselt 141 232€ aastas; kokku 423 696€</t>
  </si>
  <si>
    <t>keskmiselt 83 597€ aastas; kokku 250 790€</t>
  </si>
  <si>
    <t>keskmiselt 80 259€ aastas; kokku 240 778€</t>
  </si>
  <si>
    <t>Haldusmenetluse turvatestimine (iga arendusprojekti sees)</t>
  </si>
  <si>
    <t>Hoiatusmenetluse analüüs ja arendus (etapid I-IV)</t>
  </si>
  <si>
    <t>keskmiselt 21 680€ aastas; kokku 86 722€</t>
  </si>
  <si>
    <t>keskmiselt 88 738€ aastas; kokku 354 950€</t>
  </si>
  <si>
    <t>keskmiselt 90 546€ aastas; kokku 271639€</t>
  </si>
  <si>
    <t>keskmiselt 233 072€ aastas; kokku 699 216€</t>
  </si>
  <si>
    <t>keskmiselt 102 648€ aastas; kokku 307 944€</t>
  </si>
  <si>
    <t>MISi ja üldosa migreerimine ning arhiveerimine</t>
  </si>
  <si>
    <t>keskmiselt 14 123€ aastas; kokku 42 370€</t>
  </si>
  <si>
    <t>keskmiselt 86 397€ aastas; kokku 259 190€</t>
  </si>
  <si>
    <t>keskmiselt 77 157€ aastas; kokku 154 315€</t>
  </si>
  <si>
    <t>keskmiselt 144 648€ aastas; kokku 289 296€</t>
  </si>
  <si>
    <t>keskmiselt 79 733€ aastas; kokku 159 466€</t>
  </si>
  <si>
    <t>Rahvastikuregistri ja menetlustarkvara kaasajastamine</t>
  </si>
  <si>
    <t>Planeerimisel</t>
  </si>
  <si>
    <t>IKT agiilne projektijuhtimine</t>
  </si>
  <si>
    <t>IKT andmeanalüüs</t>
  </si>
  <si>
    <t>IKT süsteemiadministraator</t>
  </si>
  <si>
    <t>Projektijuht</t>
  </si>
  <si>
    <t>3 aastat</t>
  </si>
  <si>
    <t>FE arendaja</t>
  </si>
  <si>
    <t>Hädaabiteadete menetlemine</t>
  </si>
  <si>
    <t>tooteomanik</t>
  </si>
  <si>
    <t>analüütik</t>
  </si>
  <si>
    <t>arhitekt</t>
  </si>
  <si>
    <t>BE vanemarendaja</t>
  </si>
  <si>
    <t>süsteemiadministraator</t>
  </si>
  <si>
    <t>FE vanemarendaja</t>
  </si>
  <si>
    <t>SF taotlus / olemas kuni 2024.a. lõpuni</t>
  </si>
  <si>
    <t>BE arendaja</t>
  </si>
  <si>
    <t>DevOps insener</t>
  </si>
  <si>
    <t>IKT DevOps</t>
  </si>
  <si>
    <t>Relvaregister</t>
  </si>
  <si>
    <t>Scrum master</t>
  </si>
  <si>
    <t>Analüütik</t>
  </si>
  <si>
    <t>SitRep</t>
  </si>
  <si>
    <t>SMIT tooteomanik, vanemarendaja, analüütik, testija - erinevad tööpered toetavad osaliselt, oma meeskonda ei ole</t>
  </si>
  <si>
    <t>Vabatahtlike it-lahendus VAPO</t>
  </si>
  <si>
    <t>Projektijuht (SIM)</t>
  </si>
  <si>
    <t>Tooteomanik-analüütik</t>
  </si>
  <si>
    <t>IKT tootejuhtimine-analüüs</t>
  </si>
  <si>
    <t>Tuleb värvata</t>
  </si>
  <si>
    <t>Arhitekt</t>
  </si>
  <si>
    <t>Süsteemiadministraator</t>
  </si>
  <si>
    <t>IT andmeturve</t>
  </si>
  <si>
    <t>1 kuu</t>
  </si>
  <si>
    <t>IT konsultandid</t>
  </si>
  <si>
    <t>RES/SF?</t>
  </si>
  <si>
    <t>IT projektijuhtimine</t>
  </si>
  <si>
    <t>IT teenuste tugi</t>
  </si>
  <si>
    <t>Operatiivinfo juhtumine</t>
  </si>
  <si>
    <t xml:space="preserve">SF Rahvastikuregistrist haldusandmete haldamise keskse süsteemi II (asutused ja häälestusparameetrid) etapi arendus  [RR KAASAJASTAMINE] *
</t>
  </si>
  <si>
    <t>SF Rahvastikuregistri baastehnoloogia uuendamise [RR KAASAJASTAMINE*</t>
  </si>
  <si>
    <t>SF Menetluste uuendamise I etapp, sh andmevahetuse kaasajastamine [MENETLUSTE KAASAJASTAMINE]*</t>
  </si>
  <si>
    <t>SF RR Andmelao lahenduse II etapp*</t>
  </si>
  <si>
    <t>SMIT/PPA</t>
  </si>
  <si>
    <t>Tulenevalt majandus- ja infotehnoloogiaministri 25. augusti 2023. a käskkirjast „Toetuse andmise tingimused valdkondlike digipöörete toetamiseks“ allkirjastan/kinnitan Siseministeeriumi valdkondliku digipöörde tegevuskava.</t>
  </si>
  <si>
    <t xml:space="preserve">Veerg „Algatuse nimi“: 
* - Enne algatusega/tegevusega alustamist tuleb läbida äri- ja või arhitektuuripaneel. 
Veerg: „Rahastuse allikas / meetme tegevus (SF)“: 
1 – (Baaseelarve, RES, reserv SR) – summad kajastatakse ilma käibemaksuta ja käibemaks arvestatakse juurde riigieelarvest; 
2 – (SF, nii 14-20, kui 21-27) – toetuse summad kajastatakse koos käibemaksuga, käibemaks on osa toetusest; 
3 – (RRF) – toetuse summad kajastatakse ilma käibemaksuta, käibemaks lisandub toetusele.  
4 – (muu rahastus) – summad kajastatakse ilma käibemaksuta, elluviija vastutab sõltuvalt rahastusest õige käibemaksu vormi rakendamise eest. </t>
  </si>
  <si>
    <t>Liisa-Ly Pakosta</t>
  </si>
  <si>
    <t>justiits- ja digiminister</t>
  </si>
  <si>
    <r>
      <t>(allkirjastatud digitaalselt)</t>
    </r>
    <r>
      <rPr>
        <sz val="9"/>
        <color rgb="FF000000"/>
        <rFont val="Calibri"/>
        <family val="2"/>
        <charset val="186"/>
        <scheme val="minor"/>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</si>
</sst>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quot;;[Red]\-#,##0\ &quot;€&quot;"/>
    <numFmt numFmtId="8" formatCode="#,##0.00\ &quot;€&quot;;[Red]\-#,##0.00\ &quot;€&quot;"/>
    <numFmt numFmtId="43" formatCode="_-* #,##0.00_-;\-* #,##0.00_-;_-* &quot;-&quot;??_-;_-@_-"/>
    <numFmt numFmtId="164" formatCode="#,##0\ &quot;€&quot;"/>
    <numFmt numFmtId="165" formatCode="0.0"/>
    <numFmt numFmtId="166" formatCode="#,##0.0"/>
    <numFmt numFmtId="167" formatCode="_-* #,##0_-;\-* #,##0_-;_-* &quot;-&quot;??_-;_-@_-"/>
  </numFmts>
  <fonts count="58"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1"/>
      <color rgb="FFFF0000"/>
      <name val="Calibri"/>
      <family val="2"/>
      <charset val="186"/>
      <scheme val="minor"/>
    </font>
    <font>
      <sz val="11"/>
      <color rgb="FFFF0000"/>
      <name val="Calibri"/>
      <family val="2"/>
      <charset val="186"/>
      <scheme val="minor"/>
    </font>
    <font>
      <b/>
      <i/>
      <sz val="11"/>
      <color theme="1"/>
      <name val="Calibri"/>
      <family val="2"/>
      <charset val="186"/>
      <scheme val="minor"/>
    </font>
    <font>
      <i/>
      <sz val="11"/>
      <color theme="1"/>
      <name val="Calibri"/>
      <family val="2"/>
      <charset val="186"/>
      <scheme val="minor"/>
    </font>
    <font>
      <sz val="8"/>
      <name val="Calibri"/>
      <family val="2"/>
      <charset val="186"/>
      <scheme val="minor"/>
    </font>
    <font>
      <sz val="12"/>
      <color rgb="FF202020"/>
      <name val="Times New Roman"/>
      <family val="1"/>
      <charset val="186"/>
    </font>
    <font>
      <b/>
      <sz val="10"/>
      <color theme="1"/>
      <name val="Calibri"/>
      <family val="2"/>
      <charset val="186"/>
      <scheme val="minor"/>
    </font>
    <font>
      <b/>
      <sz val="10"/>
      <color rgb="FF202020"/>
      <name val="Calibri"/>
      <family val="2"/>
      <charset val="186"/>
      <scheme val="minor"/>
    </font>
    <font>
      <sz val="11"/>
      <name val="Calibri"/>
      <family val="2"/>
      <charset val="186"/>
    </font>
    <font>
      <i/>
      <sz val="11"/>
      <name val="Calibri"/>
      <family val="2"/>
      <charset val="186"/>
    </font>
    <font>
      <b/>
      <sz val="11"/>
      <name val="Calibri"/>
      <family val="2"/>
    </font>
    <font>
      <b/>
      <sz val="11"/>
      <color theme="1"/>
      <name val="Calibri"/>
      <family val="2"/>
      <scheme val="minor"/>
    </font>
    <font>
      <sz val="11"/>
      <name val="Calibri"/>
      <family val="2"/>
    </font>
    <font>
      <b/>
      <sz val="12"/>
      <name val="Calibri"/>
      <family val="2"/>
    </font>
    <font>
      <b/>
      <sz val="11"/>
      <name val="Calibri"/>
      <family val="2"/>
      <charset val="186"/>
    </font>
    <font>
      <sz val="11"/>
      <name val="Calibri"/>
      <family val="2"/>
      <scheme val="minor"/>
    </font>
    <font>
      <sz val="12"/>
      <name val="Calibri"/>
      <family val="2"/>
    </font>
    <font>
      <sz val="11"/>
      <color theme="1"/>
      <name val="Calibri"/>
      <family val="2"/>
      <scheme val="minor"/>
    </font>
    <font>
      <sz val="11"/>
      <color rgb="FF202020"/>
      <name val="Calibri"/>
      <family val="2"/>
      <scheme val="minor"/>
    </font>
    <font>
      <sz val="11"/>
      <color rgb="FF006100"/>
      <name val="Calibri"/>
      <family val="2"/>
      <charset val="186"/>
      <scheme val="minor"/>
    </font>
    <font>
      <sz val="11"/>
      <color theme="1"/>
      <name val="Calibri"/>
      <family val="2"/>
      <charset val="186"/>
      <scheme val="minor"/>
    </font>
    <font>
      <b/>
      <sz val="11"/>
      <color theme="1"/>
      <name val="Calibri"/>
      <family val="2"/>
      <charset val="186"/>
    </font>
    <font>
      <sz val="11"/>
      <color theme="1"/>
      <name val="Calibri"/>
      <family val="2"/>
      <charset val="186"/>
    </font>
    <font>
      <sz val="11"/>
      <color rgb="FF000000"/>
      <name val="Calibri"/>
      <family val="2"/>
      <charset val="186"/>
      <scheme val="minor"/>
    </font>
    <font>
      <b/>
      <sz val="11"/>
      <color rgb="FF000000"/>
      <name val="Calibri"/>
      <family val="2"/>
      <charset val="186"/>
      <scheme val="minor"/>
    </font>
    <font>
      <b/>
      <sz val="9"/>
      <color theme="1"/>
      <name val="Calibri"/>
      <family val="2"/>
      <charset val="186"/>
      <scheme val="minor"/>
    </font>
    <font>
      <b/>
      <sz val="11"/>
      <color rgb="FF000000"/>
      <name val="Calibri"/>
      <family val="2"/>
      <scheme val="minor"/>
    </font>
    <font>
      <i/>
      <sz val="11"/>
      <color rgb="FF000000"/>
      <name val="Calibri"/>
      <family val="2"/>
      <charset val="186"/>
      <scheme val="minor"/>
    </font>
    <font>
      <sz val="11"/>
      <color rgb="FF000000"/>
      <name val="Calibri"/>
      <family val="2"/>
      <scheme val="minor"/>
    </font>
    <font>
      <sz val="9"/>
      <color indexed="81"/>
      <name val="Segoe UI"/>
      <family val="2"/>
      <charset val="186"/>
    </font>
    <font>
      <b/>
      <sz val="9"/>
      <color indexed="81"/>
      <name val="Segoe UI"/>
      <family val="2"/>
      <charset val="186"/>
    </font>
    <font>
      <sz val="9"/>
      <color rgb="FF000000"/>
      <name val="Calibri"/>
      <family val="2"/>
      <charset val="186"/>
    </font>
    <font>
      <sz val="9"/>
      <color theme="1"/>
      <name val="Calibri"/>
      <family val="2"/>
      <charset val="186"/>
    </font>
    <font>
      <sz val="9"/>
      <name val="Calibri"/>
      <family val="2"/>
      <charset val="186"/>
    </font>
    <font>
      <sz val="11"/>
      <color rgb="FF000000"/>
      <name val="Raleway"/>
      <charset val="186"/>
    </font>
    <font>
      <b/>
      <u/>
      <sz val="14"/>
      <color theme="1"/>
      <name val="Calibri"/>
      <family val="2"/>
      <charset val="186"/>
      <scheme val="minor"/>
    </font>
    <font>
      <b/>
      <sz val="10"/>
      <color rgb="FF040C0C"/>
      <name val="Calibri"/>
      <family val="2"/>
      <charset val="186"/>
      <scheme val="minor"/>
    </font>
    <font>
      <sz val="10"/>
      <color rgb="FF040C0C"/>
      <name val="Calibri"/>
      <family val="2"/>
      <charset val="186"/>
      <scheme val="minor"/>
    </font>
    <font>
      <b/>
      <sz val="10"/>
      <color rgb="FF000000"/>
      <name val="Calibri"/>
      <family val="2"/>
      <charset val="186"/>
      <scheme val="minor"/>
    </font>
    <font>
      <sz val="10"/>
      <color rgb="FF000000"/>
      <name val="Calibri"/>
      <family val="2"/>
      <charset val="186"/>
      <scheme val="minor"/>
    </font>
    <font>
      <i/>
      <sz val="10"/>
      <color rgb="FF000000"/>
      <name val="Calibri"/>
      <family val="2"/>
      <charset val="186"/>
      <scheme val="minor"/>
    </font>
    <font>
      <vertAlign val="superscript"/>
      <sz val="11"/>
      <color theme="1"/>
      <name val="Calibri"/>
      <family val="2"/>
      <charset val="186"/>
      <scheme val="minor"/>
    </font>
    <font>
      <sz val="10"/>
      <color theme="1"/>
      <name val="Calibri"/>
      <family val="2"/>
      <charset val="186"/>
      <scheme val="minor"/>
    </font>
    <font>
      <sz val="12"/>
      <name val="Calibri"/>
      <family val="2"/>
      <charset val="186"/>
    </font>
    <font>
      <b/>
      <sz val="11"/>
      <name val="Calibri"/>
      <family val="2"/>
      <charset val="186"/>
      <scheme val="minor"/>
    </font>
    <font>
      <b/>
      <u/>
      <sz val="11"/>
      <name val="Calibri"/>
      <family val="2"/>
      <charset val="186"/>
      <scheme val="minor"/>
    </font>
    <font>
      <b/>
      <i/>
      <sz val="11"/>
      <name val="Calibri"/>
      <family val="2"/>
      <charset val="186"/>
    </font>
    <font>
      <i/>
      <sz val="11"/>
      <name val="Calibri"/>
      <family val="2"/>
      <charset val="186"/>
      <scheme val="minor"/>
    </font>
    <font>
      <sz val="10"/>
      <color rgb="FF000000"/>
      <name val="Times New Roman"/>
      <family val="1"/>
      <charset val="186"/>
    </font>
    <font>
      <sz val="11"/>
      <color rgb="FF000000"/>
      <name val="Calibri"/>
      <family val="2"/>
      <charset val="186"/>
    </font>
    <font>
      <sz val="9"/>
      <color indexed="81"/>
      <name val="Tahoma"/>
      <family val="2"/>
      <charset val="186"/>
    </font>
    <font>
      <b/>
      <sz val="9"/>
      <color indexed="81"/>
      <name val="Tahoma"/>
      <family val="2"/>
      <charset val="186"/>
    </font>
    <font>
      <strike/>
      <sz val="11"/>
      <color theme="1"/>
      <name val="Calibri"/>
      <family val="2"/>
      <charset val="186"/>
      <scheme val="minor"/>
    </font>
    <font>
      <i/>
      <sz val="9"/>
      <color rgb="FF000000"/>
      <name val="Calibri"/>
      <family val="2"/>
      <charset val="186"/>
      <scheme val="minor"/>
    </font>
    <font>
      <sz val="9"/>
      <color rgb="FF000000"/>
      <name val="Calibri"/>
      <family val="2"/>
      <charset val="186"/>
      <scheme val="minor"/>
    </font>
  </fonts>
  <fills count="1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rgb="FF92D050"/>
        <bgColor rgb="FF000000"/>
      </patternFill>
    </fill>
    <fill>
      <patternFill patternType="solid">
        <fgColor rgb="FFFFFFFF"/>
        <bgColor rgb="FF000000"/>
      </patternFill>
    </fill>
    <fill>
      <patternFill patternType="solid">
        <fgColor theme="8" tint="0.39997558519241921"/>
        <bgColor indexed="64"/>
      </patternFill>
    </fill>
    <fill>
      <patternFill patternType="solid">
        <fgColor rgb="FFCCCCCC"/>
        <bgColor indexed="64"/>
      </patternFill>
    </fill>
    <fill>
      <patternFill patternType="solid">
        <fgColor theme="0"/>
        <bgColor rgb="FF000000"/>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A9D08E"/>
        <bgColor rgb="FF000000"/>
      </patternFill>
    </fill>
    <fill>
      <patternFill patternType="solid">
        <fgColor rgb="FFFFFF00"/>
        <bgColor indexed="64"/>
      </patternFill>
    </fill>
    <fill>
      <patternFill patternType="solid">
        <fgColor theme="5" tint="0.79998168889431442"/>
        <bgColor indexed="64"/>
      </patternFill>
    </fill>
    <fill>
      <patternFill patternType="solid">
        <fgColor rgb="FFFF0000"/>
        <bgColor indexed="64"/>
      </patternFill>
    </fill>
  </fills>
  <borders count="106">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auto="1"/>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diagonal/>
    </border>
    <border>
      <left/>
      <right style="medium">
        <color indexed="64"/>
      </right>
      <top style="thin">
        <color auto="1"/>
      </top>
      <bottom style="thin">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rgb="FF000000"/>
      </bottom>
      <diagonal/>
    </border>
    <border>
      <left style="medium">
        <color indexed="64"/>
      </left>
      <right/>
      <top/>
      <bottom style="medium">
        <color indexed="64"/>
      </bottom>
      <diagonal/>
    </border>
    <border>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style="medium">
        <color indexed="64"/>
      </top>
      <bottom/>
      <diagonal/>
    </border>
    <border>
      <left style="thin">
        <color rgb="FF000000"/>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indexed="64"/>
      </right>
      <top style="thin">
        <color indexed="64"/>
      </top>
      <bottom style="medium">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s>
  <cellStyleXfs count="3">
    <xf numFmtId="0" fontId="0" fillId="0" borderId="0"/>
    <xf numFmtId="0" fontId="22" fillId="5" borderId="0" applyNumberFormat="0" applyBorder="0" applyAlignment="0" applyProtection="0"/>
    <xf numFmtId="43" fontId="23" fillId="0" borderId="0" applyFont="0" applyFill="0" applyBorder="0" applyAlignment="0" applyProtection="0"/>
  </cellStyleXfs>
  <cellXfs count="785">
    <xf numFmtId="0" fontId="0" fillId="0" borderId="0" xfId="0"/>
    <xf numFmtId="0" fontId="0" fillId="0" borderId="0" xfId="0" applyAlignment="1">
      <alignment vertical="top"/>
    </xf>
    <xf numFmtId="0" fontId="4" fillId="0" borderId="0" xfId="0" applyFont="1"/>
    <xf numFmtId="0" fontId="0" fillId="0" borderId="0" xfId="0" applyAlignment="1">
      <alignment horizontal="left" vertical="top"/>
    </xf>
    <xf numFmtId="0" fontId="3" fillId="0" borderId="0" xfId="0" applyFont="1" applyAlignment="1">
      <alignment horizontal="left" vertical="top"/>
    </xf>
    <xf numFmtId="0" fontId="1" fillId="3" borderId="3" xfId="0" applyFont="1" applyFill="1" applyBorder="1" applyAlignment="1">
      <alignment vertical="top"/>
    </xf>
    <xf numFmtId="0" fontId="0" fillId="3" borderId="0" xfId="0" applyFill="1" applyAlignment="1">
      <alignment horizontal="left" vertical="top"/>
    </xf>
    <xf numFmtId="0" fontId="1" fillId="3" borderId="3" xfId="0" applyFont="1" applyFill="1" applyBorder="1" applyAlignment="1">
      <alignment horizontal="left" vertical="top"/>
    </xf>
    <xf numFmtId="0" fontId="0" fillId="3" borderId="0" xfId="0" applyFill="1" applyAlignment="1">
      <alignment vertical="top"/>
    </xf>
    <xf numFmtId="3" fontId="1" fillId="3" borderId="3" xfId="0" applyNumberFormat="1" applyFont="1" applyFill="1" applyBorder="1" applyAlignment="1">
      <alignment vertical="top"/>
    </xf>
    <xf numFmtId="0" fontId="3" fillId="3" borderId="0" xfId="0" applyFont="1" applyFill="1" applyAlignment="1">
      <alignment horizontal="left" vertical="top"/>
    </xf>
    <xf numFmtId="0" fontId="1" fillId="3" borderId="21" xfId="0" applyFont="1" applyFill="1" applyBorder="1" applyAlignment="1">
      <alignment vertical="top"/>
    </xf>
    <xf numFmtId="3" fontId="1" fillId="3" borderId="21" xfId="0" applyNumberFormat="1" applyFont="1" applyFill="1" applyBorder="1" applyAlignment="1">
      <alignment horizontal="center" vertical="top"/>
    </xf>
    <xf numFmtId="0" fontId="1" fillId="3" borderId="21" xfId="0" applyFont="1" applyFill="1" applyBorder="1" applyAlignment="1">
      <alignment horizontal="center" vertical="top"/>
    </xf>
    <xf numFmtId="0" fontId="11" fillId="0" borderId="0" xfId="0" applyFont="1"/>
    <xf numFmtId="0" fontId="17" fillId="0" borderId="0" xfId="0" applyFont="1"/>
    <xf numFmtId="0" fontId="8" fillId="0" borderId="0" xfId="0" applyFont="1"/>
    <xf numFmtId="3" fontId="5" fillId="0" borderId="3" xfId="0" applyNumberFormat="1" applyFont="1" applyBorder="1" applyAlignment="1">
      <alignment vertical="top"/>
    </xf>
    <xf numFmtId="3" fontId="6" fillId="0" borderId="3" xfId="0" applyNumberFormat="1" applyFont="1" applyBorder="1" applyAlignment="1">
      <alignment vertical="top"/>
    </xf>
    <xf numFmtId="0" fontId="2" fillId="0" borderId="0" xfId="0" applyFont="1"/>
    <xf numFmtId="3" fontId="16" fillId="0" borderId="15" xfId="0" applyNumberFormat="1" applyFont="1" applyBorder="1" applyAlignment="1">
      <alignment vertical="top"/>
    </xf>
    <xf numFmtId="164" fontId="14" fillId="4" borderId="23" xfId="0" applyNumberFormat="1" applyFont="1" applyFill="1" applyBorder="1" applyAlignment="1">
      <alignment horizontal="center" vertical="top" wrapText="1"/>
    </xf>
    <xf numFmtId="164" fontId="14" fillId="4" borderId="30" xfId="0" applyNumberFormat="1" applyFont="1" applyFill="1" applyBorder="1" applyAlignment="1">
      <alignment horizontal="center" vertical="top" wrapText="1"/>
    </xf>
    <xf numFmtId="0" fontId="13" fillId="4" borderId="7" xfId="0" applyFont="1" applyFill="1" applyBorder="1" applyAlignment="1">
      <alignment horizontal="center" vertical="top"/>
    </xf>
    <xf numFmtId="164" fontId="0" fillId="4" borderId="8" xfId="0" applyNumberFormat="1" applyFill="1" applyBorder="1" applyAlignment="1">
      <alignment horizontal="center" vertical="top" wrapText="1"/>
    </xf>
    <xf numFmtId="164" fontId="0" fillId="4" borderId="10" xfId="0" applyNumberFormat="1" applyFill="1" applyBorder="1" applyAlignment="1">
      <alignment horizontal="center" vertical="top" wrapText="1"/>
    </xf>
    <xf numFmtId="164" fontId="0" fillId="4" borderId="9" xfId="0" applyNumberFormat="1" applyFill="1" applyBorder="1" applyAlignment="1">
      <alignment horizontal="center" vertical="top" wrapText="1"/>
    </xf>
    <xf numFmtId="164" fontId="0" fillId="4" borderId="7" xfId="0" applyNumberFormat="1" applyFill="1" applyBorder="1" applyAlignment="1">
      <alignment horizontal="center" vertical="top" wrapText="1"/>
    </xf>
    <xf numFmtId="0" fontId="15" fillId="0" borderId="16" xfId="0" applyFont="1" applyBorder="1" applyAlignment="1">
      <alignment horizontal="left" vertical="top"/>
    </xf>
    <xf numFmtId="0" fontId="12" fillId="0" borderId="3" xfId="0" applyFont="1" applyBorder="1"/>
    <xf numFmtId="3" fontId="19" fillId="0" borderId="17" xfId="0" applyNumberFormat="1" applyFont="1" applyBorder="1" applyAlignment="1">
      <alignment vertical="top"/>
    </xf>
    <xf numFmtId="3" fontId="19" fillId="0" borderId="15" xfId="0" applyNumberFormat="1" applyFont="1" applyBorder="1" applyAlignment="1">
      <alignment vertical="top"/>
    </xf>
    <xf numFmtId="3" fontId="19" fillId="0" borderId="35" xfId="0" applyNumberFormat="1" applyFont="1" applyBorder="1" applyAlignment="1">
      <alignment vertical="top"/>
    </xf>
    <xf numFmtId="0" fontId="1" fillId="0" borderId="0" xfId="0" applyFont="1" applyAlignment="1">
      <alignment vertical="top"/>
    </xf>
    <xf numFmtId="0" fontId="18" fillId="0" borderId="0" xfId="0" applyFont="1"/>
    <xf numFmtId="0" fontId="2" fillId="0" borderId="0" xfId="0" applyFont="1" applyAlignment="1">
      <alignment wrapText="1"/>
    </xf>
    <xf numFmtId="0" fontId="2" fillId="0" borderId="32" xfId="0" applyFont="1" applyBorder="1" applyAlignment="1">
      <alignment horizontal="left" vertical="top"/>
    </xf>
    <xf numFmtId="0" fontId="2" fillId="0" borderId="16" xfId="0" applyFont="1" applyBorder="1" applyAlignment="1">
      <alignment horizontal="left" vertical="top"/>
    </xf>
    <xf numFmtId="0" fontId="0" fillId="0" borderId="0" xfId="0" applyAlignment="1">
      <alignment vertical="top" wrapText="1"/>
    </xf>
    <xf numFmtId="0" fontId="24" fillId="0" borderId="28" xfId="0" applyFont="1" applyBorder="1" applyAlignment="1">
      <alignment horizontal="center" vertical="top" wrapText="1"/>
    </xf>
    <xf numFmtId="0" fontId="24" fillId="0" borderId="49" xfId="0" applyFont="1" applyBorder="1" applyAlignment="1">
      <alignment horizontal="center" vertical="top" wrapText="1"/>
    </xf>
    <xf numFmtId="0" fontId="24" fillId="0" borderId="34" xfId="0" applyFont="1" applyBorder="1" applyAlignment="1">
      <alignment horizontal="left" vertical="top" wrapText="1"/>
    </xf>
    <xf numFmtId="3" fontId="24" fillId="0" borderId="33" xfId="0" applyNumberFormat="1" applyFont="1" applyBorder="1" applyAlignment="1">
      <alignment vertical="top" wrapText="1"/>
    </xf>
    <xf numFmtId="3" fontId="24" fillId="0" borderId="51" xfId="0" applyNumberFormat="1" applyFont="1" applyBorder="1" applyAlignment="1">
      <alignment vertical="top" wrapText="1"/>
    </xf>
    <xf numFmtId="0" fontId="0" fillId="0" borderId="52" xfId="0" applyBorder="1" applyAlignment="1">
      <alignment vertical="top" wrapText="1"/>
    </xf>
    <xf numFmtId="3" fontId="25" fillId="0" borderId="36" xfId="0" applyNumberFormat="1" applyFont="1" applyBorder="1" applyAlignment="1">
      <alignment horizontal="right" vertical="top" wrapText="1"/>
    </xf>
    <xf numFmtId="0" fontId="11" fillId="0" borderId="0" xfId="0" applyFont="1" applyAlignment="1">
      <alignment horizontal="center" vertical="top" wrapText="1"/>
    </xf>
    <xf numFmtId="0" fontId="11" fillId="0" borderId="52" xfId="0" applyFont="1" applyBorder="1" applyAlignment="1">
      <alignment horizontal="center" vertical="top" wrapText="1"/>
    </xf>
    <xf numFmtId="0" fontId="24" fillId="0" borderId="23" xfId="0" applyFont="1" applyBorder="1" applyAlignment="1">
      <alignment horizontal="left" vertical="top" wrapText="1"/>
    </xf>
    <xf numFmtId="0" fontId="11" fillId="0" borderId="54" xfId="0" applyFont="1" applyBorder="1" applyAlignment="1">
      <alignment horizontal="center" vertical="top" wrapText="1"/>
    </xf>
    <xf numFmtId="0" fontId="11" fillId="0" borderId="55" xfId="0" applyFont="1" applyBorder="1" applyAlignment="1">
      <alignment horizontal="center" vertical="top" wrapText="1"/>
    </xf>
    <xf numFmtId="0" fontId="1" fillId="2" borderId="4" xfId="0" applyFont="1" applyFill="1" applyBorder="1" applyAlignment="1">
      <alignment vertical="top" wrapText="1"/>
    </xf>
    <xf numFmtId="0" fontId="1" fillId="3" borderId="13" xfId="0" applyFont="1" applyFill="1" applyBorder="1" applyAlignment="1">
      <alignment vertical="top" wrapText="1"/>
    </xf>
    <xf numFmtId="0" fontId="1" fillId="3" borderId="18" xfId="0" applyFont="1" applyFill="1" applyBorder="1" applyAlignment="1">
      <alignment vertical="top" wrapText="1"/>
    </xf>
    <xf numFmtId="0" fontId="23" fillId="0" borderId="0" xfId="0" applyFont="1" applyAlignment="1">
      <alignment vertical="top" wrapText="1"/>
    </xf>
    <xf numFmtId="3" fontId="31" fillId="7" borderId="59" xfId="0" applyNumberFormat="1" applyFont="1" applyFill="1" applyBorder="1" applyAlignment="1">
      <alignment vertical="top"/>
    </xf>
    <xf numFmtId="3" fontId="29" fillId="7" borderId="27" xfId="0" applyNumberFormat="1" applyFont="1" applyFill="1" applyBorder="1" applyAlignment="1">
      <alignment vertical="top"/>
    </xf>
    <xf numFmtId="0" fontId="31" fillId="7" borderId="27" xfId="0" applyFont="1" applyFill="1" applyBorder="1" applyAlignment="1">
      <alignment vertical="top"/>
    </xf>
    <xf numFmtId="0" fontId="29" fillId="7" borderId="27" xfId="0" applyFont="1" applyFill="1" applyBorder="1" applyAlignment="1">
      <alignment vertical="top"/>
    </xf>
    <xf numFmtId="0" fontId="31" fillId="7" borderId="61" xfId="0" applyFont="1" applyFill="1" applyBorder="1" applyAlignment="1">
      <alignment vertical="top"/>
    </xf>
    <xf numFmtId="0" fontId="31" fillId="7" borderId="29" xfId="0" applyFont="1" applyFill="1" applyBorder="1" applyAlignment="1">
      <alignment vertical="top"/>
    </xf>
    <xf numFmtId="0" fontId="31" fillId="7" borderId="52" xfId="0" applyFont="1" applyFill="1" applyBorder="1" applyAlignment="1">
      <alignment vertical="top"/>
    </xf>
    <xf numFmtId="0" fontId="0" fillId="0" borderId="52" xfId="0" applyBorder="1" applyAlignment="1">
      <alignment vertical="top"/>
    </xf>
    <xf numFmtId="0" fontId="0" fillId="0" borderId="13" xfId="0" applyBorder="1" applyAlignment="1">
      <alignment horizontal="left" vertical="top"/>
    </xf>
    <xf numFmtId="0" fontId="0" fillId="0" borderId="52" xfId="0" applyBorder="1"/>
    <xf numFmtId="0" fontId="3" fillId="0" borderId="4" xfId="0" applyFont="1" applyBorder="1" applyAlignment="1">
      <alignment horizontal="left" vertical="top"/>
    </xf>
    <xf numFmtId="0" fontId="11" fillId="0" borderId="0" xfId="0" applyFont="1" applyAlignment="1">
      <alignment horizontal="left" vertical="top"/>
    </xf>
    <xf numFmtId="164" fontId="14" fillId="4" borderId="49" xfId="0" applyNumberFormat="1" applyFont="1" applyFill="1" applyBorder="1" applyAlignment="1">
      <alignment horizontal="center" vertical="top" wrapText="1"/>
    </xf>
    <xf numFmtId="0" fontId="34" fillId="0" borderId="39" xfId="0" applyFont="1" applyBorder="1" applyAlignment="1">
      <alignment vertical="top" wrapText="1"/>
    </xf>
    <xf numFmtId="0" fontId="34" fillId="0" borderId="68" xfId="0" applyFont="1" applyBorder="1" applyAlignment="1">
      <alignment vertical="top" wrapText="1"/>
    </xf>
    <xf numFmtId="0" fontId="4" fillId="0" borderId="0" xfId="0" applyFont="1" applyAlignment="1">
      <alignment vertical="top"/>
    </xf>
    <xf numFmtId="3" fontId="27" fillId="7" borderId="27" xfId="0" applyNumberFormat="1" applyFont="1" applyFill="1" applyBorder="1" applyAlignment="1">
      <alignment vertical="top"/>
    </xf>
    <xf numFmtId="0" fontId="26" fillId="7" borderId="27" xfId="0" applyFont="1" applyFill="1" applyBorder="1" applyAlignment="1">
      <alignment vertical="top"/>
    </xf>
    <xf numFmtId="0" fontId="27" fillId="7" borderId="27" xfId="0" applyFont="1" applyFill="1" applyBorder="1" applyAlignment="1">
      <alignment vertical="top"/>
    </xf>
    <xf numFmtId="0" fontId="26" fillId="7" borderId="61" xfId="0" applyFont="1" applyFill="1" applyBorder="1" applyAlignment="1">
      <alignment vertical="top"/>
    </xf>
    <xf numFmtId="0" fontId="26" fillId="7" borderId="29" xfId="0" applyFont="1" applyFill="1" applyBorder="1" applyAlignment="1">
      <alignment vertical="top"/>
    </xf>
    <xf numFmtId="3" fontId="26" fillId="7" borderId="59" xfId="0" applyNumberFormat="1" applyFont="1" applyFill="1" applyBorder="1" applyAlignment="1">
      <alignment vertical="top"/>
    </xf>
    <xf numFmtId="0" fontId="26" fillId="7" borderId="52" xfId="0" applyFont="1" applyFill="1" applyBorder="1" applyAlignment="1">
      <alignment vertical="top"/>
    </xf>
    <xf numFmtId="0" fontId="26" fillId="7" borderId="60" xfId="0" applyFont="1" applyFill="1" applyBorder="1" applyAlignment="1">
      <alignment vertical="top"/>
    </xf>
    <xf numFmtId="0" fontId="26" fillId="7" borderId="56" xfId="0" applyFont="1" applyFill="1" applyBorder="1" applyAlignment="1">
      <alignment vertical="top"/>
    </xf>
    <xf numFmtId="3" fontId="27" fillId="7" borderId="58" xfId="0" applyNumberFormat="1" applyFont="1" applyFill="1" applyBorder="1" applyAlignment="1">
      <alignment vertical="top"/>
    </xf>
    <xf numFmtId="0" fontId="27" fillId="7" borderId="58" xfId="0" applyFont="1" applyFill="1" applyBorder="1" applyAlignment="1">
      <alignment vertical="top"/>
    </xf>
    <xf numFmtId="3" fontId="26" fillId="7" borderId="54" xfId="0" applyNumberFormat="1" applyFont="1" applyFill="1" applyBorder="1" applyAlignment="1">
      <alignment vertical="top"/>
    </xf>
    <xf numFmtId="0" fontId="26" fillId="7" borderId="54" xfId="0" applyFont="1" applyFill="1" applyBorder="1" applyAlignment="1">
      <alignment vertical="top"/>
    </xf>
    <xf numFmtId="0" fontId="26" fillId="7" borderId="55" xfId="0" applyFont="1" applyFill="1" applyBorder="1" applyAlignment="1">
      <alignment vertical="top"/>
    </xf>
    <xf numFmtId="3" fontId="26" fillId="7" borderId="60" xfId="0" applyNumberFormat="1" applyFont="1" applyFill="1" applyBorder="1" applyAlignment="1">
      <alignment vertical="top"/>
    </xf>
    <xf numFmtId="3" fontId="27" fillId="7" borderId="44" xfId="0" applyNumberFormat="1" applyFont="1" applyFill="1" applyBorder="1" applyAlignment="1">
      <alignment vertical="top"/>
    </xf>
    <xf numFmtId="0" fontId="26" fillId="7" borderId="73" xfId="0" applyFont="1" applyFill="1" applyBorder="1" applyAlignment="1">
      <alignment vertical="top"/>
    </xf>
    <xf numFmtId="3" fontId="26" fillId="7" borderId="74" xfId="0" applyNumberFormat="1" applyFont="1" applyFill="1" applyBorder="1" applyAlignment="1">
      <alignment vertical="top"/>
    </xf>
    <xf numFmtId="0" fontId="26" fillId="7" borderId="75" xfId="0" applyFont="1" applyFill="1" applyBorder="1" applyAlignment="1">
      <alignment vertical="top"/>
    </xf>
    <xf numFmtId="3" fontId="26" fillId="7" borderId="2" xfId="0" applyNumberFormat="1" applyFont="1" applyFill="1" applyBorder="1" applyAlignment="1">
      <alignment vertical="top"/>
    </xf>
    <xf numFmtId="0" fontId="26" fillId="7" borderId="69" xfId="0" applyFont="1" applyFill="1" applyBorder="1" applyAlignment="1">
      <alignment vertical="top"/>
    </xf>
    <xf numFmtId="0" fontId="0" fillId="0" borderId="73" xfId="0" applyBorder="1" applyAlignment="1">
      <alignment vertical="top"/>
    </xf>
    <xf numFmtId="3" fontId="24" fillId="0" borderId="30" xfId="0" applyNumberFormat="1" applyFont="1" applyBorder="1" applyAlignment="1">
      <alignment horizontal="right" vertical="top" wrapText="1"/>
    </xf>
    <xf numFmtId="3" fontId="24" fillId="0" borderId="36" xfId="0" applyNumberFormat="1" applyFont="1" applyBorder="1" applyAlignment="1">
      <alignment horizontal="right" vertical="top" wrapText="1"/>
    </xf>
    <xf numFmtId="0" fontId="35" fillId="0" borderId="50" xfId="0" applyFont="1" applyBorder="1" applyAlignment="1">
      <alignment vertical="top" wrapText="1"/>
    </xf>
    <xf numFmtId="0" fontId="36" fillId="0" borderId="5" xfId="0" applyFont="1" applyBorder="1" applyAlignment="1">
      <alignment vertical="top" wrapText="1"/>
    </xf>
    <xf numFmtId="0" fontId="36" fillId="0" borderId="6" xfId="0" applyFont="1" applyBorder="1" applyAlignment="1">
      <alignment vertical="top" wrapText="1"/>
    </xf>
    <xf numFmtId="0" fontId="2" fillId="3" borderId="3" xfId="0" applyFont="1" applyFill="1" applyBorder="1" applyAlignment="1">
      <alignment horizontal="center" vertical="top" wrapText="1"/>
    </xf>
    <xf numFmtId="0" fontId="0" fillId="3" borderId="3" xfId="0" applyFill="1" applyBorder="1" applyAlignment="1">
      <alignment horizontal="center" vertical="top" wrapText="1"/>
    </xf>
    <xf numFmtId="0" fontId="0" fillId="3" borderId="12" xfId="0" applyFill="1" applyBorder="1" applyAlignment="1">
      <alignment horizontal="center" vertical="top" wrapText="1"/>
    </xf>
    <xf numFmtId="3" fontId="2" fillId="3" borderId="16" xfId="0" applyNumberFormat="1" applyFont="1" applyFill="1" applyBorder="1" applyAlignment="1">
      <alignment horizontal="right" vertical="top" wrapText="1"/>
    </xf>
    <xf numFmtId="3" fontId="2" fillId="3" borderId="15" xfId="0" applyNumberFormat="1" applyFont="1" applyFill="1" applyBorder="1" applyAlignment="1">
      <alignment horizontal="right" vertical="top" wrapText="1"/>
    </xf>
    <xf numFmtId="0" fontId="38" fillId="0" borderId="0" xfId="0" applyFont="1" applyAlignment="1">
      <alignment vertical="top"/>
    </xf>
    <xf numFmtId="10" fontId="0" fillId="0" borderId="0" xfId="0" applyNumberFormat="1" applyAlignment="1">
      <alignment vertical="top"/>
    </xf>
    <xf numFmtId="9" fontId="0" fillId="0" borderId="0" xfId="0" applyNumberFormat="1" applyAlignment="1">
      <alignment vertical="top"/>
    </xf>
    <xf numFmtId="3" fontId="0" fillId="0" borderId="16" xfId="0" applyNumberFormat="1" applyBorder="1" applyAlignment="1">
      <alignment vertical="top"/>
    </xf>
    <xf numFmtId="3" fontId="0" fillId="0" borderId="15" xfId="0" applyNumberFormat="1" applyBorder="1" applyAlignment="1">
      <alignment vertical="top"/>
    </xf>
    <xf numFmtId="3" fontId="26" fillId="7" borderId="66" xfId="0" applyNumberFormat="1" applyFont="1" applyFill="1" applyBorder="1" applyAlignment="1">
      <alignment vertical="top"/>
    </xf>
    <xf numFmtId="0" fontId="26" fillId="7" borderId="70" xfId="0" applyFont="1" applyFill="1" applyBorder="1" applyAlignment="1">
      <alignment vertical="top"/>
    </xf>
    <xf numFmtId="3" fontId="27" fillId="7" borderId="65" xfId="0" applyNumberFormat="1" applyFont="1" applyFill="1" applyBorder="1" applyAlignment="1">
      <alignment vertical="top"/>
    </xf>
    <xf numFmtId="0" fontId="26" fillId="7" borderId="76" xfId="0" applyFont="1" applyFill="1" applyBorder="1" applyAlignment="1">
      <alignment vertical="top"/>
    </xf>
    <xf numFmtId="0" fontId="0" fillId="0" borderId="77" xfId="0" applyBorder="1" applyAlignment="1">
      <alignment vertical="top"/>
    </xf>
    <xf numFmtId="0" fontId="42" fillId="0" borderId="0" xfId="0" applyFont="1" applyAlignment="1">
      <alignment horizontal="left" vertical="top" wrapText="1"/>
    </xf>
    <xf numFmtId="0" fontId="0" fillId="0" borderId="11" xfId="0" applyBorder="1" applyAlignment="1">
      <alignment vertical="top"/>
    </xf>
    <xf numFmtId="3" fontId="31" fillId="7" borderId="74" xfId="0" applyNumberFormat="1" applyFont="1" applyFill="1" applyBorder="1" applyAlignment="1">
      <alignment vertical="top"/>
    </xf>
    <xf numFmtId="3" fontId="29" fillId="7" borderId="74" xfId="0" applyNumberFormat="1" applyFont="1" applyFill="1" applyBorder="1" applyAlignment="1">
      <alignment vertical="top"/>
    </xf>
    <xf numFmtId="3" fontId="29" fillId="7" borderId="65" xfId="0" applyNumberFormat="1" applyFont="1" applyFill="1" applyBorder="1" applyAlignment="1">
      <alignment vertical="top"/>
    </xf>
    <xf numFmtId="0" fontId="0" fillId="3" borderId="42" xfId="0" applyFill="1" applyBorder="1" applyAlignment="1">
      <alignment vertical="top"/>
    </xf>
    <xf numFmtId="0" fontId="0" fillId="3" borderId="74" xfId="0" applyFill="1" applyBorder="1" applyAlignment="1">
      <alignment vertical="top"/>
    </xf>
    <xf numFmtId="0" fontId="28" fillId="3" borderId="42" xfId="0" applyFont="1" applyFill="1" applyBorder="1" applyAlignment="1">
      <alignment horizontal="left" vertical="top"/>
    </xf>
    <xf numFmtId="0" fontId="0" fillId="3" borderId="52" xfId="0" applyFill="1" applyBorder="1" applyAlignment="1">
      <alignment vertical="top"/>
    </xf>
    <xf numFmtId="0" fontId="0" fillId="0" borderId="19" xfId="0" applyBorder="1" applyAlignment="1">
      <alignment vertical="top"/>
    </xf>
    <xf numFmtId="0" fontId="0" fillId="0" borderId="75" xfId="0" applyBorder="1" applyAlignment="1">
      <alignment vertical="top"/>
    </xf>
    <xf numFmtId="0" fontId="42" fillId="0" borderId="3" xfId="0" applyFont="1" applyBorder="1" applyAlignment="1">
      <alignment horizontal="left" vertical="top" wrapText="1"/>
    </xf>
    <xf numFmtId="0" fontId="43" fillId="0" borderId="3" xfId="0" applyFont="1" applyBorder="1" applyAlignment="1">
      <alignment horizontal="right" vertical="top" wrapText="1"/>
    </xf>
    <xf numFmtId="3" fontId="27" fillId="7" borderId="74" xfId="0" applyNumberFormat="1" applyFont="1" applyFill="1" applyBorder="1" applyAlignment="1">
      <alignment vertical="top"/>
    </xf>
    <xf numFmtId="0" fontId="0" fillId="3" borderId="11" xfId="0" applyFill="1" applyBorder="1" applyAlignment="1">
      <alignment vertical="top"/>
    </xf>
    <xf numFmtId="0" fontId="2" fillId="0" borderId="0" xfId="0" applyFont="1" applyAlignment="1">
      <alignment vertical="top"/>
    </xf>
    <xf numFmtId="0" fontId="29" fillId="6" borderId="79" xfId="0" applyFont="1" applyFill="1" applyBorder="1" applyAlignment="1">
      <alignment horizontal="center" vertical="top" wrapText="1"/>
    </xf>
    <xf numFmtId="0" fontId="0" fillId="3" borderId="20" xfId="0" applyFill="1" applyBorder="1" applyAlignment="1">
      <alignment vertical="top"/>
    </xf>
    <xf numFmtId="0" fontId="0" fillId="3" borderId="53" xfId="0" applyFill="1" applyBorder="1" applyAlignment="1">
      <alignment vertical="top"/>
    </xf>
    <xf numFmtId="3" fontId="45" fillId="0" borderId="3" xfId="0" applyNumberFormat="1" applyFont="1" applyBorder="1" applyAlignment="1">
      <alignment vertical="top"/>
    </xf>
    <xf numFmtId="0" fontId="45" fillId="0" borderId="3" xfId="0" applyFont="1" applyBorder="1" applyAlignment="1">
      <alignment vertical="top"/>
    </xf>
    <xf numFmtId="0" fontId="1" fillId="3" borderId="11" xfId="0" applyFont="1" applyFill="1" applyBorder="1" applyAlignment="1">
      <alignment horizontal="left" vertical="top"/>
    </xf>
    <xf numFmtId="0" fontId="1" fillId="3" borderId="20" xfId="0" applyFont="1" applyFill="1" applyBorder="1" applyAlignment="1">
      <alignment horizontal="left" vertical="top"/>
    </xf>
    <xf numFmtId="3" fontId="46" fillId="0" borderId="41" xfId="0" applyNumberFormat="1" applyFont="1" applyBorder="1" applyAlignment="1">
      <alignment vertical="top"/>
    </xf>
    <xf numFmtId="3" fontId="46" fillId="0" borderId="17" xfId="0" applyNumberFormat="1" applyFont="1" applyBorder="1" applyAlignment="1">
      <alignment vertical="top"/>
    </xf>
    <xf numFmtId="3" fontId="46" fillId="0" borderId="15" xfId="0" applyNumberFormat="1" applyFont="1" applyBorder="1" applyAlignment="1">
      <alignment vertical="top"/>
    </xf>
    <xf numFmtId="3" fontId="46" fillId="0" borderId="35" xfId="0" applyNumberFormat="1" applyFont="1" applyBorder="1" applyAlignment="1">
      <alignment vertical="top"/>
    </xf>
    <xf numFmtId="0" fontId="41" fillId="9" borderId="3" xfId="0" applyFont="1" applyFill="1" applyBorder="1" applyAlignment="1">
      <alignment horizontal="center" vertical="top" wrapText="1"/>
    </xf>
    <xf numFmtId="0" fontId="39" fillId="9" borderId="3" xfId="0" applyFont="1" applyFill="1" applyBorder="1" applyAlignment="1">
      <alignment horizontal="left" vertical="top" wrapText="1"/>
    </xf>
    <xf numFmtId="3" fontId="41" fillId="9" borderId="3" xfId="0" applyNumberFormat="1" applyFont="1" applyFill="1" applyBorder="1" applyAlignment="1">
      <alignment horizontal="right" vertical="top" wrapText="1"/>
    </xf>
    <xf numFmtId="9" fontId="41" fillId="9" borderId="3" xfId="0" applyNumberFormat="1" applyFont="1" applyFill="1" applyBorder="1" applyAlignment="1">
      <alignment horizontal="right" vertical="top" wrapText="1"/>
    </xf>
    <xf numFmtId="3" fontId="42" fillId="0" borderId="3" xfId="0" applyNumberFormat="1" applyFont="1" applyBorder="1" applyAlignment="1">
      <alignment horizontal="right" vertical="top" wrapText="1"/>
    </xf>
    <xf numFmtId="9" fontId="42" fillId="0" borderId="3" xfId="0" applyNumberFormat="1" applyFont="1" applyBorder="1" applyAlignment="1">
      <alignment horizontal="right" vertical="top" wrapText="1"/>
    </xf>
    <xf numFmtId="0" fontId="41" fillId="9" borderId="3" xfId="0" applyFont="1" applyFill="1" applyBorder="1" applyAlignment="1">
      <alignment horizontal="left" vertical="top" wrapText="1"/>
    </xf>
    <xf numFmtId="0" fontId="41" fillId="0" borderId="3" xfId="0" applyFont="1" applyBorder="1" applyAlignment="1">
      <alignment horizontal="left" vertical="top" wrapText="1"/>
    </xf>
    <xf numFmtId="3" fontId="41" fillId="0" borderId="3" xfId="0" applyNumberFormat="1" applyFont="1" applyBorder="1" applyAlignment="1">
      <alignment horizontal="right" vertical="top" wrapText="1"/>
    </xf>
    <xf numFmtId="3" fontId="41" fillId="0" borderId="3" xfId="0" applyNumberFormat="1" applyFont="1" applyBorder="1" applyAlignment="1">
      <alignment horizontal="left" vertical="top" wrapText="1"/>
    </xf>
    <xf numFmtId="3" fontId="42" fillId="0" borderId="0" xfId="0" applyNumberFormat="1" applyFont="1" applyAlignment="1">
      <alignment horizontal="right" vertical="top" wrapText="1"/>
    </xf>
    <xf numFmtId="3" fontId="42" fillId="0" borderId="0" xfId="0" applyNumberFormat="1" applyFont="1" applyAlignment="1">
      <alignment horizontal="left" vertical="top" wrapText="1"/>
    </xf>
    <xf numFmtId="14" fontId="41" fillId="9" borderId="3" xfId="0" applyNumberFormat="1" applyFont="1" applyFill="1" applyBorder="1" applyAlignment="1">
      <alignment horizontal="center" vertical="top" wrapText="1"/>
    </xf>
    <xf numFmtId="3" fontId="41" fillId="9" borderId="1" xfId="0" applyNumberFormat="1" applyFont="1" applyFill="1" applyBorder="1" applyAlignment="1">
      <alignment horizontal="center" vertical="top" wrapText="1"/>
    </xf>
    <xf numFmtId="0" fontId="41" fillId="9" borderId="1" xfId="0" applyFont="1" applyFill="1" applyBorder="1" applyAlignment="1">
      <alignment horizontal="center" vertical="top" wrapText="1"/>
    </xf>
    <xf numFmtId="0" fontId="3" fillId="0" borderId="0" xfId="0" applyFont="1" applyAlignment="1">
      <alignment vertical="top"/>
    </xf>
    <xf numFmtId="165" fontId="0" fillId="0" borderId="0" xfId="0" applyNumberFormat="1"/>
    <xf numFmtId="4" fontId="42" fillId="0" borderId="0" xfId="0" applyNumberFormat="1" applyFont="1" applyAlignment="1">
      <alignment horizontal="left" vertical="top" wrapText="1"/>
    </xf>
    <xf numFmtId="0" fontId="1" fillId="3" borderId="44" xfId="0" applyFont="1" applyFill="1" applyBorder="1" applyAlignment="1">
      <alignment vertical="top"/>
    </xf>
    <xf numFmtId="3" fontId="1" fillId="3" borderId="3" xfId="0" applyNumberFormat="1" applyFont="1" applyFill="1" applyBorder="1" applyAlignment="1">
      <alignment horizontal="center" vertical="top" wrapText="1"/>
    </xf>
    <xf numFmtId="0" fontId="1" fillId="3" borderId="3" xfId="0" applyFont="1" applyFill="1" applyBorder="1" applyAlignment="1">
      <alignment horizontal="center" vertical="top"/>
    </xf>
    <xf numFmtId="0" fontId="1" fillId="3" borderId="11" xfId="0" applyFont="1" applyFill="1" applyBorder="1" applyAlignment="1">
      <alignment vertical="top"/>
    </xf>
    <xf numFmtId="0" fontId="12" fillId="0" borderId="11" xfId="0" applyFont="1" applyBorder="1" applyAlignment="1">
      <alignment vertical="top"/>
    </xf>
    <xf numFmtId="0" fontId="1" fillId="3" borderId="44" xfId="0" applyFont="1" applyFill="1" applyBorder="1" applyAlignment="1">
      <alignment horizontal="left" vertical="top"/>
    </xf>
    <xf numFmtId="0" fontId="1" fillId="3" borderId="43" xfId="0" applyFont="1" applyFill="1" applyBorder="1" applyAlignment="1">
      <alignment horizontal="left" vertical="top"/>
    </xf>
    <xf numFmtId="0" fontId="9" fillId="3" borderId="3" xfId="0" applyFont="1" applyFill="1" applyBorder="1" applyAlignment="1">
      <alignment horizontal="left" vertical="top" wrapText="1"/>
    </xf>
    <xf numFmtId="0" fontId="10" fillId="3" borderId="3" xfId="0" applyFont="1" applyFill="1" applyBorder="1" applyAlignment="1">
      <alignment horizontal="left" vertical="top" wrapText="1"/>
    </xf>
    <xf numFmtId="0" fontId="1" fillId="3" borderId="3" xfId="0" applyFont="1" applyFill="1" applyBorder="1" applyAlignment="1">
      <alignment horizontal="left" vertical="top" wrapText="1"/>
    </xf>
    <xf numFmtId="3" fontId="21" fillId="0" borderId="3" xfId="0" applyNumberFormat="1" applyFont="1" applyBorder="1" applyAlignment="1">
      <alignment vertical="top"/>
    </xf>
    <xf numFmtId="3" fontId="20" fillId="0" borderId="3" xfId="0" applyNumberFormat="1" applyFont="1" applyBorder="1" applyAlignment="1">
      <alignment vertical="top"/>
    </xf>
    <xf numFmtId="0" fontId="0" fillId="3" borderId="11" xfId="0" applyFill="1" applyBorder="1" applyAlignment="1">
      <alignment horizontal="center" vertical="top" wrapText="1"/>
    </xf>
    <xf numFmtId="164" fontId="14" fillId="4" borderId="24" xfId="0" applyNumberFormat="1" applyFont="1" applyFill="1" applyBorder="1" applyAlignment="1">
      <alignment horizontal="center" vertical="top" wrapText="1"/>
    </xf>
    <xf numFmtId="0" fontId="11" fillId="0" borderId="0" xfId="0" applyFont="1" applyAlignment="1">
      <alignment vertical="top"/>
    </xf>
    <xf numFmtId="0" fontId="18" fillId="0" borderId="0" xfId="0" applyFont="1" applyAlignment="1">
      <alignment vertical="top"/>
    </xf>
    <xf numFmtId="0" fontId="2" fillId="0" borderId="0" xfId="0" applyFont="1" applyAlignment="1">
      <alignment vertical="top" wrapText="1"/>
    </xf>
    <xf numFmtId="3" fontId="19" fillId="0" borderId="32" xfId="0" applyNumberFormat="1" applyFont="1" applyBorder="1" applyAlignment="1">
      <alignment vertical="top"/>
    </xf>
    <xf numFmtId="3" fontId="19" fillId="0" borderId="41" xfId="0" applyNumberFormat="1" applyFont="1" applyBorder="1" applyAlignment="1">
      <alignment vertical="top"/>
    </xf>
    <xf numFmtId="0" fontId="2" fillId="0" borderId="41" xfId="0" applyFont="1" applyBorder="1" applyAlignment="1">
      <alignment vertical="top"/>
    </xf>
    <xf numFmtId="0" fontId="2" fillId="0" borderId="37" xfId="0" applyFont="1" applyBorder="1" applyAlignment="1">
      <alignment vertical="top"/>
    </xf>
    <xf numFmtId="0" fontId="2" fillId="0" borderId="35" xfId="0" applyFont="1" applyBorder="1" applyAlignment="1">
      <alignment vertical="top"/>
    </xf>
    <xf numFmtId="3" fontId="0" fillId="0" borderId="18" xfId="0" applyNumberFormat="1" applyBorder="1" applyAlignment="1">
      <alignment vertical="top"/>
    </xf>
    <xf numFmtId="0" fontId="17" fillId="0" borderId="0" xfId="0" applyFont="1" applyAlignment="1">
      <alignment vertical="top"/>
    </xf>
    <xf numFmtId="3" fontId="0" fillId="0" borderId="4" xfId="0" applyNumberFormat="1" applyBorder="1" applyAlignment="1">
      <alignment vertical="top"/>
    </xf>
    <xf numFmtId="3" fontId="0" fillId="0" borderId="5" xfId="0" applyNumberFormat="1" applyBorder="1" applyAlignment="1">
      <alignment vertical="top"/>
    </xf>
    <xf numFmtId="3" fontId="0" fillId="0" borderId="6" xfId="0" applyNumberFormat="1" applyBorder="1" applyAlignment="1">
      <alignment vertical="top"/>
    </xf>
    <xf numFmtId="0" fontId="0" fillId="0" borderId="0" xfId="0" quotePrefix="1" applyAlignment="1">
      <alignment vertical="top"/>
    </xf>
    <xf numFmtId="3" fontId="0" fillId="0" borderId="0" xfId="0" applyNumberFormat="1" applyAlignment="1">
      <alignment vertical="top"/>
    </xf>
    <xf numFmtId="0" fontId="17" fillId="4" borderId="10" xfId="0" applyFont="1" applyFill="1" applyBorder="1" applyAlignment="1">
      <alignment horizontal="center" vertical="top"/>
    </xf>
    <xf numFmtId="0" fontId="17" fillId="4" borderId="8" xfId="0" applyFont="1" applyFill="1" applyBorder="1" applyAlignment="1">
      <alignment horizontal="center" vertical="top"/>
    </xf>
    <xf numFmtId="0" fontId="18" fillId="11" borderId="3" xfId="0" applyFont="1" applyFill="1" applyBorder="1" applyAlignment="1" applyProtection="1">
      <alignment horizontal="left" vertical="top" wrapText="1"/>
      <protection locked="0"/>
    </xf>
    <xf numFmtId="0" fontId="15" fillId="11" borderId="3" xfId="0" applyFont="1" applyFill="1" applyBorder="1" applyAlignment="1" applyProtection="1">
      <alignment horizontal="left" vertical="top" wrapText="1"/>
      <protection locked="0"/>
    </xf>
    <xf numFmtId="0" fontId="18" fillId="11" borderId="22" xfId="0" applyFont="1" applyFill="1" applyBorder="1" applyAlignment="1" applyProtection="1">
      <alignment vertical="top"/>
      <protection locked="0"/>
    </xf>
    <xf numFmtId="0" fontId="18" fillId="11" borderId="39" xfId="0" applyFont="1" applyFill="1" applyBorder="1" applyAlignment="1" applyProtection="1">
      <alignment vertical="top" wrapText="1"/>
      <protection locked="0"/>
    </xf>
    <xf numFmtId="0" fontId="2" fillId="11" borderId="3" xfId="0" applyFont="1" applyFill="1" applyBorder="1" applyAlignment="1" applyProtection="1">
      <alignment vertical="top"/>
      <protection locked="0"/>
    </xf>
    <xf numFmtId="0" fontId="18" fillId="11" borderId="22" xfId="0" applyFont="1" applyFill="1" applyBorder="1" applyAlignment="1" applyProtection="1">
      <alignment vertical="top" wrapText="1"/>
      <protection locked="0"/>
    </xf>
    <xf numFmtId="0" fontId="18" fillId="11" borderId="20" xfId="0" applyFont="1" applyFill="1" applyBorder="1" applyAlignment="1" applyProtection="1">
      <alignment vertical="top"/>
      <protection locked="0"/>
    </xf>
    <xf numFmtId="0" fontId="2" fillId="11" borderId="22" xfId="0" applyFont="1" applyFill="1" applyBorder="1" applyAlignment="1" applyProtection="1">
      <alignment vertical="top" wrapText="1"/>
      <protection locked="0"/>
    </xf>
    <xf numFmtId="0" fontId="2" fillId="11" borderId="39" xfId="0" applyFont="1" applyFill="1" applyBorder="1" applyAlignment="1" applyProtection="1">
      <alignment vertical="top" wrapText="1"/>
      <protection locked="0"/>
    </xf>
    <xf numFmtId="0" fontId="2" fillId="11" borderId="3" xfId="0" applyFont="1" applyFill="1" applyBorder="1" applyAlignment="1" applyProtection="1">
      <alignment vertical="top" wrapText="1"/>
      <protection locked="0"/>
    </xf>
    <xf numFmtId="0" fontId="18" fillId="11" borderId="43" xfId="0" applyFont="1" applyFill="1" applyBorder="1" applyAlignment="1" applyProtection="1">
      <alignment vertical="top"/>
      <protection locked="0"/>
    </xf>
    <xf numFmtId="3" fontId="0" fillId="11" borderId="16" xfId="0" applyNumberFormat="1" applyFill="1" applyBorder="1" applyAlignment="1" applyProtection="1">
      <alignment horizontal="right" vertical="top" wrapText="1"/>
      <protection locked="0"/>
    </xf>
    <xf numFmtId="3" fontId="0" fillId="11" borderId="17" xfId="0" applyNumberFormat="1" applyFill="1" applyBorder="1" applyAlignment="1" applyProtection="1">
      <alignment horizontal="right" vertical="top" wrapText="1"/>
      <protection locked="0"/>
    </xf>
    <xf numFmtId="3" fontId="0" fillId="11" borderId="35" xfId="0" applyNumberFormat="1" applyFill="1" applyBorder="1" applyAlignment="1" applyProtection="1">
      <alignment horizontal="left" vertical="top" wrapText="1"/>
      <protection locked="0"/>
    </xf>
    <xf numFmtId="3" fontId="16" fillId="12" borderId="14" xfId="0" applyNumberFormat="1" applyFont="1" applyFill="1" applyBorder="1" applyAlignment="1">
      <alignment vertical="top"/>
    </xf>
    <xf numFmtId="3" fontId="19" fillId="12" borderId="31" xfId="0" applyNumberFormat="1" applyFont="1" applyFill="1" applyBorder="1" applyAlignment="1">
      <alignment vertical="top"/>
    </xf>
    <xf numFmtId="3" fontId="46" fillId="12" borderId="1" xfId="0" applyNumberFormat="1" applyFont="1" applyFill="1" applyBorder="1" applyAlignment="1">
      <alignment vertical="top"/>
    </xf>
    <xf numFmtId="3" fontId="46" fillId="12" borderId="22" xfId="0" applyNumberFormat="1" applyFont="1" applyFill="1" applyBorder="1" applyAlignment="1">
      <alignment vertical="top"/>
    </xf>
    <xf numFmtId="3" fontId="46" fillId="12" borderId="2" xfId="0" applyNumberFormat="1" applyFont="1" applyFill="1" applyBorder="1" applyAlignment="1">
      <alignment vertical="top"/>
    </xf>
    <xf numFmtId="3" fontId="46" fillId="12" borderId="38" xfId="0" applyNumberFormat="1" applyFont="1" applyFill="1" applyBorder="1" applyAlignment="1">
      <alignment vertical="top"/>
    </xf>
    <xf numFmtId="3" fontId="46" fillId="12" borderId="14" xfId="0" applyNumberFormat="1" applyFont="1" applyFill="1" applyBorder="1" applyAlignment="1">
      <alignment vertical="top"/>
    </xf>
    <xf numFmtId="0" fontId="18" fillId="12" borderId="38" xfId="0" applyFont="1" applyFill="1" applyBorder="1" applyAlignment="1">
      <alignment vertical="top"/>
    </xf>
    <xf numFmtId="0" fontId="18" fillId="12" borderId="39" xfId="0" applyFont="1" applyFill="1" applyBorder="1" applyAlignment="1">
      <alignment vertical="top" wrapText="1"/>
    </xf>
    <xf numFmtId="3" fontId="19" fillId="12" borderId="4" xfId="0" applyNumberFormat="1" applyFont="1" applyFill="1" applyBorder="1" applyAlignment="1">
      <alignment vertical="top"/>
    </xf>
    <xf numFmtId="3" fontId="19" fillId="12" borderId="3" xfId="0" applyNumberFormat="1" applyFont="1" applyFill="1" applyBorder="1" applyAlignment="1">
      <alignment vertical="top"/>
    </xf>
    <xf numFmtId="3" fontId="2" fillId="12" borderId="16" xfId="0" applyNumberFormat="1" applyFont="1" applyFill="1" applyBorder="1" applyAlignment="1">
      <alignment horizontal="right" vertical="top" wrapText="1"/>
    </xf>
    <xf numFmtId="0" fontId="15" fillId="12" borderId="1" xfId="0" applyFont="1" applyFill="1" applyBorder="1" applyAlignment="1">
      <alignment horizontal="left" vertical="top" wrapText="1"/>
    </xf>
    <xf numFmtId="0" fontId="18" fillId="12" borderId="1" xfId="0" applyFont="1" applyFill="1" applyBorder="1" applyAlignment="1">
      <alignment horizontal="left" vertical="top" wrapText="1"/>
    </xf>
    <xf numFmtId="0" fontId="18" fillId="12" borderId="1" xfId="0" applyFont="1" applyFill="1" applyBorder="1" applyAlignment="1">
      <alignment horizontal="left" vertical="top"/>
    </xf>
    <xf numFmtId="0" fontId="18" fillId="12" borderId="38" xfId="0" applyFont="1" applyFill="1" applyBorder="1" applyAlignment="1">
      <alignment vertical="top" wrapText="1"/>
    </xf>
    <xf numFmtId="0" fontId="18" fillId="12" borderId="3" xfId="0" applyFont="1" applyFill="1" applyBorder="1" applyAlignment="1">
      <alignment horizontal="left" vertical="top"/>
    </xf>
    <xf numFmtId="0" fontId="18" fillId="12" borderId="3" xfId="0" applyFont="1" applyFill="1" applyBorder="1" applyAlignment="1">
      <alignment horizontal="left" vertical="top" wrapText="1"/>
    </xf>
    <xf numFmtId="0" fontId="15" fillId="12" borderId="3" xfId="0" applyFont="1" applyFill="1" applyBorder="1" applyAlignment="1">
      <alignment horizontal="left" vertical="top" wrapText="1"/>
    </xf>
    <xf numFmtId="3" fontId="19" fillId="12" borderId="11" xfId="0" applyNumberFormat="1" applyFont="1" applyFill="1" applyBorder="1" applyAlignment="1">
      <alignment vertical="top"/>
    </xf>
    <xf numFmtId="3" fontId="46" fillId="12" borderId="20" xfId="0" applyNumberFormat="1" applyFont="1" applyFill="1" applyBorder="1" applyAlignment="1">
      <alignment vertical="top"/>
    </xf>
    <xf numFmtId="3" fontId="46" fillId="12" borderId="11" xfId="0" applyNumberFormat="1" applyFont="1" applyFill="1" applyBorder="1" applyAlignment="1">
      <alignment vertical="top"/>
    </xf>
    <xf numFmtId="3" fontId="46" fillId="12" borderId="26" xfId="0" applyNumberFormat="1" applyFont="1" applyFill="1" applyBorder="1" applyAlignment="1">
      <alignment vertical="top"/>
    </xf>
    <xf numFmtId="3" fontId="46" fillId="12" borderId="12" xfId="0" applyNumberFormat="1" applyFont="1" applyFill="1" applyBorder="1" applyAlignment="1">
      <alignment vertical="top"/>
    </xf>
    <xf numFmtId="0" fontId="2" fillId="12" borderId="38" xfId="0" applyFont="1" applyFill="1" applyBorder="1" applyAlignment="1">
      <alignment vertical="top" wrapText="1"/>
    </xf>
    <xf numFmtId="0" fontId="2" fillId="12" borderId="39" xfId="0" applyFont="1" applyFill="1" applyBorder="1" applyAlignment="1">
      <alignment vertical="top" wrapText="1"/>
    </xf>
    <xf numFmtId="0" fontId="4" fillId="11" borderId="3" xfId="0" applyFont="1" applyFill="1" applyBorder="1" applyAlignment="1" applyProtection="1">
      <alignment vertical="top" wrapText="1"/>
      <protection locked="0"/>
    </xf>
    <xf numFmtId="0" fontId="18" fillId="12" borderId="1" xfId="1" applyFont="1" applyFill="1" applyBorder="1" applyAlignment="1">
      <alignment horizontal="left" vertical="top" wrapText="1"/>
    </xf>
    <xf numFmtId="0" fontId="18" fillId="12" borderId="31" xfId="0" applyFont="1" applyFill="1" applyBorder="1" applyAlignment="1">
      <alignment horizontal="left" vertical="top" wrapText="1"/>
    </xf>
    <xf numFmtId="0" fontId="18" fillId="12" borderId="3" xfId="1" applyFont="1" applyFill="1" applyBorder="1" applyAlignment="1">
      <alignment horizontal="left" vertical="top" wrapText="1"/>
    </xf>
    <xf numFmtId="0" fontId="17" fillId="4" borderId="40" xfId="0" applyFont="1" applyFill="1" applyBorder="1" applyAlignment="1">
      <alignment horizontal="center" vertical="top"/>
    </xf>
    <xf numFmtId="49" fontId="17" fillId="4" borderId="7" xfId="0" applyNumberFormat="1" applyFont="1" applyFill="1" applyBorder="1" applyAlignment="1">
      <alignment horizontal="center" vertical="top" wrapText="1"/>
    </xf>
    <xf numFmtId="49" fontId="17" fillId="4" borderId="8" xfId="0" applyNumberFormat="1" applyFont="1" applyFill="1" applyBorder="1" applyAlignment="1">
      <alignment horizontal="center" vertical="top" wrapText="1"/>
    </xf>
    <xf numFmtId="49" fontId="13" fillId="4" borderId="8" xfId="0" applyNumberFormat="1" applyFont="1" applyFill="1" applyBorder="1" applyAlignment="1">
      <alignment horizontal="center" vertical="top" wrapText="1"/>
    </xf>
    <xf numFmtId="49" fontId="13" fillId="4" borderId="8" xfId="0" applyNumberFormat="1" applyFont="1" applyFill="1" applyBorder="1" applyAlignment="1">
      <alignment horizontal="center" vertical="top"/>
    </xf>
    <xf numFmtId="1" fontId="13" fillId="4" borderId="8" xfId="0" applyNumberFormat="1" applyFont="1" applyFill="1" applyBorder="1" applyAlignment="1">
      <alignment horizontal="center" vertical="top" wrapText="1"/>
    </xf>
    <xf numFmtId="49" fontId="17" fillId="4" borderId="10" xfId="0" applyNumberFormat="1" applyFont="1" applyFill="1" applyBorder="1" applyAlignment="1">
      <alignment horizontal="center" vertical="top" wrapText="1"/>
    </xf>
    <xf numFmtId="49" fontId="12" fillId="4" borderId="8" xfId="0" applyNumberFormat="1" applyFont="1" applyFill="1" applyBorder="1" applyAlignment="1">
      <alignment horizontal="center" vertical="top" wrapText="1"/>
    </xf>
    <xf numFmtId="1" fontId="12" fillId="4" borderId="8" xfId="0" applyNumberFormat="1" applyFont="1" applyFill="1" applyBorder="1" applyAlignment="1">
      <alignment horizontal="center" vertical="top" wrapText="1"/>
    </xf>
    <xf numFmtId="0" fontId="12" fillId="4" borderId="8" xfId="0" applyFont="1" applyFill="1" applyBorder="1" applyAlignment="1">
      <alignment horizontal="center" vertical="top" wrapText="1"/>
    </xf>
    <xf numFmtId="164" fontId="6" fillId="4" borderId="8" xfId="0" applyNumberFormat="1" applyFont="1" applyFill="1" applyBorder="1" applyAlignment="1">
      <alignment horizontal="center" vertical="top" wrapText="1"/>
    </xf>
    <xf numFmtId="164" fontId="6" fillId="4" borderId="10" xfId="0" applyNumberFormat="1" applyFont="1" applyFill="1" applyBorder="1" applyAlignment="1">
      <alignment horizontal="center" vertical="top" wrapText="1"/>
    </xf>
    <xf numFmtId="3" fontId="19" fillId="0" borderId="18" xfId="0" applyNumberFormat="1" applyFont="1" applyBorder="1" applyAlignment="1">
      <alignment vertical="top"/>
    </xf>
    <xf numFmtId="3" fontId="19" fillId="0" borderId="16" xfId="0" applyNumberFormat="1" applyFont="1" applyBorder="1" applyAlignment="1">
      <alignment vertical="top"/>
    </xf>
    <xf numFmtId="49" fontId="13" fillId="4" borderId="10" xfId="0" applyNumberFormat="1" applyFont="1" applyFill="1" applyBorder="1" applyAlignment="1">
      <alignment horizontal="center" vertical="top" wrapText="1"/>
    </xf>
    <xf numFmtId="49" fontId="11" fillId="4" borderId="7" xfId="0" applyNumberFormat="1" applyFont="1" applyFill="1" applyBorder="1" applyAlignment="1">
      <alignment horizontal="center" vertical="top" wrapText="1"/>
    </xf>
    <xf numFmtId="164" fontId="6" fillId="4" borderId="23" xfId="0" applyNumberFormat="1" applyFont="1" applyFill="1" applyBorder="1" applyAlignment="1">
      <alignment horizontal="center" vertical="top" wrapText="1"/>
    </xf>
    <xf numFmtId="1" fontId="12" fillId="4" borderId="30" xfId="0" applyNumberFormat="1" applyFont="1" applyFill="1" applyBorder="1" applyAlignment="1">
      <alignment horizontal="center" vertical="top" wrapText="1"/>
    </xf>
    <xf numFmtId="164" fontId="0" fillId="4" borderId="30" xfId="0" applyNumberFormat="1" applyFill="1" applyBorder="1" applyAlignment="1">
      <alignment horizontal="left" vertical="top" wrapText="1"/>
    </xf>
    <xf numFmtId="0" fontId="11" fillId="0" borderId="30" xfId="0" applyFont="1" applyBorder="1" applyAlignment="1">
      <alignment vertical="top"/>
    </xf>
    <xf numFmtId="3" fontId="46" fillId="12" borderId="5" xfId="0" applyNumberFormat="1" applyFont="1" applyFill="1" applyBorder="1" applyAlignment="1">
      <alignment vertical="top"/>
    </xf>
    <xf numFmtId="3" fontId="46" fillId="0" borderId="71" xfId="0" applyNumberFormat="1" applyFont="1" applyBorder="1" applyAlignment="1">
      <alignment vertical="top"/>
    </xf>
    <xf numFmtId="0" fontId="2" fillId="11" borderId="13" xfId="0" applyFont="1" applyFill="1" applyBorder="1" applyAlignment="1" applyProtection="1">
      <alignment vertical="top"/>
      <protection locked="0"/>
    </xf>
    <xf numFmtId="0" fontId="2" fillId="11" borderId="12" xfId="0" applyFont="1" applyFill="1" applyBorder="1" applyAlignment="1" applyProtection="1">
      <alignment vertical="top"/>
      <protection locked="0"/>
    </xf>
    <xf numFmtId="3" fontId="46" fillId="0" borderId="18" xfId="0" applyNumberFormat="1" applyFont="1" applyBorder="1" applyAlignment="1">
      <alignment vertical="top"/>
    </xf>
    <xf numFmtId="3" fontId="46" fillId="0" borderId="16" xfId="0" applyNumberFormat="1" applyFont="1" applyBorder="1" applyAlignment="1">
      <alignment vertical="top"/>
    </xf>
    <xf numFmtId="1" fontId="12" fillId="4" borderId="23" xfId="0" applyNumberFormat="1" applyFont="1" applyFill="1" applyBorder="1" applyAlignment="1">
      <alignment horizontal="center" vertical="top" wrapText="1"/>
    </xf>
    <xf numFmtId="0" fontId="18" fillId="12" borderId="26" xfId="0" applyFont="1" applyFill="1" applyBorder="1" applyAlignment="1">
      <alignment vertical="top" wrapText="1"/>
    </xf>
    <xf numFmtId="0" fontId="18" fillId="12" borderId="46" xfId="0" applyFont="1" applyFill="1" applyBorder="1" applyAlignment="1">
      <alignment horizontal="center" vertical="top"/>
    </xf>
    <xf numFmtId="0" fontId="2" fillId="12" borderId="46" xfId="0" applyFont="1" applyFill="1" applyBorder="1" applyAlignment="1">
      <alignment vertical="top" wrapText="1"/>
    </xf>
    <xf numFmtId="0" fontId="2" fillId="11" borderId="39" xfId="0" applyFont="1" applyFill="1" applyBorder="1" applyAlignment="1" applyProtection="1">
      <alignment vertical="top"/>
      <protection locked="0"/>
    </xf>
    <xf numFmtId="0" fontId="2" fillId="11" borderId="36" xfId="0" applyFont="1" applyFill="1" applyBorder="1" applyAlignment="1" applyProtection="1">
      <alignment vertical="top"/>
      <protection locked="0"/>
    </xf>
    <xf numFmtId="0" fontId="0" fillId="0" borderId="3" xfId="0" applyBorder="1" applyAlignment="1">
      <alignment vertical="top"/>
    </xf>
    <xf numFmtId="0" fontId="0" fillId="3" borderId="3" xfId="0" applyFill="1" applyBorder="1" applyAlignment="1">
      <alignment vertical="top"/>
    </xf>
    <xf numFmtId="0" fontId="0" fillId="3" borderId="19" xfId="0" applyFill="1" applyBorder="1" applyAlignment="1">
      <alignment vertical="top"/>
    </xf>
    <xf numFmtId="0" fontId="1" fillId="3" borderId="0" xfId="0" applyFont="1" applyFill="1" applyAlignment="1">
      <alignment horizontal="left" vertical="top"/>
    </xf>
    <xf numFmtId="0" fontId="1" fillId="2" borderId="33" xfId="0" applyFont="1" applyFill="1" applyBorder="1" applyAlignment="1">
      <alignment vertical="top" wrapText="1"/>
    </xf>
    <xf numFmtId="0" fontId="0" fillId="0" borderId="36" xfId="0" applyBorder="1" applyAlignment="1">
      <alignment horizontal="left" vertical="top"/>
    </xf>
    <xf numFmtId="3" fontId="0" fillId="12" borderId="37" xfId="0" applyNumberFormat="1" applyFill="1" applyBorder="1" applyAlignment="1">
      <alignment horizontal="left" vertical="top" wrapText="1"/>
    </xf>
    <xf numFmtId="0" fontId="0" fillId="0" borderId="42" xfId="0" applyBorder="1" applyAlignment="1">
      <alignment horizontal="left" vertical="top"/>
    </xf>
    <xf numFmtId="3" fontId="46" fillId="12" borderId="64" xfId="0" applyNumberFormat="1" applyFont="1" applyFill="1" applyBorder="1" applyAlignment="1">
      <alignment vertical="top"/>
    </xf>
    <xf numFmtId="3" fontId="46" fillId="0" borderId="54" xfId="0" applyNumberFormat="1" applyFont="1" applyBorder="1" applyAlignment="1">
      <alignment vertical="top"/>
    </xf>
    <xf numFmtId="164" fontId="0" fillId="4" borderId="82" xfId="0" applyNumberFormat="1" applyFill="1" applyBorder="1" applyAlignment="1">
      <alignment horizontal="center" vertical="top" wrapText="1"/>
    </xf>
    <xf numFmtId="164" fontId="0" fillId="4" borderId="83" xfId="0" applyNumberFormat="1" applyFill="1" applyBorder="1" applyAlignment="1">
      <alignment horizontal="center" vertical="top" wrapText="1"/>
    </xf>
    <xf numFmtId="164" fontId="0" fillId="4" borderId="81" xfId="0" applyNumberFormat="1" applyFill="1" applyBorder="1" applyAlignment="1">
      <alignment horizontal="center" vertical="top" wrapText="1"/>
    </xf>
    <xf numFmtId="164" fontId="0" fillId="4" borderId="76" xfId="0" applyNumberFormat="1" applyFill="1" applyBorder="1" applyAlignment="1">
      <alignment horizontal="center" vertical="top" wrapText="1"/>
    </xf>
    <xf numFmtId="164" fontId="0" fillId="4" borderId="65" xfId="0" applyNumberFormat="1" applyFill="1" applyBorder="1" applyAlignment="1">
      <alignment horizontal="center" vertical="top" wrapText="1"/>
    </xf>
    <xf numFmtId="3" fontId="46" fillId="12" borderId="3" xfId="0" applyNumberFormat="1" applyFont="1" applyFill="1" applyBorder="1" applyAlignment="1">
      <alignment vertical="top"/>
    </xf>
    <xf numFmtId="3" fontId="46" fillId="12" borderId="13" xfId="0" applyNumberFormat="1" applyFont="1" applyFill="1" applyBorder="1" applyAlignment="1">
      <alignment vertical="top"/>
    </xf>
    <xf numFmtId="0" fontId="18" fillId="11" borderId="3" xfId="1" applyFont="1" applyFill="1" applyBorder="1" applyAlignment="1" applyProtection="1">
      <alignment horizontal="left" vertical="top" wrapText="1"/>
      <protection locked="0"/>
    </xf>
    <xf numFmtId="0" fontId="18" fillId="11" borderId="43" xfId="0" applyFont="1" applyFill="1" applyBorder="1" applyAlignment="1" applyProtection="1">
      <alignment vertical="top" wrapText="1"/>
      <protection locked="0"/>
    </xf>
    <xf numFmtId="0" fontId="48" fillId="0" borderId="0" xfId="0" applyFont="1" applyAlignment="1">
      <alignment vertical="top"/>
    </xf>
    <xf numFmtId="3" fontId="27" fillId="0" borderId="74" xfId="0" applyNumberFormat="1" applyFont="1" applyBorder="1" applyAlignment="1">
      <alignment vertical="top"/>
    </xf>
    <xf numFmtId="0" fontId="26" fillId="0" borderId="75" xfId="0" applyFont="1" applyBorder="1" applyAlignment="1">
      <alignment vertical="top"/>
    </xf>
    <xf numFmtId="0" fontId="26" fillId="0" borderId="52" xfId="0" applyFont="1" applyBorder="1" applyAlignment="1">
      <alignment vertical="top"/>
    </xf>
    <xf numFmtId="3" fontId="26" fillId="0" borderId="74" xfId="0" applyNumberFormat="1" applyFont="1" applyBorder="1" applyAlignment="1">
      <alignment vertical="top"/>
    </xf>
    <xf numFmtId="0" fontId="0" fillId="0" borderId="20" xfId="0" applyBorder="1" applyAlignment="1">
      <alignment vertical="top"/>
    </xf>
    <xf numFmtId="0" fontId="0" fillId="0" borderId="53" xfId="0" applyBorder="1" applyAlignment="1">
      <alignment vertical="top"/>
    </xf>
    <xf numFmtId="3" fontId="26" fillId="0" borderId="66" xfId="0" applyNumberFormat="1" applyFont="1" applyBorder="1" applyAlignment="1">
      <alignment vertical="top"/>
    </xf>
    <xf numFmtId="0" fontId="26" fillId="0" borderId="70" xfId="0" applyFont="1" applyBorder="1" applyAlignment="1">
      <alignment vertical="top"/>
    </xf>
    <xf numFmtId="3" fontId="26" fillId="0" borderId="54" xfId="0" applyNumberFormat="1" applyFont="1" applyBorder="1" applyAlignment="1">
      <alignment vertical="top"/>
    </xf>
    <xf numFmtId="0" fontId="26" fillId="0" borderId="54" xfId="0" applyFont="1" applyBorder="1" applyAlignment="1">
      <alignment vertical="top"/>
    </xf>
    <xf numFmtId="0" fontId="26" fillId="0" borderId="55" xfId="0" applyFont="1" applyBorder="1" applyAlignment="1">
      <alignment vertical="top"/>
    </xf>
    <xf numFmtId="3" fontId="46" fillId="11" borderId="38" xfId="0" applyNumberFormat="1" applyFont="1" applyFill="1" applyBorder="1" applyAlignment="1" applyProtection="1">
      <alignment vertical="top"/>
      <protection locked="0"/>
    </xf>
    <xf numFmtId="3" fontId="46" fillId="11" borderId="2" xfId="0" applyNumberFormat="1" applyFont="1" applyFill="1" applyBorder="1" applyAlignment="1" applyProtection="1">
      <alignment vertical="top"/>
      <protection locked="0"/>
    </xf>
    <xf numFmtId="3" fontId="46" fillId="11" borderId="14" xfId="0" applyNumberFormat="1" applyFont="1" applyFill="1" applyBorder="1" applyAlignment="1" applyProtection="1">
      <alignment vertical="top"/>
      <protection locked="0"/>
    </xf>
    <xf numFmtId="3" fontId="46" fillId="11" borderId="22" xfId="0" applyNumberFormat="1" applyFont="1" applyFill="1" applyBorder="1" applyAlignment="1" applyProtection="1">
      <alignment vertical="top"/>
      <protection locked="0"/>
    </xf>
    <xf numFmtId="3" fontId="46" fillId="11" borderId="13" xfId="0" applyNumberFormat="1" applyFont="1" applyFill="1" applyBorder="1" applyAlignment="1" applyProtection="1">
      <alignment vertical="top"/>
      <protection locked="0"/>
    </xf>
    <xf numFmtId="3" fontId="46" fillId="11" borderId="3" xfId="0" applyNumberFormat="1" applyFont="1" applyFill="1" applyBorder="1" applyAlignment="1" applyProtection="1">
      <alignment vertical="top"/>
      <protection locked="0"/>
    </xf>
    <xf numFmtId="3" fontId="46" fillId="11" borderId="12" xfId="0" applyNumberFormat="1" applyFont="1" applyFill="1" applyBorder="1" applyAlignment="1" applyProtection="1">
      <alignment vertical="top"/>
      <protection locked="0"/>
    </xf>
    <xf numFmtId="4" fontId="46" fillId="11" borderId="2" xfId="0" applyNumberFormat="1" applyFont="1" applyFill="1" applyBorder="1" applyAlignment="1" applyProtection="1">
      <alignment vertical="top"/>
      <protection locked="0"/>
    </xf>
    <xf numFmtId="3" fontId="46" fillId="11" borderId="26" xfId="0" applyNumberFormat="1" applyFont="1" applyFill="1" applyBorder="1" applyAlignment="1" applyProtection="1">
      <alignment vertical="top"/>
      <protection locked="0"/>
    </xf>
    <xf numFmtId="3" fontId="46" fillId="11" borderId="11" xfId="0" applyNumberFormat="1" applyFont="1" applyFill="1" applyBorder="1" applyAlignment="1" applyProtection="1">
      <alignment vertical="top"/>
      <protection locked="0"/>
    </xf>
    <xf numFmtId="3" fontId="46" fillId="11" borderId="20" xfId="0" applyNumberFormat="1" applyFont="1" applyFill="1" applyBorder="1" applyAlignment="1" applyProtection="1">
      <alignment vertical="top"/>
      <protection locked="0"/>
    </xf>
    <xf numFmtId="3" fontId="46" fillId="11" borderId="12" xfId="0" applyNumberFormat="1" applyFont="1" applyFill="1" applyBorder="1" applyAlignment="1" applyProtection="1">
      <alignment vertical="top" wrapText="1"/>
      <protection locked="0"/>
    </xf>
    <xf numFmtId="3" fontId="46" fillId="11" borderId="19" xfId="0" applyNumberFormat="1" applyFont="1" applyFill="1" applyBorder="1" applyAlignment="1" applyProtection="1">
      <alignment horizontal="right" vertical="top"/>
      <protection locked="0"/>
    </xf>
    <xf numFmtId="3" fontId="46" fillId="11" borderId="3" xfId="0" applyNumberFormat="1" applyFont="1" applyFill="1" applyBorder="1" applyAlignment="1" applyProtection="1">
      <alignment horizontal="right" vertical="top"/>
      <protection locked="0"/>
    </xf>
    <xf numFmtId="3" fontId="46" fillId="11" borderId="12" xfId="0" applyNumberFormat="1" applyFont="1" applyFill="1" applyBorder="1" applyAlignment="1" applyProtection="1">
      <alignment horizontal="right" vertical="top"/>
      <protection locked="0"/>
    </xf>
    <xf numFmtId="3" fontId="46" fillId="11" borderId="13" xfId="0" applyNumberFormat="1" applyFont="1" applyFill="1" applyBorder="1" applyAlignment="1" applyProtection="1">
      <alignment horizontal="right" vertical="top"/>
      <protection locked="0"/>
    </xf>
    <xf numFmtId="3" fontId="46" fillId="11" borderId="11" xfId="0" applyNumberFormat="1" applyFont="1" applyFill="1" applyBorder="1" applyAlignment="1" applyProtection="1">
      <alignment horizontal="right" vertical="top"/>
      <protection locked="0"/>
    </xf>
    <xf numFmtId="3" fontId="46" fillId="11" borderId="3" xfId="0" applyNumberFormat="1" applyFont="1" applyFill="1" applyBorder="1" applyAlignment="1" applyProtection="1">
      <alignment horizontal="right" vertical="top" wrapText="1"/>
      <protection locked="0"/>
    </xf>
    <xf numFmtId="3" fontId="46" fillId="11" borderId="12" xfId="0" applyNumberFormat="1" applyFont="1" applyFill="1" applyBorder="1" applyAlignment="1" applyProtection="1">
      <alignment horizontal="right" vertical="top" wrapText="1"/>
      <protection locked="0"/>
    </xf>
    <xf numFmtId="3" fontId="46" fillId="11" borderId="13" xfId="0" applyNumberFormat="1" applyFont="1" applyFill="1" applyBorder="1" applyAlignment="1" applyProtection="1">
      <alignment horizontal="right" vertical="top" wrapText="1"/>
      <protection locked="0"/>
    </xf>
    <xf numFmtId="3" fontId="46" fillId="11" borderId="11" xfId="0" applyNumberFormat="1" applyFont="1" applyFill="1" applyBorder="1" applyAlignment="1" applyProtection="1">
      <alignment horizontal="right" vertical="top" wrapText="1"/>
      <protection locked="0"/>
    </xf>
    <xf numFmtId="3" fontId="46" fillId="11" borderId="84" xfId="0" applyNumberFormat="1" applyFont="1" applyFill="1" applyBorder="1" applyAlignment="1" applyProtection="1">
      <alignment horizontal="right" vertical="top"/>
      <protection locked="0"/>
    </xf>
    <xf numFmtId="3" fontId="46" fillId="11" borderId="21" xfId="0" applyNumberFormat="1" applyFont="1" applyFill="1" applyBorder="1" applyAlignment="1" applyProtection="1">
      <alignment horizontal="right" vertical="top"/>
      <protection locked="0"/>
    </xf>
    <xf numFmtId="3" fontId="46" fillId="11" borderId="47" xfId="0" applyNumberFormat="1" applyFont="1" applyFill="1" applyBorder="1" applyAlignment="1" applyProtection="1">
      <alignment horizontal="right" vertical="top"/>
      <protection locked="0"/>
    </xf>
    <xf numFmtId="49" fontId="12" fillId="4" borderId="83" xfId="0" applyNumberFormat="1" applyFont="1" applyFill="1" applyBorder="1" applyAlignment="1">
      <alignment horizontal="center" vertical="top" wrapText="1"/>
    </xf>
    <xf numFmtId="1" fontId="12" fillId="4" borderId="83" xfId="0" applyNumberFormat="1" applyFont="1" applyFill="1" applyBorder="1" applyAlignment="1">
      <alignment horizontal="center" vertical="top" wrapText="1"/>
    </xf>
    <xf numFmtId="0" fontId="12" fillId="4" borderId="83" xfId="0" applyFont="1" applyFill="1" applyBorder="1" applyAlignment="1">
      <alignment horizontal="center" vertical="top" wrapText="1"/>
    </xf>
    <xf numFmtId="164" fontId="6" fillId="4" borderId="83" xfId="0" applyNumberFormat="1" applyFont="1" applyFill="1" applyBorder="1" applyAlignment="1">
      <alignment horizontal="center" vertical="top" wrapText="1"/>
    </xf>
    <xf numFmtId="164" fontId="6" fillId="4" borderId="81" xfId="0" applyNumberFormat="1" applyFont="1" applyFill="1" applyBorder="1" applyAlignment="1">
      <alignment horizontal="center" vertical="top" wrapText="1"/>
    </xf>
    <xf numFmtId="0" fontId="18" fillId="11" borderId="13" xfId="0" applyFont="1" applyFill="1" applyBorder="1" applyAlignment="1" applyProtection="1">
      <alignment horizontal="left" vertical="top" wrapText="1"/>
      <protection locked="0"/>
    </xf>
    <xf numFmtId="0" fontId="47" fillId="11" borderId="13" xfId="0" applyFont="1" applyFill="1" applyBorder="1" applyAlignment="1" applyProtection="1">
      <alignment horizontal="left" vertical="top" wrapText="1"/>
      <protection locked="0"/>
    </xf>
    <xf numFmtId="3" fontId="46" fillId="11" borderId="19" xfId="0" applyNumberFormat="1" applyFont="1" applyFill="1" applyBorder="1" applyAlignment="1" applyProtection="1">
      <alignment horizontal="right" vertical="top" wrapText="1"/>
      <protection locked="0"/>
    </xf>
    <xf numFmtId="3" fontId="46" fillId="11" borderId="3" xfId="0" applyNumberFormat="1" applyFont="1" applyFill="1" applyBorder="1" applyAlignment="1" applyProtection="1">
      <alignment vertical="top" wrapText="1"/>
      <protection locked="0"/>
    </xf>
    <xf numFmtId="3" fontId="20" fillId="0" borderId="32" xfId="0" applyNumberFormat="1" applyFont="1" applyBorder="1" applyAlignment="1">
      <alignment vertical="top"/>
    </xf>
    <xf numFmtId="3" fontId="20" fillId="0" borderId="71" xfId="0" applyNumberFormat="1" applyFont="1" applyBorder="1" applyAlignment="1">
      <alignment vertical="top"/>
    </xf>
    <xf numFmtId="3" fontId="20" fillId="0" borderId="72" xfId="0" applyNumberFormat="1" applyFont="1" applyBorder="1" applyAlignment="1">
      <alignment vertical="top"/>
    </xf>
    <xf numFmtId="3" fontId="46" fillId="11" borderId="13" xfId="0" applyNumberFormat="1" applyFont="1" applyFill="1" applyBorder="1" applyAlignment="1" applyProtection="1">
      <alignment vertical="top" wrapText="1"/>
      <protection locked="0"/>
    </xf>
    <xf numFmtId="3" fontId="15" fillId="0" borderId="18" xfId="0" applyNumberFormat="1" applyFont="1" applyBorder="1" applyAlignment="1">
      <alignment vertical="top"/>
    </xf>
    <xf numFmtId="3" fontId="15" fillId="0" borderId="16" xfId="0" applyNumberFormat="1" applyFont="1" applyBorder="1" applyAlignment="1">
      <alignment vertical="top"/>
    </xf>
    <xf numFmtId="3" fontId="15" fillId="0" borderId="15" xfId="0" applyNumberFormat="1" applyFont="1" applyBorder="1" applyAlignment="1">
      <alignment vertical="top"/>
    </xf>
    <xf numFmtId="3" fontId="46" fillId="11" borderId="43" xfId="0" applyNumberFormat="1" applyFont="1" applyFill="1" applyBorder="1" applyAlignment="1" applyProtection="1">
      <alignment horizontal="right" vertical="top"/>
      <protection locked="0"/>
    </xf>
    <xf numFmtId="3" fontId="46" fillId="11" borderId="44" xfId="0" applyNumberFormat="1" applyFont="1" applyFill="1" applyBorder="1" applyAlignment="1" applyProtection="1">
      <alignment horizontal="right" vertical="top"/>
      <protection locked="0"/>
    </xf>
    <xf numFmtId="3" fontId="46" fillId="11" borderId="48" xfId="0" applyNumberFormat="1" applyFont="1" applyFill="1" applyBorder="1" applyAlignment="1" applyProtection="1">
      <alignment horizontal="right" vertical="top"/>
      <protection locked="0"/>
    </xf>
    <xf numFmtId="3" fontId="46" fillId="11" borderId="19" xfId="0" applyNumberFormat="1" applyFont="1" applyFill="1" applyBorder="1" applyAlignment="1" applyProtection="1">
      <alignment vertical="top"/>
      <protection locked="0"/>
    </xf>
    <xf numFmtId="3" fontId="15" fillId="0" borderId="67" xfId="0" applyNumberFormat="1" applyFont="1" applyBorder="1" applyAlignment="1">
      <alignment vertical="top"/>
    </xf>
    <xf numFmtId="164" fontId="6" fillId="4" borderId="30" xfId="0" applyNumberFormat="1" applyFont="1" applyFill="1" applyBorder="1" applyAlignment="1">
      <alignment horizontal="center" vertical="top" wrapText="1"/>
    </xf>
    <xf numFmtId="0" fontId="18" fillId="11" borderId="36" xfId="0" applyFont="1" applyFill="1" applyBorder="1" applyAlignment="1" applyProtection="1">
      <alignment vertical="top" wrapText="1"/>
      <protection locked="0"/>
    </xf>
    <xf numFmtId="0" fontId="18" fillId="11" borderId="36" xfId="0" applyFont="1" applyFill="1" applyBorder="1" applyAlignment="1" applyProtection="1">
      <alignment vertical="top"/>
      <protection locked="0"/>
    </xf>
    <xf numFmtId="0" fontId="2" fillId="11" borderId="36" xfId="0" applyFont="1" applyFill="1" applyBorder="1" applyAlignment="1" applyProtection="1">
      <alignment vertical="top" wrapText="1"/>
      <protection locked="0"/>
    </xf>
    <xf numFmtId="0" fontId="18" fillId="11" borderId="20" xfId="0" applyFont="1" applyFill="1" applyBorder="1" applyAlignment="1" applyProtection="1">
      <alignment vertical="top" wrapText="1"/>
      <protection locked="0"/>
    </xf>
    <xf numFmtId="0" fontId="4" fillId="0" borderId="0" xfId="0" applyFont="1" applyAlignment="1">
      <alignment vertical="top" wrapText="1"/>
    </xf>
    <xf numFmtId="0" fontId="3" fillId="0" borderId="0" xfId="0" applyFont="1" applyAlignment="1">
      <alignment horizontal="right" vertical="top" wrapText="1"/>
    </xf>
    <xf numFmtId="0" fontId="3" fillId="0" borderId="0" xfId="0" applyFont="1" applyAlignment="1">
      <alignment vertical="top" wrapText="1"/>
    </xf>
    <xf numFmtId="3" fontId="3" fillId="0" borderId="0" xfId="0" applyNumberFormat="1" applyFont="1" applyAlignment="1">
      <alignment vertical="top"/>
    </xf>
    <xf numFmtId="3" fontId="3" fillId="0" borderId="0" xfId="0" applyNumberFormat="1" applyFont="1" applyAlignment="1">
      <alignment horizontal="right" vertical="top" wrapText="1"/>
    </xf>
    <xf numFmtId="3" fontId="4" fillId="0" borderId="0" xfId="0" applyNumberFormat="1" applyFont="1" applyAlignment="1">
      <alignment horizontal="right" vertical="top" wrapText="1"/>
    </xf>
    <xf numFmtId="3" fontId="4" fillId="0" borderId="0" xfId="0" applyNumberFormat="1" applyFont="1" applyAlignment="1">
      <alignment vertical="top"/>
    </xf>
    <xf numFmtId="0" fontId="44" fillId="0" borderId="54" xfId="0" applyFont="1" applyBorder="1" applyAlignment="1">
      <alignment vertical="top"/>
    </xf>
    <xf numFmtId="0" fontId="44" fillId="0" borderId="27" xfId="0" applyFont="1" applyBorder="1" applyAlignment="1">
      <alignment vertical="top"/>
    </xf>
    <xf numFmtId="0" fontId="47" fillId="0" borderId="0" xfId="0" applyFont="1" applyAlignment="1">
      <alignment vertical="top"/>
    </xf>
    <xf numFmtId="0" fontId="2" fillId="0" borderId="30" xfId="0" applyFont="1" applyBorder="1" applyAlignment="1">
      <alignment vertical="top" wrapText="1"/>
    </xf>
    <xf numFmtId="0" fontId="47" fillId="0" borderId="25" xfId="0" applyFont="1" applyBorder="1" applyAlignment="1">
      <alignment horizontal="right" vertical="top" wrapText="1"/>
    </xf>
    <xf numFmtId="0" fontId="47" fillId="0" borderId="57" xfId="0" applyFont="1" applyBorder="1" applyAlignment="1">
      <alignment vertical="top" wrapText="1"/>
    </xf>
    <xf numFmtId="0" fontId="47" fillId="0" borderId="38" xfId="0" applyFont="1" applyBorder="1" applyAlignment="1">
      <alignment vertical="top" wrapText="1"/>
    </xf>
    <xf numFmtId="3" fontId="47" fillId="0" borderId="38" xfId="0" applyNumberFormat="1" applyFont="1" applyBorder="1" applyAlignment="1">
      <alignment vertical="top"/>
    </xf>
    <xf numFmtId="3" fontId="2" fillId="0" borderId="31" xfId="0" applyNumberFormat="1" applyFont="1" applyBorder="1" applyAlignment="1">
      <alignment horizontal="right" vertical="top" wrapText="1"/>
    </xf>
    <xf numFmtId="3" fontId="2" fillId="0" borderId="1" xfId="0" applyNumberFormat="1" applyFont="1" applyBorder="1" applyAlignment="1">
      <alignment horizontal="right" vertical="top" wrapText="1"/>
    </xf>
    <xf numFmtId="3" fontId="2" fillId="0" borderId="14" xfId="0" applyNumberFormat="1" applyFont="1" applyBorder="1" applyAlignment="1">
      <alignment horizontal="right" vertical="top" wrapText="1"/>
    </xf>
    <xf numFmtId="0" fontId="47" fillId="0" borderId="26" xfId="0" applyFont="1" applyBorder="1" applyAlignment="1">
      <alignment vertical="top" wrapText="1"/>
    </xf>
    <xf numFmtId="3" fontId="47" fillId="0" borderId="26" xfId="0" applyNumberFormat="1" applyFont="1" applyBorder="1" applyAlignment="1">
      <alignment vertical="top"/>
    </xf>
    <xf numFmtId="3" fontId="2" fillId="0" borderId="13" xfId="0" applyNumberFormat="1" applyFont="1" applyBorder="1" applyAlignment="1">
      <alignment horizontal="right" vertical="top" wrapText="1"/>
    </xf>
    <xf numFmtId="3" fontId="2" fillId="0" borderId="3" xfId="0" applyNumberFormat="1" applyFont="1" applyBorder="1" applyAlignment="1">
      <alignment horizontal="right" vertical="top" wrapText="1"/>
    </xf>
    <xf numFmtId="3" fontId="2" fillId="0" borderId="12" xfId="0" applyNumberFormat="1" applyFont="1" applyBorder="1" applyAlignment="1">
      <alignment horizontal="right" vertical="top" wrapText="1"/>
    </xf>
    <xf numFmtId="0" fontId="47" fillId="0" borderId="35" xfId="0" applyFont="1" applyBorder="1" applyAlignment="1">
      <alignment vertical="top" wrapText="1"/>
    </xf>
    <xf numFmtId="3" fontId="47" fillId="0" borderId="35" xfId="0" applyNumberFormat="1" applyFont="1" applyBorder="1" applyAlignment="1">
      <alignment vertical="top"/>
    </xf>
    <xf numFmtId="3" fontId="2" fillId="0" borderId="18" xfId="0" applyNumberFormat="1" applyFont="1" applyBorder="1" applyAlignment="1">
      <alignment horizontal="right" vertical="top" wrapText="1"/>
    </xf>
    <xf numFmtId="3" fontId="2" fillId="0" borderId="16" xfId="0" applyNumberFormat="1" applyFont="1" applyBorder="1" applyAlignment="1">
      <alignment horizontal="right" vertical="top" wrapText="1"/>
    </xf>
    <xf numFmtId="3" fontId="2" fillId="0" borderId="15" xfId="0" applyNumberFormat="1" applyFont="1" applyBorder="1" applyAlignment="1">
      <alignment horizontal="right" vertical="top" wrapText="1"/>
    </xf>
    <xf numFmtId="0" fontId="47" fillId="0" borderId="30" xfId="0" applyFont="1" applyBorder="1" applyAlignment="1">
      <alignment horizontal="right" vertical="top" wrapText="1"/>
    </xf>
    <xf numFmtId="0" fontId="47" fillId="0" borderId="68" xfId="0" applyFont="1" applyBorder="1" applyAlignment="1">
      <alignment vertical="top" wrapText="1"/>
    </xf>
    <xf numFmtId="3" fontId="47" fillId="0" borderId="68" xfId="0" applyNumberFormat="1" applyFont="1" applyBorder="1" applyAlignment="1">
      <alignment horizontal="right" vertical="top" wrapText="1"/>
    </xf>
    <xf numFmtId="0" fontId="36" fillId="0" borderId="39" xfId="0" applyFont="1" applyBorder="1" applyAlignment="1">
      <alignment vertical="top" wrapText="1"/>
    </xf>
    <xf numFmtId="3" fontId="47" fillId="0" borderId="39" xfId="0" applyNumberFormat="1" applyFont="1" applyBorder="1" applyAlignment="1">
      <alignment vertical="top"/>
    </xf>
    <xf numFmtId="3" fontId="2" fillId="0" borderId="69" xfId="0" applyNumberFormat="1" applyFont="1" applyBorder="1" applyAlignment="1">
      <alignment vertical="top"/>
    </xf>
    <xf numFmtId="3" fontId="2" fillId="0" borderId="1" xfId="0" applyNumberFormat="1" applyFont="1" applyBorder="1" applyAlignment="1">
      <alignment vertical="top"/>
    </xf>
    <xf numFmtId="3" fontId="2" fillId="0" borderId="14" xfId="0" applyNumberFormat="1" applyFont="1" applyBorder="1" applyAlignment="1">
      <alignment vertical="top"/>
    </xf>
    <xf numFmtId="3" fontId="47" fillId="0" borderId="36" xfId="0" applyNumberFormat="1" applyFont="1" applyBorder="1" applyAlignment="1">
      <alignment vertical="top"/>
    </xf>
    <xf numFmtId="3" fontId="2" fillId="0" borderId="19" xfId="0" applyNumberFormat="1" applyFont="1" applyBorder="1" applyAlignment="1">
      <alignment vertical="top"/>
    </xf>
    <xf numFmtId="3" fontId="2" fillId="0" borderId="3" xfId="0" applyNumberFormat="1" applyFont="1" applyBorder="1" applyAlignment="1">
      <alignment vertical="top"/>
    </xf>
    <xf numFmtId="3" fontId="2" fillId="0" borderId="12" xfId="0" applyNumberFormat="1" applyFont="1" applyBorder="1" applyAlignment="1">
      <alignment vertical="top"/>
    </xf>
    <xf numFmtId="0" fontId="36" fillId="0" borderId="68" xfId="0" applyFont="1" applyBorder="1" applyAlignment="1">
      <alignment vertical="top" wrapText="1"/>
    </xf>
    <xf numFmtId="3" fontId="47" fillId="0" borderId="37" xfId="0" applyNumberFormat="1" applyFont="1" applyBorder="1" applyAlignment="1">
      <alignment vertical="top"/>
    </xf>
    <xf numFmtId="3" fontId="2" fillId="0" borderId="67" xfId="0" applyNumberFormat="1" applyFont="1" applyBorder="1" applyAlignment="1">
      <alignment vertical="top"/>
    </xf>
    <xf numFmtId="3" fontId="2" fillId="0" borderId="16" xfId="0" applyNumberFormat="1" applyFont="1" applyBorder="1" applyAlignment="1">
      <alignment vertical="top"/>
    </xf>
    <xf numFmtId="3" fontId="2" fillId="0" borderId="15" xfId="0" applyNumberFormat="1" applyFont="1" applyBorder="1" applyAlignment="1">
      <alignment vertical="top"/>
    </xf>
    <xf numFmtId="0" fontId="44" fillId="0" borderId="0" xfId="0" applyFont="1" applyAlignment="1">
      <alignment vertical="top"/>
    </xf>
    <xf numFmtId="0" fontId="31" fillId="7" borderId="75" xfId="0" applyFont="1" applyFill="1" applyBorder="1" applyAlignment="1">
      <alignment vertical="top"/>
    </xf>
    <xf numFmtId="0" fontId="29" fillId="7" borderId="75" xfId="0" applyFont="1" applyFill="1" applyBorder="1" applyAlignment="1">
      <alignment vertical="top"/>
    </xf>
    <xf numFmtId="0" fontId="31" fillId="3" borderId="0" xfId="0" applyFont="1" applyFill="1" applyAlignment="1">
      <alignment vertical="top"/>
    </xf>
    <xf numFmtId="0" fontId="29" fillId="10" borderId="42" xfId="0" applyFont="1" applyFill="1" applyBorder="1" applyAlignment="1">
      <alignment horizontal="center" vertical="top"/>
    </xf>
    <xf numFmtId="0" fontId="31" fillId="10" borderId="0" xfId="0" applyFont="1" applyFill="1" applyAlignment="1">
      <alignment horizontal="center" vertical="top"/>
    </xf>
    <xf numFmtId="0" fontId="31" fillId="10" borderId="0" xfId="0" applyFont="1" applyFill="1" applyAlignment="1">
      <alignment vertical="top"/>
    </xf>
    <xf numFmtId="0" fontId="29" fillId="6" borderId="86" xfId="0" applyFont="1" applyFill="1" applyBorder="1" applyAlignment="1">
      <alignment vertical="top" wrapText="1"/>
    </xf>
    <xf numFmtId="0" fontId="11" fillId="4" borderId="8" xfId="0" applyFont="1" applyFill="1" applyBorder="1" applyAlignment="1">
      <alignment horizontal="center" vertical="top" wrapText="1"/>
    </xf>
    <xf numFmtId="0" fontId="17" fillId="12" borderId="1" xfId="0" applyFont="1" applyFill="1" applyBorder="1" applyAlignment="1">
      <alignment horizontal="left" vertical="top" wrapText="1"/>
    </xf>
    <xf numFmtId="0" fontId="47" fillId="12" borderId="31" xfId="0" applyFont="1" applyFill="1" applyBorder="1" applyAlignment="1">
      <alignment horizontal="left" vertical="top" wrapText="1"/>
    </xf>
    <xf numFmtId="3" fontId="46" fillId="12" borderId="4" xfId="0" applyNumberFormat="1" applyFont="1" applyFill="1" applyBorder="1" applyAlignment="1">
      <alignment vertical="top"/>
    </xf>
    <xf numFmtId="3" fontId="46" fillId="12" borderId="63" xfId="0" applyNumberFormat="1" applyFont="1" applyFill="1" applyBorder="1" applyAlignment="1">
      <alignment vertical="top"/>
    </xf>
    <xf numFmtId="3" fontId="46" fillId="12" borderId="6" xfId="0" applyNumberFormat="1" applyFont="1" applyFill="1" applyBorder="1" applyAlignment="1">
      <alignment vertical="top"/>
    </xf>
    <xf numFmtId="3" fontId="46" fillId="12" borderId="19" xfId="0" applyNumberFormat="1" applyFont="1" applyFill="1" applyBorder="1" applyAlignment="1">
      <alignment horizontal="right" vertical="top"/>
    </xf>
    <xf numFmtId="3" fontId="46" fillId="12" borderId="3" xfId="0" applyNumberFormat="1" applyFont="1" applyFill="1" applyBorder="1" applyAlignment="1">
      <alignment horizontal="right" vertical="top"/>
    </xf>
    <xf numFmtId="3" fontId="46" fillId="12" borderId="12" xfId="0" applyNumberFormat="1" applyFont="1" applyFill="1" applyBorder="1" applyAlignment="1">
      <alignment horizontal="right" vertical="top"/>
    </xf>
    <xf numFmtId="3" fontId="46" fillId="12" borderId="13" xfId="0" applyNumberFormat="1" applyFont="1" applyFill="1" applyBorder="1" applyAlignment="1">
      <alignment horizontal="right" vertical="top"/>
    </xf>
    <xf numFmtId="0" fontId="47" fillId="4" borderId="3" xfId="0" applyFont="1" applyFill="1" applyBorder="1" applyAlignment="1">
      <alignment horizontal="center" vertical="top" wrapText="1"/>
    </xf>
    <xf numFmtId="0" fontId="2" fillId="0" borderId="3" xfId="0" applyFont="1" applyBorder="1" applyAlignment="1">
      <alignment horizontal="left" vertical="top"/>
    </xf>
    <xf numFmtId="0" fontId="2" fillId="0" borderId="3" xfId="0" applyFont="1" applyBorder="1" applyAlignment="1">
      <alignment horizontal="center" vertical="top"/>
    </xf>
    <xf numFmtId="0" fontId="2" fillId="0" borderId="3" xfId="0" applyFont="1" applyBorder="1" applyAlignment="1" applyProtection="1">
      <alignment horizontal="left" vertical="top"/>
      <protection locked="0"/>
    </xf>
    <xf numFmtId="0" fontId="4" fillId="0" borderId="3" xfId="0" applyFont="1" applyBorder="1" applyAlignment="1">
      <alignment horizontal="left" vertical="top"/>
    </xf>
    <xf numFmtId="9" fontId="4" fillId="0" borderId="3" xfId="0" applyNumberFormat="1" applyFont="1" applyBorder="1" applyAlignment="1">
      <alignment horizontal="left" vertical="top"/>
    </xf>
    <xf numFmtId="0" fontId="0" fillId="0" borderId="3" xfId="0" applyBorder="1" applyAlignment="1">
      <alignment horizontal="left" vertical="top"/>
    </xf>
    <xf numFmtId="9" fontId="0" fillId="0" borderId="3" xfId="0" applyNumberFormat="1" applyBorder="1" applyAlignment="1">
      <alignment horizontal="left" vertical="top"/>
    </xf>
    <xf numFmtId="0" fontId="4" fillId="0" borderId="3" xfId="0" applyFont="1" applyBorder="1" applyAlignment="1">
      <alignment horizontal="center" vertical="top"/>
    </xf>
    <xf numFmtId="0" fontId="4" fillId="0" borderId="3" xfId="0" applyFont="1" applyBorder="1"/>
    <xf numFmtId="8" fontId="0" fillId="0" borderId="3" xfId="0" applyNumberFormat="1" applyBorder="1" applyAlignment="1">
      <alignment horizontal="right" vertical="top"/>
    </xf>
    <xf numFmtId="0" fontId="0" fillId="0" borderId="3" xfId="0" applyBorder="1" applyAlignment="1">
      <alignment horizontal="center" vertical="top"/>
    </xf>
    <xf numFmtId="3" fontId="2" fillId="0" borderId="1" xfId="0" applyNumberFormat="1" applyFont="1" applyBorder="1" applyAlignment="1">
      <alignment horizontal="center" vertical="center"/>
    </xf>
    <xf numFmtId="0" fontId="0" fillId="0" borderId="3" xfId="0" applyBorder="1" applyAlignment="1">
      <alignment horizontal="right" vertical="top"/>
    </xf>
    <xf numFmtId="6" fontId="0" fillId="0" borderId="3" xfId="0" applyNumberFormat="1" applyBorder="1" applyAlignment="1">
      <alignment horizontal="left" vertical="top"/>
    </xf>
    <xf numFmtId="3" fontId="0" fillId="0" borderId="3" xfId="0" applyNumberFormat="1" applyBorder="1" applyAlignment="1">
      <alignment horizontal="right" vertical="top"/>
    </xf>
    <xf numFmtId="0" fontId="26" fillId="0" borderId="3" xfId="0" applyFont="1" applyBorder="1"/>
    <xf numFmtId="0" fontId="0" fillId="0" borderId="21" xfId="0" applyBorder="1" applyAlignment="1">
      <alignment horizontal="left" vertical="top"/>
    </xf>
    <xf numFmtId="0" fontId="0" fillId="0" borderId="21" xfId="0" applyBorder="1" applyAlignment="1">
      <alignment horizontal="center" vertical="top"/>
    </xf>
    <xf numFmtId="0" fontId="2" fillId="0" borderId="21" xfId="0" applyFont="1" applyBorder="1" applyAlignment="1" applyProtection="1">
      <alignment horizontal="left" vertical="top"/>
      <protection locked="0"/>
    </xf>
    <xf numFmtId="0" fontId="26" fillId="0" borderId="21" xfId="0" applyFont="1" applyBorder="1"/>
    <xf numFmtId="0" fontId="0" fillId="0" borderId="21" xfId="0" applyBorder="1" applyAlignment="1">
      <alignment horizontal="right" vertical="top"/>
    </xf>
    <xf numFmtId="1" fontId="0" fillId="0" borderId="3" xfId="0" applyNumberFormat="1" applyBorder="1" applyAlignment="1">
      <alignment horizontal="left" vertical="top"/>
    </xf>
    <xf numFmtId="3" fontId="0" fillId="0" borderId="3" xfId="0" applyNumberFormat="1" applyBorder="1" applyAlignment="1">
      <alignment vertical="top"/>
    </xf>
    <xf numFmtId="0" fontId="4" fillId="0" borderId="3" xfId="0" applyFont="1" applyBorder="1" applyAlignment="1">
      <alignment vertical="top"/>
    </xf>
    <xf numFmtId="0" fontId="0" fillId="0" borderId="21" xfId="0" applyBorder="1" applyAlignment="1">
      <alignment vertical="top"/>
    </xf>
    <xf numFmtId="1" fontId="0" fillId="0" borderId="21" xfId="0" applyNumberFormat="1" applyBorder="1" applyAlignment="1">
      <alignment horizontal="left" vertical="top"/>
    </xf>
    <xf numFmtId="3" fontId="0" fillId="0" borderId="21" xfId="0" applyNumberFormat="1" applyBorder="1" applyAlignment="1">
      <alignment vertical="top"/>
    </xf>
    <xf numFmtId="0" fontId="0" fillId="0" borderId="3" xfId="0" applyBorder="1" applyAlignment="1">
      <alignment vertical="top" wrapText="1"/>
    </xf>
    <xf numFmtId="9" fontId="0" fillId="0" borderId="3" xfId="0" applyNumberFormat="1" applyBorder="1" applyAlignment="1">
      <alignment vertical="top"/>
    </xf>
    <xf numFmtId="3" fontId="51" fillId="0" borderId="3" xfId="0" applyNumberFormat="1" applyFont="1" applyBorder="1" applyAlignment="1">
      <alignment horizontal="right" vertical="top"/>
    </xf>
    <xf numFmtId="0" fontId="0" fillId="0" borderId="21" xfId="0" applyBorder="1" applyAlignment="1">
      <alignment vertical="top" wrapText="1"/>
    </xf>
    <xf numFmtId="0" fontId="2" fillId="0" borderId="0" xfId="0" applyFont="1" applyAlignment="1">
      <alignment vertical="center"/>
    </xf>
    <xf numFmtId="49" fontId="12" fillId="4" borderId="82" xfId="0" applyNumberFormat="1" applyFont="1" applyFill="1" applyBorder="1" applyAlignment="1">
      <alignment horizontal="center" vertical="top" wrapText="1"/>
    </xf>
    <xf numFmtId="0" fontId="47" fillId="0" borderId="88" xfId="0" applyFont="1" applyBorder="1" applyAlignment="1">
      <alignment horizontal="right" vertical="top" wrapText="1"/>
    </xf>
    <xf numFmtId="3" fontId="47" fillId="0" borderId="89" xfId="0" applyNumberFormat="1" applyFont="1" applyBorder="1" applyAlignment="1">
      <alignment horizontal="right" vertical="top" wrapText="1"/>
    </xf>
    <xf numFmtId="0" fontId="47" fillId="0" borderId="24" xfId="0" applyFont="1" applyBorder="1" applyAlignment="1">
      <alignment horizontal="right" vertical="top" wrapText="1"/>
    </xf>
    <xf numFmtId="0" fontId="47" fillId="0" borderId="25" xfId="0" applyFont="1" applyBorder="1" applyAlignment="1">
      <alignment vertical="top"/>
    </xf>
    <xf numFmtId="3" fontId="47" fillId="0" borderId="25" xfId="0" applyNumberFormat="1" applyFont="1" applyBorder="1" applyAlignment="1">
      <alignment horizontal="right" vertical="top" wrapText="1"/>
    </xf>
    <xf numFmtId="3" fontId="47" fillId="0" borderId="23" xfId="0" applyNumberFormat="1" applyFont="1" applyBorder="1" applyAlignment="1">
      <alignment vertical="top"/>
    </xf>
    <xf numFmtId="0" fontId="47" fillId="0" borderId="90" xfId="0" applyFont="1" applyBorder="1" applyAlignment="1">
      <alignment horizontal="right" vertical="top" wrapText="1"/>
    </xf>
    <xf numFmtId="3" fontId="47" fillId="0" borderId="91" xfId="0" applyNumberFormat="1" applyFont="1" applyBorder="1" applyAlignment="1">
      <alignment horizontal="right" vertical="top" wrapText="1"/>
    </xf>
    <xf numFmtId="3" fontId="47" fillId="0" borderId="92" xfId="0" applyNumberFormat="1" applyFont="1" applyBorder="1" applyAlignment="1">
      <alignment horizontal="right" vertical="top" wrapText="1"/>
    </xf>
    <xf numFmtId="3" fontId="47" fillId="0" borderId="54" xfId="0" applyNumberFormat="1" applyFont="1" applyBorder="1" applyAlignment="1">
      <alignment horizontal="right" vertical="top" wrapText="1"/>
    </xf>
    <xf numFmtId="3" fontId="47" fillId="0" borderId="55" xfId="0" applyNumberFormat="1" applyFont="1" applyBorder="1" applyAlignment="1">
      <alignment horizontal="right" vertical="top" wrapText="1"/>
    </xf>
    <xf numFmtId="0" fontId="1" fillId="2" borderId="93" xfId="0" applyFont="1" applyFill="1" applyBorder="1" applyAlignment="1">
      <alignment vertical="top" wrapText="1"/>
    </xf>
    <xf numFmtId="0" fontId="1" fillId="3" borderId="96" xfId="0" applyFont="1" applyFill="1" applyBorder="1" applyAlignment="1">
      <alignment vertical="top" wrapText="1"/>
    </xf>
    <xf numFmtId="0" fontId="1" fillId="3" borderId="98" xfId="0" applyFont="1" applyFill="1" applyBorder="1" applyAlignment="1">
      <alignment vertical="top" wrapText="1"/>
    </xf>
    <xf numFmtId="0" fontId="3" fillId="0" borderId="51" xfId="0" applyFont="1" applyBorder="1" applyAlignment="1">
      <alignment horizontal="left" vertical="top"/>
    </xf>
    <xf numFmtId="0" fontId="0" fillId="0" borderId="53" xfId="0" applyBorder="1" applyAlignment="1">
      <alignment horizontal="left" vertical="top"/>
    </xf>
    <xf numFmtId="3" fontId="0" fillId="12" borderId="101" xfId="0" applyNumberFormat="1" applyFill="1" applyBorder="1" applyAlignment="1">
      <alignment horizontal="left" vertical="top" wrapText="1"/>
    </xf>
    <xf numFmtId="0" fontId="1" fillId="3" borderId="84" xfId="0" applyFont="1" applyFill="1" applyBorder="1" applyAlignment="1">
      <alignment vertical="top" wrapText="1"/>
    </xf>
    <xf numFmtId="0" fontId="1" fillId="3" borderId="102" xfId="0" applyFont="1" applyFill="1" applyBorder="1" applyAlignment="1">
      <alignment vertical="top" wrapText="1"/>
    </xf>
    <xf numFmtId="0" fontId="0" fillId="3" borderId="97" xfId="0" applyFill="1" applyBorder="1" applyAlignment="1">
      <alignment horizontal="center" vertical="top" wrapText="1"/>
    </xf>
    <xf numFmtId="3" fontId="2" fillId="12" borderId="21" xfId="0" applyNumberFormat="1" applyFont="1" applyFill="1" applyBorder="1" applyAlignment="1">
      <alignment horizontal="right" vertical="top" wrapText="1"/>
    </xf>
    <xf numFmtId="3" fontId="0" fillId="12" borderId="21" xfId="0" applyNumberFormat="1" applyFill="1" applyBorder="1" applyAlignment="1">
      <alignment horizontal="right" vertical="top" wrapText="1"/>
    </xf>
    <xf numFmtId="3" fontId="0" fillId="12" borderId="44" xfId="0" applyNumberFormat="1" applyFill="1" applyBorder="1" applyAlignment="1">
      <alignment horizontal="right" vertical="top" wrapText="1"/>
    </xf>
    <xf numFmtId="3" fontId="0" fillId="12" borderId="103" xfId="0" applyNumberFormat="1" applyFill="1" applyBorder="1" applyAlignment="1">
      <alignment horizontal="right" vertical="top" wrapText="1"/>
    </xf>
    <xf numFmtId="3" fontId="2" fillId="12" borderId="99" xfId="0" applyNumberFormat="1" applyFont="1" applyFill="1" applyBorder="1" applyAlignment="1">
      <alignment horizontal="right" vertical="top" wrapText="1"/>
    </xf>
    <xf numFmtId="3" fontId="0" fillId="12" borderId="99" xfId="0" applyNumberFormat="1" applyFill="1" applyBorder="1" applyAlignment="1">
      <alignment horizontal="right" vertical="top" wrapText="1"/>
    </xf>
    <xf numFmtId="3" fontId="0" fillId="12" borderId="100" xfId="0" applyNumberFormat="1" applyFill="1" applyBorder="1" applyAlignment="1">
      <alignment horizontal="right" vertical="top" wrapText="1"/>
    </xf>
    <xf numFmtId="9" fontId="2" fillId="3" borderId="99" xfId="0" applyNumberFormat="1" applyFont="1" applyFill="1" applyBorder="1" applyAlignment="1">
      <alignment horizontal="right" vertical="top" wrapText="1"/>
    </xf>
    <xf numFmtId="9" fontId="2" fillId="3" borderId="100" xfId="0" applyNumberFormat="1" applyFont="1" applyFill="1" applyBorder="1" applyAlignment="1">
      <alignment horizontal="right" vertical="top" wrapText="1"/>
    </xf>
    <xf numFmtId="3" fontId="2" fillId="3" borderId="21" xfId="0" applyNumberFormat="1" applyFont="1" applyFill="1" applyBorder="1" applyAlignment="1">
      <alignment horizontal="right" vertical="top" wrapText="1"/>
    </xf>
    <xf numFmtId="3" fontId="2" fillId="3" borderId="47" xfId="0" applyNumberFormat="1" applyFont="1" applyFill="1" applyBorder="1" applyAlignment="1">
      <alignment horizontal="right" vertical="top" wrapText="1"/>
    </xf>
    <xf numFmtId="0" fontId="47" fillId="13" borderId="13" xfId="0" applyFont="1" applyFill="1" applyBorder="1" applyAlignment="1" applyProtection="1">
      <alignment horizontal="left" vertical="top" wrapText="1"/>
      <protection locked="0"/>
    </xf>
    <xf numFmtId="0" fontId="15" fillId="13" borderId="3" xfId="0" applyFont="1" applyFill="1" applyBorder="1" applyAlignment="1" applyProtection="1">
      <alignment horizontal="left" vertical="top" wrapText="1"/>
      <protection locked="0"/>
    </xf>
    <xf numFmtId="0" fontId="18" fillId="13" borderId="3" xfId="0" applyFont="1" applyFill="1" applyBorder="1" applyAlignment="1" applyProtection="1">
      <alignment horizontal="left" vertical="top" wrapText="1"/>
      <protection locked="0"/>
    </xf>
    <xf numFmtId="0" fontId="4" fillId="13" borderId="3" xfId="0" applyFont="1" applyFill="1" applyBorder="1" applyAlignment="1" applyProtection="1">
      <alignment vertical="top" wrapText="1"/>
      <protection locked="0"/>
    </xf>
    <xf numFmtId="0" fontId="18" fillId="13" borderId="13" xfId="0" applyFont="1" applyFill="1" applyBorder="1" applyAlignment="1" applyProtection="1">
      <alignment horizontal="left" vertical="top" wrapText="1"/>
      <protection locked="0"/>
    </xf>
    <xf numFmtId="0" fontId="2" fillId="13" borderId="3" xfId="0" applyFont="1" applyFill="1" applyBorder="1" applyAlignment="1" applyProtection="1">
      <alignment vertical="top" wrapText="1"/>
      <protection locked="0"/>
    </xf>
    <xf numFmtId="0" fontId="2" fillId="13" borderId="13" xfId="0" applyFont="1" applyFill="1" applyBorder="1" applyAlignment="1" applyProtection="1">
      <alignment horizontal="left" vertical="top" wrapText="1"/>
      <protection locked="0"/>
    </xf>
    <xf numFmtId="0" fontId="2" fillId="13" borderId="3" xfId="0" applyFont="1" applyFill="1" applyBorder="1" applyAlignment="1" applyProtection="1">
      <alignment horizontal="left" vertical="top" wrapText="1"/>
      <protection locked="0"/>
    </xf>
    <xf numFmtId="0" fontId="18" fillId="13" borderId="3" xfId="1" applyFont="1" applyFill="1" applyBorder="1" applyAlignment="1" applyProtection="1">
      <alignment horizontal="left" vertical="top" wrapText="1"/>
      <protection locked="0"/>
    </xf>
    <xf numFmtId="3" fontId="0" fillId="0" borderId="63" xfId="0" applyNumberFormat="1" applyBorder="1" applyAlignment="1">
      <alignment vertical="top"/>
    </xf>
    <xf numFmtId="3" fontId="0" fillId="0" borderId="17" xfId="0" applyNumberFormat="1" applyBorder="1" applyAlignment="1">
      <alignment vertical="top"/>
    </xf>
    <xf numFmtId="3" fontId="0" fillId="0" borderId="50" xfId="0" applyNumberFormat="1" applyBorder="1" applyAlignment="1">
      <alignment vertical="top"/>
    </xf>
    <xf numFmtId="3" fontId="0" fillId="0" borderId="67" xfId="0" applyNumberFormat="1" applyBorder="1" applyAlignment="1">
      <alignment vertical="top"/>
    </xf>
    <xf numFmtId="0" fontId="26" fillId="0" borderId="3" xfId="0" applyFont="1" applyBorder="1" applyAlignment="1">
      <alignment horizontal="left" vertical="top"/>
    </xf>
    <xf numFmtId="0" fontId="26" fillId="0" borderId="3" xfId="0" applyFont="1" applyBorder="1" applyAlignment="1">
      <alignment vertical="top"/>
    </xf>
    <xf numFmtId="3" fontId="19" fillId="12" borderId="19" xfId="0" applyNumberFormat="1" applyFont="1" applyFill="1" applyBorder="1" applyAlignment="1">
      <alignment vertical="top"/>
    </xf>
    <xf numFmtId="0" fontId="0" fillId="13" borderId="3" xfId="0" applyFill="1" applyBorder="1" applyAlignment="1" applyProtection="1">
      <alignment vertical="top" wrapText="1"/>
      <protection locked="0"/>
    </xf>
    <xf numFmtId="0" fontId="15" fillId="13" borderId="21" xfId="0" applyFont="1" applyFill="1" applyBorder="1" applyAlignment="1" applyProtection="1">
      <alignment horizontal="left" vertical="top" wrapText="1"/>
      <protection locked="0"/>
    </xf>
    <xf numFmtId="0" fontId="18" fillId="13" borderId="21" xfId="0" applyFont="1" applyFill="1" applyBorder="1" applyAlignment="1" applyProtection="1">
      <alignment horizontal="left" vertical="top" wrapText="1"/>
      <protection locked="0"/>
    </xf>
    <xf numFmtId="0" fontId="4" fillId="13" borderId="21" xfId="0" applyFont="1" applyFill="1" applyBorder="1" applyAlignment="1" applyProtection="1">
      <alignment vertical="top" wrapText="1"/>
      <protection locked="0"/>
    </xf>
    <xf numFmtId="0" fontId="2" fillId="0" borderId="7" xfId="0" applyFont="1" applyBorder="1" applyAlignment="1">
      <alignment horizontal="left" vertical="top"/>
    </xf>
    <xf numFmtId="0" fontId="15" fillId="0" borderId="8" xfId="0" applyFont="1" applyBorder="1" applyAlignment="1">
      <alignment horizontal="left" vertical="top"/>
    </xf>
    <xf numFmtId="0" fontId="2" fillId="0" borderId="8" xfId="0" applyFont="1" applyBorder="1" applyAlignment="1">
      <alignment horizontal="left" vertical="top"/>
    </xf>
    <xf numFmtId="3" fontId="16" fillId="0" borderId="10" xfId="0" applyNumberFormat="1" applyFont="1" applyBorder="1" applyAlignment="1">
      <alignment vertical="top"/>
    </xf>
    <xf numFmtId="3" fontId="19" fillId="0" borderId="67" xfId="0" applyNumberFormat="1" applyFont="1" applyBorder="1" applyAlignment="1">
      <alignment vertical="top"/>
    </xf>
    <xf numFmtId="3" fontId="16" fillId="12" borderId="12" xfId="0" applyNumberFormat="1" applyFont="1" applyFill="1" applyBorder="1" applyAlignment="1">
      <alignment vertical="top" wrapText="1"/>
    </xf>
    <xf numFmtId="0" fontId="47" fillId="13" borderId="84" xfId="0" applyFont="1" applyFill="1" applyBorder="1" applyAlignment="1" applyProtection="1">
      <alignment horizontal="left" vertical="top" wrapText="1"/>
      <protection locked="0"/>
    </xf>
    <xf numFmtId="3" fontId="19" fillId="15" borderId="11" xfId="0" applyNumberFormat="1" applyFont="1" applyFill="1" applyBorder="1" applyAlignment="1">
      <alignment vertical="top"/>
    </xf>
    <xf numFmtId="3" fontId="46" fillId="15" borderId="13" xfId="0" applyNumberFormat="1" applyFont="1" applyFill="1" applyBorder="1" applyAlignment="1" applyProtection="1">
      <alignment horizontal="right" vertical="top"/>
      <protection locked="0"/>
    </xf>
    <xf numFmtId="3" fontId="46" fillId="15" borderId="19" xfId="0" applyNumberFormat="1" applyFont="1" applyFill="1" applyBorder="1" applyAlignment="1" applyProtection="1">
      <alignment horizontal="right" vertical="top"/>
      <protection locked="0"/>
    </xf>
    <xf numFmtId="3" fontId="46" fillId="15" borderId="13" xfId="0" applyNumberFormat="1" applyFont="1" applyFill="1" applyBorder="1" applyAlignment="1" applyProtection="1">
      <alignment vertical="top"/>
      <protection locked="0"/>
    </xf>
    <xf numFmtId="3" fontId="19" fillId="15" borderId="3" xfId="0" applyNumberFormat="1" applyFont="1" applyFill="1" applyBorder="1" applyAlignment="1">
      <alignment vertical="top"/>
    </xf>
    <xf numFmtId="0" fontId="52" fillId="0" borderId="68" xfId="0" applyFont="1" applyBorder="1" applyAlignment="1">
      <alignment vertical="center"/>
    </xf>
    <xf numFmtId="0" fontId="52" fillId="0" borderId="55" xfId="0" applyFont="1" applyBorder="1" applyAlignment="1">
      <alignment horizontal="right" vertical="center"/>
    </xf>
    <xf numFmtId="166" fontId="42" fillId="0" borderId="3" xfId="0" applyNumberFormat="1" applyFont="1" applyBorder="1" applyAlignment="1">
      <alignment horizontal="right" vertical="top" wrapText="1"/>
    </xf>
    <xf numFmtId="0" fontId="52" fillId="0" borderId="0" xfId="0" applyFont="1" applyAlignment="1">
      <alignment vertical="center"/>
    </xf>
    <xf numFmtId="0" fontId="52" fillId="0" borderId="0" xfId="0" applyFont="1" applyAlignment="1">
      <alignment horizontal="right" vertical="center"/>
    </xf>
    <xf numFmtId="166" fontId="45" fillId="0" borderId="3" xfId="0" applyNumberFormat="1" applyFont="1" applyBorder="1" applyAlignment="1">
      <alignment vertical="top"/>
    </xf>
    <xf numFmtId="0" fontId="2" fillId="15" borderId="13" xfId="0" applyFont="1" applyFill="1" applyBorder="1" applyAlignment="1" applyProtection="1">
      <alignment horizontal="left" vertical="top" wrapText="1"/>
      <protection locked="0"/>
    </xf>
    <xf numFmtId="0" fontId="15" fillId="15" borderId="3" xfId="0" applyFont="1" applyFill="1" applyBorder="1" applyAlignment="1" applyProtection="1">
      <alignment horizontal="left" vertical="top" wrapText="1"/>
      <protection locked="0"/>
    </xf>
    <xf numFmtId="0" fontId="2" fillId="15" borderId="3" xfId="0" applyFont="1" applyFill="1" applyBorder="1" applyAlignment="1" applyProtection="1">
      <alignment horizontal="left" vertical="top" wrapText="1"/>
      <protection locked="0"/>
    </xf>
    <xf numFmtId="0" fontId="2" fillId="15" borderId="3" xfId="0" applyFont="1" applyFill="1" applyBorder="1" applyAlignment="1" applyProtection="1">
      <alignment vertical="top" wrapText="1"/>
      <protection locked="0"/>
    </xf>
    <xf numFmtId="0" fontId="18" fillId="15" borderId="3" xfId="0" applyFont="1" applyFill="1" applyBorder="1" applyAlignment="1" applyProtection="1">
      <alignment horizontal="left" vertical="top" wrapText="1"/>
      <protection locked="0"/>
    </xf>
    <xf numFmtId="3" fontId="46" fillId="15" borderId="3" xfId="0" applyNumberFormat="1" applyFont="1" applyFill="1" applyBorder="1" applyAlignment="1" applyProtection="1">
      <alignment vertical="top"/>
      <protection locked="0"/>
    </xf>
    <xf numFmtId="3" fontId="46" fillId="15" borderId="12" xfId="0" applyNumberFormat="1" applyFont="1" applyFill="1" applyBorder="1" applyAlignment="1" applyProtection="1">
      <alignment vertical="top"/>
      <protection locked="0"/>
    </xf>
    <xf numFmtId="3" fontId="46" fillId="15" borderId="3" xfId="0" applyNumberFormat="1" applyFont="1" applyFill="1" applyBorder="1" applyAlignment="1" applyProtection="1">
      <alignment horizontal="right" vertical="top"/>
      <protection locked="0"/>
    </xf>
    <xf numFmtId="3" fontId="46" fillId="15" borderId="12" xfId="0" applyNumberFormat="1" applyFont="1" applyFill="1" applyBorder="1" applyAlignment="1" applyProtection="1">
      <alignment horizontal="right" vertical="top"/>
      <protection locked="0"/>
    </xf>
    <xf numFmtId="3" fontId="46" fillId="15" borderId="11" xfId="0" applyNumberFormat="1" applyFont="1" applyFill="1" applyBorder="1" applyAlignment="1" applyProtection="1">
      <alignment horizontal="right" vertical="top"/>
      <protection locked="0"/>
    </xf>
    <xf numFmtId="3" fontId="46" fillId="15" borderId="19" xfId="0" applyNumberFormat="1" applyFont="1" applyFill="1" applyBorder="1" applyAlignment="1" applyProtection="1">
      <alignment vertical="top"/>
      <protection locked="0"/>
    </xf>
    <xf numFmtId="0" fontId="18" fillId="15" borderId="13" xfId="0" applyFont="1" applyFill="1" applyBorder="1" applyAlignment="1" applyProtection="1">
      <alignment horizontal="left" vertical="top" wrapText="1"/>
      <protection locked="0"/>
    </xf>
    <xf numFmtId="0" fontId="15" fillId="15" borderId="5" xfId="0" applyFont="1" applyFill="1" applyBorder="1" applyAlignment="1" applyProtection="1">
      <alignment horizontal="left" vertical="top" wrapText="1"/>
      <protection locked="0"/>
    </xf>
    <xf numFmtId="0" fontId="18" fillId="15" borderId="5" xfId="0" applyFont="1" applyFill="1" applyBorder="1" applyAlignment="1" applyProtection="1">
      <alignment horizontal="left" vertical="top" wrapText="1"/>
      <protection locked="0"/>
    </xf>
    <xf numFmtId="0" fontId="18" fillId="15" borderId="5" xfId="0" applyFont="1" applyFill="1" applyBorder="1" applyAlignment="1" applyProtection="1">
      <alignment horizontal="left" vertical="top"/>
      <protection locked="0"/>
    </xf>
    <xf numFmtId="3" fontId="16" fillId="15" borderId="6" xfId="0" applyNumberFormat="1" applyFont="1" applyFill="1" applyBorder="1" applyAlignment="1">
      <alignment vertical="top"/>
    </xf>
    <xf numFmtId="3" fontId="19" fillId="15" borderId="50" xfId="0" applyNumberFormat="1" applyFont="1" applyFill="1" applyBorder="1" applyAlignment="1">
      <alignment vertical="top"/>
    </xf>
    <xf numFmtId="3" fontId="19" fillId="15" borderId="5" xfId="0" applyNumberFormat="1" applyFont="1" applyFill="1" applyBorder="1" applyAlignment="1">
      <alignment vertical="top"/>
    </xf>
    <xf numFmtId="3" fontId="19" fillId="15" borderId="63" xfId="0" applyNumberFormat="1" applyFont="1" applyFill="1" applyBorder="1" applyAlignment="1">
      <alignment vertical="top"/>
    </xf>
    <xf numFmtId="3" fontId="46" fillId="15" borderId="4" xfId="0" applyNumberFormat="1" applyFont="1" applyFill="1" applyBorder="1" applyAlignment="1" applyProtection="1">
      <alignment vertical="top"/>
      <protection locked="0"/>
    </xf>
    <xf numFmtId="3" fontId="46" fillId="15" borderId="5" xfId="0" applyNumberFormat="1" applyFont="1" applyFill="1" applyBorder="1" applyAlignment="1" applyProtection="1">
      <alignment vertical="top"/>
      <protection locked="0"/>
    </xf>
    <xf numFmtId="3" fontId="46" fillId="15" borderId="6" xfId="0" applyNumberFormat="1" applyFont="1" applyFill="1" applyBorder="1" applyAlignment="1" applyProtection="1">
      <alignment vertical="top"/>
      <protection locked="0"/>
    </xf>
    <xf numFmtId="3" fontId="46" fillId="15" borderId="22" xfId="0" applyNumberFormat="1" applyFont="1" applyFill="1" applyBorder="1" applyAlignment="1" applyProtection="1">
      <alignment vertical="top"/>
      <protection locked="0"/>
    </xf>
    <xf numFmtId="3" fontId="46" fillId="15" borderId="2" xfId="0" applyNumberFormat="1" applyFont="1" applyFill="1" applyBorder="1" applyAlignment="1" applyProtection="1">
      <alignment vertical="top"/>
      <protection locked="0"/>
    </xf>
    <xf numFmtId="3" fontId="46" fillId="15" borderId="14" xfId="0" applyNumberFormat="1" applyFont="1" applyFill="1" applyBorder="1" applyAlignment="1" applyProtection="1">
      <alignment vertical="top"/>
      <protection locked="0"/>
    </xf>
    <xf numFmtId="3" fontId="46" fillId="15" borderId="38" xfId="0" applyNumberFormat="1" applyFont="1" applyFill="1" applyBorder="1" applyAlignment="1" applyProtection="1">
      <alignment vertical="top"/>
      <protection locked="0"/>
    </xf>
    <xf numFmtId="0" fontId="18" fillId="15" borderId="22" xfId="0" applyFont="1" applyFill="1" applyBorder="1" applyAlignment="1" applyProtection="1">
      <alignment vertical="top"/>
      <protection locked="0"/>
    </xf>
    <xf numFmtId="0" fontId="18" fillId="15" borderId="33" xfId="0" applyFont="1" applyFill="1" applyBorder="1" applyAlignment="1" applyProtection="1">
      <alignment vertical="top" wrapText="1"/>
      <protection locked="0"/>
    </xf>
    <xf numFmtId="0" fontId="18" fillId="15" borderId="22" xfId="0" applyFont="1" applyFill="1" applyBorder="1" applyAlignment="1" applyProtection="1">
      <alignment vertical="top" wrapText="1"/>
      <protection locked="0"/>
    </xf>
    <xf numFmtId="0" fontId="2" fillId="15" borderId="33" xfId="0" applyFont="1" applyFill="1" applyBorder="1" applyAlignment="1" applyProtection="1">
      <alignment vertical="top"/>
      <protection locked="0"/>
    </xf>
    <xf numFmtId="0" fontId="2" fillId="15" borderId="0" xfId="0" applyFont="1" applyFill="1" applyAlignment="1">
      <alignment vertical="top"/>
    </xf>
    <xf numFmtId="3" fontId="16" fillId="15" borderId="12" xfId="0" applyNumberFormat="1" applyFont="1" applyFill="1" applyBorder="1" applyAlignment="1">
      <alignment vertical="top" wrapText="1"/>
    </xf>
    <xf numFmtId="3" fontId="19" fillId="15" borderId="19" xfId="0" applyNumberFormat="1" applyFont="1" applyFill="1" applyBorder="1" applyAlignment="1">
      <alignment vertical="top"/>
    </xf>
    <xf numFmtId="0" fontId="18" fillId="15" borderId="39" xfId="0" applyFont="1" applyFill="1" applyBorder="1" applyAlignment="1" applyProtection="1">
      <alignment vertical="top" wrapText="1"/>
      <protection locked="0"/>
    </xf>
    <xf numFmtId="0" fontId="2" fillId="15" borderId="36" xfId="0" applyFont="1" applyFill="1" applyBorder="1" applyAlignment="1" applyProtection="1">
      <alignment vertical="top"/>
      <protection locked="0"/>
    </xf>
    <xf numFmtId="3" fontId="46" fillId="15" borderId="26" xfId="0" applyNumberFormat="1" applyFont="1" applyFill="1" applyBorder="1" applyAlignment="1" applyProtection="1">
      <alignment vertical="top"/>
      <protection locked="0"/>
    </xf>
    <xf numFmtId="0" fontId="18" fillId="15" borderId="20" xfId="0" applyFont="1" applyFill="1" applyBorder="1" applyAlignment="1" applyProtection="1">
      <alignment vertical="top"/>
      <protection locked="0"/>
    </xf>
    <xf numFmtId="0" fontId="2" fillId="15" borderId="39" xfId="0" applyFont="1" applyFill="1" applyBorder="1" applyAlignment="1" applyProtection="1">
      <alignment vertical="top" wrapText="1"/>
      <protection locked="0"/>
    </xf>
    <xf numFmtId="0" fontId="18" fillId="15" borderId="20" xfId="0" applyFont="1" applyFill="1" applyBorder="1" applyAlignment="1" applyProtection="1">
      <alignment vertical="top" wrapText="1"/>
      <protection locked="0"/>
    </xf>
    <xf numFmtId="0" fontId="2" fillId="0" borderId="0" xfId="0" applyFont="1" applyProtection="1">
      <protection locked="0"/>
    </xf>
    <xf numFmtId="0" fontId="0" fillId="15" borderId="21" xfId="0" applyFill="1" applyBorder="1" applyAlignment="1">
      <alignment vertical="top"/>
    </xf>
    <xf numFmtId="1" fontId="0" fillId="15" borderId="21" xfId="0" applyNumberFormat="1" applyFill="1" applyBorder="1" applyAlignment="1">
      <alignment horizontal="left" vertical="top"/>
    </xf>
    <xf numFmtId="3" fontId="0" fillId="15" borderId="21" xfId="0" applyNumberFormat="1" applyFill="1" applyBorder="1" applyAlignment="1">
      <alignment vertical="top"/>
    </xf>
    <xf numFmtId="0" fontId="0" fillId="15" borderId="3" xfId="0" applyFill="1" applyBorder="1" applyAlignment="1">
      <alignment vertical="top"/>
    </xf>
    <xf numFmtId="0" fontId="0" fillId="15" borderId="0" xfId="0" applyFill="1" applyAlignment="1">
      <alignment vertical="top"/>
    </xf>
    <xf numFmtId="9" fontId="0" fillId="15" borderId="3" xfId="0" applyNumberFormat="1" applyFill="1" applyBorder="1" applyAlignment="1">
      <alignment vertical="top"/>
    </xf>
    <xf numFmtId="0" fontId="18" fillId="11" borderId="84" xfId="0" applyFont="1" applyFill="1" applyBorder="1" applyAlignment="1" applyProtection="1">
      <alignment horizontal="left" vertical="top" wrapText="1"/>
      <protection locked="0"/>
    </xf>
    <xf numFmtId="0" fontId="15" fillId="11" borderId="21" xfId="0" applyFont="1" applyFill="1" applyBorder="1" applyAlignment="1" applyProtection="1">
      <alignment horizontal="left" vertical="top" wrapText="1"/>
      <protection locked="0"/>
    </xf>
    <xf numFmtId="0" fontId="18" fillId="11" borderId="21" xfId="0" applyFont="1" applyFill="1" applyBorder="1" applyAlignment="1" applyProtection="1">
      <alignment horizontal="left" vertical="top" wrapText="1"/>
      <protection locked="0"/>
    </xf>
    <xf numFmtId="0" fontId="2" fillId="11" borderId="21" xfId="0" applyFont="1" applyFill="1" applyBorder="1" applyAlignment="1" applyProtection="1">
      <alignment vertical="top" wrapText="1"/>
      <protection locked="0"/>
    </xf>
    <xf numFmtId="3" fontId="16" fillId="12" borderId="47" xfId="0" applyNumberFormat="1" applyFont="1" applyFill="1" applyBorder="1" applyAlignment="1">
      <alignment vertical="top" wrapText="1"/>
    </xf>
    <xf numFmtId="3" fontId="19" fillId="12" borderId="73" xfId="0" applyNumberFormat="1" applyFont="1" applyFill="1" applyBorder="1" applyAlignment="1">
      <alignment vertical="top"/>
    </xf>
    <xf numFmtId="3" fontId="19" fillId="12" borderId="21" xfId="0" applyNumberFormat="1" applyFont="1" applyFill="1" applyBorder="1" applyAlignment="1">
      <alignment vertical="top"/>
    </xf>
    <xf numFmtId="3" fontId="19" fillId="12" borderId="44" xfId="0" applyNumberFormat="1" applyFont="1" applyFill="1" applyBorder="1" applyAlignment="1">
      <alignment vertical="top"/>
    </xf>
    <xf numFmtId="3" fontId="46" fillId="11" borderId="84" xfId="0" applyNumberFormat="1" applyFont="1" applyFill="1" applyBorder="1" applyAlignment="1" applyProtection="1">
      <alignment vertical="top"/>
      <protection locked="0"/>
    </xf>
    <xf numFmtId="3" fontId="46" fillId="11" borderId="21" xfId="0" applyNumberFormat="1" applyFont="1" applyFill="1" applyBorder="1" applyAlignment="1" applyProtection="1">
      <alignment vertical="top"/>
      <protection locked="0"/>
    </xf>
    <xf numFmtId="3" fontId="46" fillId="11" borderId="47" xfId="0" applyNumberFormat="1" applyFont="1" applyFill="1" applyBorder="1" applyAlignment="1" applyProtection="1">
      <alignment vertical="top"/>
      <protection locked="0"/>
    </xf>
    <xf numFmtId="3" fontId="46" fillId="11" borderId="43" xfId="0" applyNumberFormat="1" applyFont="1" applyFill="1" applyBorder="1" applyAlignment="1" applyProtection="1">
      <alignment vertical="top"/>
      <protection locked="0"/>
    </xf>
    <xf numFmtId="3" fontId="46" fillId="11" borderId="44" xfId="0" applyNumberFormat="1" applyFont="1" applyFill="1" applyBorder="1" applyAlignment="1" applyProtection="1">
      <alignment vertical="top"/>
      <protection locked="0"/>
    </xf>
    <xf numFmtId="0" fontId="18" fillId="11" borderId="46" xfId="0" applyFont="1" applyFill="1" applyBorder="1" applyAlignment="1" applyProtection="1">
      <alignment vertical="top" wrapText="1"/>
      <protection locked="0"/>
    </xf>
    <xf numFmtId="0" fontId="2" fillId="11" borderId="104" xfId="0" applyFont="1" applyFill="1" applyBorder="1" applyAlignment="1" applyProtection="1">
      <alignment vertical="top"/>
      <protection locked="0"/>
    </xf>
    <xf numFmtId="0" fontId="18" fillId="11" borderId="31" xfId="0" applyFont="1" applyFill="1" applyBorder="1" applyAlignment="1" applyProtection="1">
      <alignment horizontal="left" vertical="top" wrapText="1"/>
      <protection locked="0"/>
    </xf>
    <xf numFmtId="0" fontId="15" fillId="11" borderId="1" xfId="0" applyFont="1" applyFill="1" applyBorder="1" applyAlignment="1" applyProtection="1">
      <alignment horizontal="left" vertical="top" wrapText="1"/>
      <protection locked="0"/>
    </xf>
    <xf numFmtId="0" fontId="18" fillId="11" borderId="1" xfId="0" applyFont="1" applyFill="1" applyBorder="1" applyAlignment="1" applyProtection="1">
      <alignment horizontal="left" vertical="top" wrapText="1"/>
      <protection locked="0"/>
    </xf>
    <xf numFmtId="0" fontId="2" fillId="11" borderId="1" xfId="0" applyFont="1" applyFill="1" applyBorder="1" applyAlignment="1" applyProtection="1">
      <alignment vertical="top" wrapText="1"/>
      <protection locked="0"/>
    </xf>
    <xf numFmtId="3" fontId="16" fillId="12" borderId="14" xfId="0" applyNumberFormat="1" applyFont="1" applyFill="1" applyBorder="1" applyAlignment="1">
      <alignment vertical="top" wrapText="1"/>
    </xf>
    <xf numFmtId="3" fontId="19" fillId="12" borderId="69" xfId="0" applyNumberFormat="1" applyFont="1" applyFill="1" applyBorder="1" applyAlignment="1">
      <alignment vertical="top"/>
    </xf>
    <xf numFmtId="3" fontId="19" fillId="12" borderId="1" xfId="0" applyNumberFormat="1" applyFont="1" applyFill="1" applyBorder="1" applyAlignment="1">
      <alignment vertical="top"/>
    </xf>
    <xf numFmtId="3" fontId="19" fillId="15" borderId="2" xfId="0" applyNumberFormat="1" applyFont="1" applyFill="1" applyBorder="1" applyAlignment="1">
      <alignment vertical="top"/>
    </xf>
    <xf numFmtId="3" fontId="46" fillId="11" borderId="31" xfId="0" applyNumberFormat="1" applyFont="1" applyFill="1" applyBorder="1" applyAlignment="1" applyProtection="1">
      <alignment vertical="top"/>
      <protection locked="0"/>
    </xf>
    <xf numFmtId="3" fontId="46" fillId="11" borderId="1" xfId="0" applyNumberFormat="1" applyFont="1" applyFill="1" applyBorder="1" applyAlignment="1" applyProtection="1">
      <alignment vertical="top"/>
      <protection locked="0"/>
    </xf>
    <xf numFmtId="3" fontId="46" fillId="11" borderId="69" xfId="0" applyNumberFormat="1" applyFont="1" applyFill="1" applyBorder="1" applyAlignment="1" applyProtection="1">
      <alignment horizontal="right" vertical="top"/>
      <protection locked="0"/>
    </xf>
    <xf numFmtId="3" fontId="46" fillId="11" borderId="1" xfId="0" applyNumberFormat="1" applyFont="1" applyFill="1" applyBorder="1" applyAlignment="1" applyProtection="1">
      <alignment horizontal="right" vertical="top"/>
      <protection locked="0"/>
    </xf>
    <xf numFmtId="3" fontId="46" fillId="11" borderId="14" xfId="0" applyNumberFormat="1" applyFont="1" applyFill="1" applyBorder="1" applyAlignment="1" applyProtection="1">
      <alignment horizontal="right" vertical="top"/>
      <protection locked="0"/>
    </xf>
    <xf numFmtId="3" fontId="46" fillId="11" borderId="31" xfId="0" applyNumberFormat="1" applyFont="1" applyFill="1" applyBorder="1" applyAlignment="1" applyProtection="1">
      <alignment horizontal="right" vertical="top"/>
      <protection locked="0"/>
    </xf>
    <xf numFmtId="3" fontId="46" fillId="11" borderId="2" xfId="0" applyNumberFormat="1" applyFont="1" applyFill="1" applyBorder="1" applyAlignment="1" applyProtection="1">
      <alignment horizontal="right" vertical="top"/>
      <protection locked="0"/>
    </xf>
    <xf numFmtId="3" fontId="46" fillId="15" borderId="31" xfId="0" applyNumberFormat="1" applyFont="1" applyFill="1" applyBorder="1" applyAlignment="1" applyProtection="1">
      <alignment horizontal="right" vertical="top"/>
      <protection locked="0"/>
    </xf>
    <xf numFmtId="3" fontId="16" fillId="12" borderId="3" xfId="0" applyNumberFormat="1" applyFont="1" applyFill="1" applyBorder="1" applyAlignment="1">
      <alignment vertical="top" wrapText="1"/>
    </xf>
    <xf numFmtId="0" fontId="18" fillId="11" borderId="3" xfId="0" applyFont="1" applyFill="1" applyBorder="1" applyAlignment="1" applyProtection="1">
      <alignment vertical="top" wrapText="1"/>
      <protection locked="0"/>
    </xf>
    <xf numFmtId="0" fontId="2" fillId="0" borderId="3" xfId="0" applyFont="1" applyBorder="1" applyAlignment="1">
      <alignment vertical="top"/>
    </xf>
    <xf numFmtId="167" fontId="0" fillId="0" borderId="3" xfId="2" applyNumberFormat="1" applyFont="1" applyBorder="1" applyAlignment="1">
      <alignment vertical="top"/>
    </xf>
    <xf numFmtId="0" fontId="1" fillId="4" borderId="3" xfId="0" applyFont="1" applyFill="1" applyBorder="1" applyAlignment="1">
      <alignment horizontal="left" vertical="top" wrapText="1"/>
    </xf>
    <xf numFmtId="0" fontId="27" fillId="14" borderId="3" xfId="0" applyFont="1" applyFill="1" applyBorder="1" applyAlignment="1">
      <alignment horizontal="left" vertical="top" wrapText="1"/>
    </xf>
    <xf numFmtId="0" fontId="1" fillId="0" borderId="0" xfId="0" applyFont="1" applyAlignment="1">
      <alignment horizontal="left" vertical="top" wrapText="1"/>
    </xf>
    <xf numFmtId="3" fontId="0" fillId="0" borderId="3" xfId="0" applyNumberFormat="1" applyBorder="1" applyAlignment="1">
      <alignment horizontal="left" vertical="top"/>
    </xf>
    <xf numFmtId="0" fontId="0" fillId="0" borderId="3" xfId="0" applyBorder="1" applyAlignment="1">
      <alignment horizontal="left" vertical="top" wrapText="1"/>
    </xf>
    <xf numFmtId="0" fontId="0" fillId="15" borderId="3" xfId="0" applyFill="1" applyBorder="1" applyAlignment="1">
      <alignment horizontal="left" vertical="top"/>
    </xf>
    <xf numFmtId="3" fontId="2" fillId="0" borderId="1" xfId="0" applyNumberFormat="1" applyFont="1" applyBorder="1"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0" fontId="0" fillId="11" borderId="3" xfId="0" applyFill="1" applyBorder="1" applyAlignment="1">
      <alignment vertical="top" wrapText="1"/>
    </xf>
    <xf numFmtId="0" fontId="0" fillId="11" borderId="3" xfId="0" applyFill="1" applyBorder="1" applyAlignment="1">
      <alignment horizontal="left" vertical="top"/>
    </xf>
    <xf numFmtId="0" fontId="0" fillId="11" borderId="3" xfId="0" applyFill="1" applyBorder="1" applyAlignment="1">
      <alignment vertical="top"/>
    </xf>
    <xf numFmtId="167" fontId="0" fillId="11" borderId="3" xfId="2" applyNumberFormat="1" applyFont="1" applyFill="1" applyBorder="1" applyAlignment="1">
      <alignment horizontal="center" vertical="top"/>
    </xf>
    <xf numFmtId="9" fontId="0" fillId="11" borderId="3" xfId="0" applyNumberFormat="1" applyFill="1" applyBorder="1" applyAlignment="1">
      <alignment vertical="top"/>
    </xf>
    <xf numFmtId="0" fontId="52" fillId="11" borderId="3" xfId="0" applyFont="1" applyFill="1" applyBorder="1" applyAlignment="1">
      <alignment horizontal="left" vertical="center" wrapText="1" readingOrder="1"/>
    </xf>
    <xf numFmtId="0" fontId="52" fillId="11" borderId="3" xfId="0" applyFont="1" applyFill="1" applyBorder="1" applyAlignment="1">
      <alignment horizontal="left" vertical="top" wrapText="1" readingOrder="1"/>
    </xf>
    <xf numFmtId="167" fontId="0" fillId="11" borderId="3" xfId="2" applyNumberFormat="1" applyFont="1" applyFill="1" applyBorder="1" applyAlignment="1">
      <alignment vertical="top"/>
    </xf>
    <xf numFmtId="0" fontId="0" fillId="11" borderId="3" xfId="0" applyFill="1" applyBorder="1" applyAlignment="1">
      <alignment horizontal="left" vertical="top" wrapText="1"/>
    </xf>
    <xf numFmtId="167" fontId="0" fillId="11" borderId="3" xfId="2" applyNumberFormat="1" applyFont="1" applyFill="1" applyBorder="1" applyAlignment="1">
      <alignment horizontal="left" vertical="top"/>
    </xf>
    <xf numFmtId="3" fontId="2" fillId="15" borderId="0" xfId="0" applyNumberFormat="1" applyFont="1" applyFill="1" applyAlignment="1">
      <alignment vertical="top"/>
    </xf>
    <xf numFmtId="3" fontId="18" fillId="0" borderId="0" xfId="0" applyNumberFormat="1" applyFont="1" applyAlignment="1">
      <alignment vertical="top"/>
    </xf>
    <xf numFmtId="0" fontId="2" fillId="0" borderId="3" xfId="0" applyFont="1" applyBorder="1"/>
    <xf numFmtId="3" fontId="0" fillId="16" borderId="5" xfId="0" applyNumberFormat="1" applyFill="1" applyBorder="1" applyAlignment="1">
      <alignment vertical="top"/>
    </xf>
    <xf numFmtId="3" fontId="0" fillId="16" borderId="6" xfId="0" applyNumberFormat="1" applyFill="1" applyBorder="1" applyAlignment="1">
      <alignment vertical="top"/>
    </xf>
    <xf numFmtId="3" fontId="0" fillId="16" borderId="50" xfId="0" applyNumberFormat="1" applyFill="1" applyBorder="1" applyAlignment="1">
      <alignment vertical="top"/>
    </xf>
    <xf numFmtId="3" fontId="0" fillId="16" borderId="4" xfId="0" applyNumberFormat="1" applyFill="1" applyBorder="1" applyAlignment="1">
      <alignment vertical="top"/>
    </xf>
    <xf numFmtId="3" fontId="0" fillId="16" borderId="63" xfId="0" applyNumberFormat="1" applyFill="1" applyBorder="1" applyAlignment="1">
      <alignment vertical="top"/>
    </xf>
    <xf numFmtId="0" fontId="0" fillId="16" borderId="5" xfId="0" applyFill="1" applyBorder="1" applyAlignment="1">
      <alignment vertical="top"/>
    </xf>
    <xf numFmtId="0" fontId="0" fillId="16" borderId="6" xfId="0" applyFill="1" applyBorder="1" applyAlignment="1">
      <alignment vertical="top"/>
    </xf>
    <xf numFmtId="0" fontId="0" fillId="16" borderId="4" xfId="0" applyFill="1" applyBorder="1" applyAlignment="1">
      <alignment vertical="top"/>
    </xf>
    <xf numFmtId="0" fontId="55" fillId="0" borderId="0" xfId="0" applyFont="1" applyAlignment="1">
      <alignment vertical="top"/>
    </xf>
    <xf numFmtId="0" fontId="55" fillId="0" borderId="0" xfId="0" applyFont="1" applyAlignment="1">
      <alignment vertical="top" wrapText="1"/>
    </xf>
    <xf numFmtId="0" fontId="2" fillId="11" borderId="3" xfId="0" applyFont="1" applyFill="1" applyBorder="1" applyAlignment="1" applyProtection="1">
      <alignment horizontal="left" vertical="top" wrapText="1"/>
      <protection locked="0"/>
    </xf>
    <xf numFmtId="0" fontId="2" fillId="15" borderId="5" xfId="0" applyFont="1" applyFill="1" applyBorder="1" applyAlignment="1" applyProtection="1">
      <alignment horizontal="left" vertical="top" wrapText="1"/>
      <protection locked="0"/>
    </xf>
    <xf numFmtId="3" fontId="46" fillId="17" borderId="19" xfId="0" applyNumberFormat="1" applyFont="1" applyFill="1" applyBorder="1" applyAlignment="1" applyProtection="1">
      <alignment vertical="top"/>
      <protection locked="0"/>
    </xf>
    <xf numFmtId="3" fontId="46" fillId="17" borderId="19" xfId="0" applyNumberFormat="1" applyFont="1" applyFill="1" applyBorder="1" applyAlignment="1" applyProtection="1">
      <alignment horizontal="right" vertical="top"/>
      <protection locked="0"/>
    </xf>
    <xf numFmtId="3" fontId="2" fillId="0" borderId="74" xfId="0" applyNumberFormat="1" applyFont="1" applyBorder="1" applyAlignment="1">
      <alignment vertical="top"/>
    </xf>
    <xf numFmtId="3" fontId="29" fillId="0" borderId="74" xfId="0" applyNumberFormat="1" applyFont="1" applyBorder="1" applyAlignment="1">
      <alignment vertical="top"/>
    </xf>
    <xf numFmtId="3" fontId="31" fillId="0" borderId="74" xfId="0" applyNumberFormat="1" applyFont="1" applyBorder="1" applyAlignment="1">
      <alignment vertical="top"/>
    </xf>
    <xf numFmtId="3" fontId="55" fillId="0" borderId="0" xfId="0" applyNumberFormat="1" applyFont="1" applyAlignment="1">
      <alignment vertical="top"/>
    </xf>
    <xf numFmtId="3" fontId="0" fillId="0" borderId="0" xfId="0" applyNumberFormat="1" applyAlignment="1">
      <alignment vertical="top" wrapText="1"/>
    </xf>
    <xf numFmtId="0" fontId="29" fillId="0" borderId="75" xfId="0" applyFont="1" applyBorder="1" applyAlignment="1">
      <alignment vertical="top"/>
    </xf>
    <xf numFmtId="0" fontId="31" fillId="0" borderId="75" xfId="0" applyFont="1" applyBorder="1" applyAlignment="1">
      <alignment vertical="top"/>
    </xf>
    <xf numFmtId="0" fontId="0" fillId="0" borderId="45" xfId="0" applyBorder="1" applyAlignment="1">
      <alignment vertical="top"/>
    </xf>
    <xf numFmtId="0" fontId="26" fillId="7" borderId="20" xfId="0" applyFont="1" applyFill="1" applyBorder="1" applyAlignment="1">
      <alignment vertical="top"/>
    </xf>
    <xf numFmtId="0" fontId="26" fillId="7" borderId="19" xfId="0" applyFont="1" applyFill="1" applyBorder="1" applyAlignment="1">
      <alignment vertical="top"/>
    </xf>
    <xf numFmtId="3" fontId="29" fillId="7" borderId="0" xfId="0" applyNumberFormat="1" applyFont="1" applyFill="1" applyAlignment="1">
      <alignment vertical="top"/>
    </xf>
    <xf numFmtId="0" fontId="31" fillId="7" borderId="0" xfId="0" applyFont="1" applyFill="1" applyAlignment="1">
      <alignment vertical="top"/>
    </xf>
    <xf numFmtId="0" fontId="29" fillId="7" borderId="0" xfId="0" applyFont="1" applyFill="1" applyAlignment="1">
      <alignment vertical="top"/>
    </xf>
    <xf numFmtId="3" fontId="27" fillId="7" borderId="0" xfId="0" applyNumberFormat="1" applyFont="1" applyFill="1" applyAlignment="1">
      <alignment vertical="top"/>
    </xf>
    <xf numFmtId="0" fontId="27" fillId="7" borderId="0" xfId="0" applyFont="1" applyFill="1" applyAlignment="1">
      <alignment vertical="top"/>
    </xf>
    <xf numFmtId="0" fontId="26" fillId="7" borderId="0" xfId="0" applyFont="1" applyFill="1" applyAlignment="1">
      <alignment vertical="top"/>
    </xf>
    <xf numFmtId="0" fontId="27" fillId="7" borderId="75" xfId="0" applyFont="1" applyFill="1" applyBorder="1" applyAlignment="1">
      <alignment vertical="top"/>
    </xf>
    <xf numFmtId="0" fontId="26" fillId="10" borderId="75" xfId="0" applyFont="1" applyFill="1" applyBorder="1" applyAlignment="1">
      <alignment vertical="top"/>
    </xf>
    <xf numFmtId="0" fontId="0" fillId="0" borderId="83" xfId="0" applyBorder="1" applyAlignment="1">
      <alignment vertical="top"/>
    </xf>
    <xf numFmtId="0" fontId="31" fillId="7" borderId="76" xfId="0" applyFont="1" applyFill="1" applyBorder="1" applyAlignment="1">
      <alignment vertical="top"/>
    </xf>
    <xf numFmtId="0" fontId="29" fillId="7" borderId="76" xfId="0" applyFont="1" applyFill="1" applyBorder="1" applyAlignment="1">
      <alignment vertical="top"/>
    </xf>
    <xf numFmtId="0" fontId="26" fillId="7" borderId="53" xfId="0" applyFont="1" applyFill="1" applyBorder="1" applyAlignment="1">
      <alignment vertical="top"/>
    </xf>
    <xf numFmtId="0" fontId="0" fillId="0" borderId="71" xfId="0" applyBorder="1" applyAlignment="1">
      <alignment vertical="top"/>
    </xf>
    <xf numFmtId="3" fontId="31" fillId="7" borderId="66" xfId="0" applyNumberFormat="1" applyFont="1" applyFill="1" applyBorder="1" applyAlignment="1">
      <alignment vertical="top"/>
    </xf>
    <xf numFmtId="0" fontId="31" fillId="7" borderId="54" xfId="0" applyFont="1" applyFill="1" applyBorder="1" applyAlignment="1">
      <alignment vertical="top"/>
    </xf>
    <xf numFmtId="3" fontId="31" fillId="7" borderId="62" xfId="0" applyNumberFormat="1" applyFont="1" applyFill="1" applyBorder="1" applyAlignment="1">
      <alignment vertical="top"/>
    </xf>
    <xf numFmtId="0" fontId="31" fillId="7" borderId="55" xfId="0" applyFont="1" applyFill="1" applyBorder="1" applyAlignment="1">
      <alignment vertical="top"/>
    </xf>
    <xf numFmtId="3" fontId="26" fillId="7" borderId="62" xfId="0" applyNumberFormat="1" applyFont="1" applyFill="1" applyBorder="1" applyAlignment="1">
      <alignment vertical="top"/>
    </xf>
    <xf numFmtId="3" fontId="26" fillId="7" borderId="0" xfId="0" applyNumberFormat="1" applyFont="1" applyFill="1" applyAlignment="1">
      <alignment vertical="top"/>
    </xf>
    <xf numFmtId="3" fontId="26" fillId="0" borderId="0" xfId="0" applyNumberFormat="1" applyFont="1" applyAlignment="1">
      <alignment vertical="top"/>
    </xf>
    <xf numFmtId="0" fontId="26" fillId="0" borderId="0" xfId="0" applyFont="1" applyAlignment="1">
      <alignment vertical="top"/>
    </xf>
    <xf numFmtId="3" fontId="27" fillId="0" borderId="65" xfId="0" applyNumberFormat="1" applyFont="1" applyBorder="1" applyAlignment="1">
      <alignment vertical="top"/>
    </xf>
    <xf numFmtId="0" fontId="26" fillId="0" borderId="76" xfId="0" applyFont="1" applyBorder="1" applyAlignment="1">
      <alignment vertical="top"/>
    </xf>
    <xf numFmtId="3" fontId="27" fillId="0" borderId="27" xfId="0" applyNumberFormat="1" applyFont="1" applyBorder="1" applyAlignment="1">
      <alignment vertical="top"/>
    </xf>
    <xf numFmtId="0" fontId="27" fillId="0" borderId="27" xfId="0" applyFont="1" applyBorder="1" applyAlignment="1">
      <alignment vertical="top"/>
    </xf>
    <xf numFmtId="0" fontId="26" fillId="0" borderId="29" xfId="0" applyFont="1" applyBorder="1" applyAlignment="1">
      <alignment vertical="top"/>
    </xf>
    <xf numFmtId="3" fontId="27" fillId="0" borderId="0" xfId="0" applyNumberFormat="1" applyFont="1" applyAlignment="1">
      <alignment vertical="top"/>
    </xf>
    <xf numFmtId="0" fontId="27" fillId="0" borderId="0" xfId="0" applyFont="1" applyAlignment="1">
      <alignment vertical="top"/>
    </xf>
    <xf numFmtId="0" fontId="0" fillId="0" borderId="82" xfId="0" applyBorder="1" applyAlignment="1">
      <alignment horizontal="left" vertical="top" wrapText="1"/>
    </xf>
    <xf numFmtId="0" fontId="0" fillId="0" borderId="83" xfId="0" applyBorder="1" applyAlignment="1">
      <alignment horizontal="left" vertical="top" wrapText="1"/>
    </xf>
    <xf numFmtId="0" fontId="0" fillId="0" borderId="105" xfId="0" applyBorder="1" applyAlignment="1">
      <alignment vertical="top"/>
    </xf>
    <xf numFmtId="0" fontId="0" fillId="0" borderId="32" xfId="0" applyBorder="1" applyAlignment="1">
      <alignment vertical="top"/>
    </xf>
    <xf numFmtId="3" fontId="18" fillId="0" borderId="74" xfId="0" applyNumberFormat="1" applyFont="1" applyBorder="1" applyAlignment="1">
      <alignment vertical="top"/>
    </xf>
    <xf numFmtId="0" fontId="0" fillId="4" borderId="28" xfId="0" applyFill="1" applyBorder="1" applyAlignment="1">
      <alignment vertical="top"/>
    </xf>
    <xf numFmtId="0" fontId="0" fillId="4" borderId="27" xfId="0" applyFill="1" applyBorder="1" applyAlignment="1">
      <alignment vertical="top"/>
    </xf>
    <xf numFmtId="0" fontId="0" fillId="0" borderId="27" xfId="0" applyBorder="1" applyAlignment="1">
      <alignment vertical="top"/>
    </xf>
    <xf numFmtId="0" fontId="0" fillId="0" borderId="29" xfId="0" applyBorder="1" applyAlignment="1">
      <alignment vertical="top"/>
    </xf>
    <xf numFmtId="0" fontId="2" fillId="2" borderId="63" xfId="0" applyFont="1" applyFill="1" applyBorder="1" applyAlignment="1">
      <alignment vertical="top" wrapText="1"/>
    </xf>
    <xf numFmtId="0" fontId="2" fillId="2" borderId="64" xfId="0" applyFont="1" applyFill="1" applyBorder="1" applyAlignment="1">
      <alignment vertical="top" wrapText="1"/>
    </xf>
    <xf numFmtId="0" fontId="2" fillId="2" borderId="5" xfId="0" applyFont="1" applyFill="1" applyBorder="1" applyAlignment="1">
      <alignment vertical="top" wrapText="1"/>
    </xf>
    <xf numFmtId="0" fontId="0" fillId="2" borderId="5" xfId="0" applyFill="1" applyBorder="1" applyAlignment="1">
      <alignment vertical="top" wrapText="1"/>
    </xf>
    <xf numFmtId="0" fontId="0" fillId="2" borderId="63" xfId="0" applyFill="1" applyBorder="1" applyAlignment="1">
      <alignment vertical="top" wrapText="1"/>
    </xf>
    <xf numFmtId="0" fontId="3" fillId="0" borderId="65" xfId="0" applyFont="1" applyBorder="1" applyAlignment="1">
      <alignment horizontal="left" vertical="top" wrapText="1"/>
    </xf>
    <xf numFmtId="1" fontId="1" fillId="4" borderId="82" xfId="0" applyNumberFormat="1" applyFont="1" applyFill="1" applyBorder="1" applyAlignment="1">
      <alignment horizontal="center" vertical="top" wrapText="1"/>
    </xf>
    <xf numFmtId="0" fontId="1" fillId="0" borderId="83" xfId="0" applyFont="1" applyBorder="1" applyAlignment="1">
      <alignment horizontal="center" vertical="top" wrapText="1"/>
    </xf>
    <xf numFmtId="0" fontId="1" fillId="0" borderId="81" xfId="0" applyFont="1" applyBorder="1" applyAlignment="1">
      <alignment horizontal="center" vertical="top" wrapText="1"/>
    </xf>
    <xf numFmtId="1" fontId="1" fillId="4" borderId="24" xfId="0" applyNumberFormat="1" applyFont="1" applyFill="1" applyBorder="1" applyAlignment="1">
      <alignment horizontal="center" vertical="top" wrapText="1"/>
    </xf>
    <xf numFmtId="0" fontId="1" fillId="0" borderId="24" xfId="0" applyFont="1" applyBorder="1" applyAlignment="1">
      <alignment horizontal="center" vertical="top" wrapText="1"/>
    </xf>
    <xf numFmtId="0" fontId="1" fillId="0" borderId="25" xfId="0" applyFont="1" applyBorder="1" applyAlignment="1">
      <alignment horizontal="center" vertical="top" wrapText="1"/>
    </xf>
    <xf numFmtId="1" fontId="1" fillId="4" borderId="23" xfId="0" applyNumberFormat="1" applyFont="1" applyFill="1" applyBorder="1" applyAlignment="1">
      <alignment horizontal="center" vertical="top" wrapText="1"/>
    </xf>
    <xf numFmtId="0" fontId="0" fillId="8" borderId="11" xfId="0" applyFill="1" applyBorder="1" applyAlignment="1">
      <alignment horizontal="left" vertical="top" wrapText="1"/>
    </xf>
    <xf numFmtId="0" fontId="0" fillId="0" borderId="20" xfId="0" applyBorder="1" applyAlignment="1">
      <alignment horizontal="left" vertical="top" wrapText="1"/>
    </xf>
    <xf numFmtId="0" fontId="0" fillId="0" borderId="19" xfId="0" applyBorder="1" applyAlignment="1">
      <alignment horizontal="left" vertical="top" wrapText="1"/>
    </xf>
    <xf numFmtId="164" fontId="6" fillId="4" borderId="42" xfId="0" applyNumberFormat="1" applyFont="1" applyFill="1" applyBorder="1" applyAlignment="1">
      <alignment horizontal="center" vertical="top" wrapText="1"/>
    </xf>
    <xf numFmtId="0" fontId="0" fillId="0" borderId="0" xfId="0" applyAlignment="1">
      <alignment horizontal="center" vertical="top" wrapText="1"/>
    </xf>
    <xf numFmtId="0" fontId="0" fillId="0" borderId="52" xfId="0" applyBorder="1" applyAlignment="1">
      <alignment horizontal="center" vertical="top" wrapText="1"/>
    </xf>
    <xf numFmtId="0" fontId="3" fillId="0" borderId="66" xfId="0" applyFont="1" applyBorder="1" applyAlignment="1">
      <alignment horizontal="left" vertical="top" wrapText="1"/>
    </xf>
    <xf numFmtId="0" fontId="0" fillId="0" borderId="54" xfId="0" applyBorder="1" applyAlignment="1">
      <alignment vertical="top"/>
    </xf>
    <xf numFmtId="0" fontId="0" fillId="0" borderId="55" xfId="0" applyBorder="1" applyAlignment="1">
      <alignment vertical="top"/>
    </xf>
    <xf numFmtId="1" fontId="0" fillId="4" borderId="23" xfId="0" applyNumberFormat="1" applyFill="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1" fillId="4" borderId="24" xfId="0" applyFont="1" applyFill="1" applyBorder="1" applyAlignment="1">
      <alignment horizontal="center" vertical="top" wrapText="1"/>
    </xf>
    <xf numFmtId="0" fontId="1" fillId="4" borderId="25" xfId="0" applyFont="1" applyFill="1" applyBorder="1" applyAlignment="1">
      <alignment horizontal="center" vertical="top" wrapText="1"/>
    </xf>
    <xf numFmtId="0" fontId="3" fillId="0" borderId="57" xfId="0" applyFont="1" applyBorder="1" applyAlignment="1">
      <alignment horizontal="left" vertical="top" wrapText="1"/>
    </xf>
    <xf numFmtId="0" fontId="3" fillId="0" borderId="72" xfId="0" applyFont="1" applyBorder="1" applyAlignment="1">
      <alignment horizontal="left" vertical="top" wrapText="1"/>
    </xf>
    <xf numFmtId="0" fontId="2" fillId="2" borderId="94" xfId="0" applyFont="1" applyFill="1" applyBorder="1" applyAlignment="1">
      <alignment vertical="top" wrapText="1"/>
    </xf>
    <xf numFmtId="0" fontId="2" fillId="2" borderId="95" xfId="0" applyFont="1" applyFill="1" applyBorder="1" applyAlignment="1">
      <alignment vertical="top" wrapText="1"/>
    </xf>
    <xf numFmtId="0" fontId="3" fillId="0" borderId="28" xfId="0" applyFont="1" applyBorder="1" applyAlignment="1">
      <alignment horizontal="left" vertical="top" wrapText="1"/>
    </xf>
    <xf numFmtId="0" fontId="3" fillId="0" borderId="81" xfId="0" applyFont="1" applyBorder="1" applyAlignment="1">
      <alignment horizontal="left" vertical="top" wrapText="1"/>
    </xf>
    <xf numFmtId="0" fontId="0" fillId="8" borderId="3" xfId="0" applyFill="1" applyBorder="1" applyAlignment="1">
      <alignment horizontal="left" vertical="top" wrapText="1"/>
    </xf>
    <xf numFmtId="0" fontId="0" fillId="4" borderId="23" xfId="0" applyFill="1" applyBorder="1" applyAlignment="1">
      <alignment vertical="top"/>
    </xf>
    <xf numFmtId="0" fontId="0" fillId="4" borderId="24" xfId="0" applyFill="1" applyBorder="1" applyAlignment="1">
      <alignment vertical="top"/>
    </xf>
    <xf numFmtId="0" fontId="0" fillId="4" borderId="25" xfId="0" applyFill="1" applyBorder="1" applyAlignment="1">
      <alignment vertical="top"/>
    </xf>
    <xf numFmtId="164" fontId="6" fillId="4" borderId="23" xfId="0" applyNumberFormat="1" applyFont="1" applyFill="1"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2" borderId="6" xfId="0" applyFill="1" applyBorder="1" applyAlignment="1">
      <alignment vertical="top" wrapText="1"/>
    </xf>
    <xf numFmtId="0" fontId="0" fillId="2" borderId="94" xfId="0" applyFill="1" applyBorder="1" applyAlignment="1">
      <alignment vertical="top" wrapText="1"/>
    </xf>
    <xf numFmtId="0" fontId="0" fillId="2" borderId="95" xfId="0" applyFill="1" applyBorder="1" applyAlignment="1">
      <alignment vertical="top" wrapText="1"/>
    </xf>
    <xf numFmtId="0" fontId="0" fillId="0" borderId="0" xfId="0" applyAlignment="1">
      <alignment horizontal="left" vertical="top" wrapText="1"/>
    </xf>
    <xf numFmtId="0" fontId="0" fillId="0" borderId="0" xfId="0" applyAlignment="1">
      <alignment vertical="top" wrapText="1"/>
    </xf>
    <xf numFmtId="0" fontId="55" fillId="0" borderId="0" xfId="0" applyFont="1" applyAlignment="1">
      <alignment vertical="top" wrapText="1"/>
    </xf>
    <xf numFmtId="0" fontId="29" fillId="6" borderId="78" xfId="0" applyFont="1" applyFill="1" applyBorder="1" applyAlignment="1">
      <alignment horizontal="center" vertical="top" wrapText="1"/>
    </xf>
    <xf numFmtId="0" fontId="29" fillId="6" borderId="85" xfId="0" applyFont="1" applyFill="1" applyBorder="1" applyAlignment="1">
      <alignment horizontal="center" vertical="top" wrapText="1"/>
    </xf>
    <xf numFmtId="0" fontId="29" fillId="6" borderId="79" xfId="0" applyFont="1" applyFill="1" applyBorder="1" applyAlignment="1">
      <alignment horizontal="center" vertical="top"/>
    </xf>
    <xf numFmtId="0" fontId="29" fillId="6" borderId="86" xfId="0" applyFont="1" applyFill="1" applyBorder="1" applyAlignment="1">
      <alignment horizontal="center" vertical="top"/>
    </xf>
    <xf numFmtId="0" fontId="27" fillId="6" borderId="27" xfId="0" applyFont="1" applyFill="1" applyBorder="1" applyAlignment="1">
      <alignment horizontal="center" vertical="top" wrapText="1"/>
    </xf>
    <xf numFmtId="0" fontId="0" fillId="0" borderId="27" xfId="0" applyBorder="1" applyAlignment="1">
      <alignment horizontal="center" vertical="top" wrapText="1"/>
    </xf>
    <xf numFmtId="0" fontId="0" fillId="0" borderId="61" xfId="0" applyBorder="1" applyAlignment="1">
      <alignment horizontal="center" vertical="top" wrapText="1"/>
    </xf>
    <xf numFmtId="0" fontId="0" fillId="0" borderId="54" xfId="0" applyBorder="1" applyAlignment="1">
      <alignment horizontal="center" vertical="top" wrapText="1"/>
    </xf>
    <xf numFmtId="0" fontId="0" fillId="0" borderId="87" xfId="0" applyBorder="1" applyAlignment="1">
      <alignment horizontal="center" vertical="top" wrapText="1"/>
    </xf>
    <xf numFmtId="0" fontId="27" fillId="6" borderId="80" xfId="0" applyFont="1" applyFill="1" applyBorder="1" applyAlignment="1">
      <alignment horizontal="center" vertical="top" wrapText="1"/>
    </xf>
    <xf numFmtId="0" fontId="27" fillId="6" borderId="61" xfId="0" applyFont="1" applyFill="1" applyBorder="1" applyAlignment="1">
      <alignment horizontal="center" vertical="top" wrapText="1"/>
    </xf>
    <xf numFmtId="0" fontId="30" fillId="6" borderId="62" xfId="0" applyFont="1" applyFill="1" applyBorder="1" applyAlignment="1">
      <alignment horizontal="center" vertical="top" wrapText="1"/>
    </xf>
    <xf numFmtId="0" fontId="30" fillId="6" borderId="87" xfId="0" applyFont="1" applyFill="1" applyBorder="1" applyAlignment="1">
      <alignment horizontal="center" vertical="top" wrapText="1"/>
    </xf>
    <xf numFmtId="0" fontId="27" fillId="6" borderId="29" xfId="0" applyFont="1" applyFill="1" applyBorder="1" applyAlignment="1">
      <alignment horizontal="center" vertical="top" wrapText="1"/>
    </xf>
    <xf numFmtId="0" fontId="30" fillId="6" borderId="55" xfId="0" applyFont="1" applyFill="1" applyBorder="1" applyAlignment="1">
      <alignment horizontal="center" vertical="top" wrapText="1"/>
    </xf>
    <xf numFmtId="0" fontId="0" fillId="3" borderId="4" xfId="0" applyFill="1" applyBorder="1" applyAlignment="1">
      <alignment horizontal="left" vertical="top" wrapText="1"/>
    </xf>
    <xf numFmtId="0" fontId="0" fillId="3" borderId="13" xfId="0" applyFill="1" applyBorder="1" applyAlignment="1">
      <alignment horizontal="left" vertical="top" wrapText="1"/>
    </xf>
    <xf numFmtId="0" fontId="0" fillId="3" borderId="18" xfId="0" applyFill="1" applyBorder="1" applyAlignment="1">
      <alignment horizontal="left" vertical="top" wrapText="1"/>
    </xf>
    <xf numFmtId="0" fontId="0" fillId="3" borderId="84" xfId="0" applyFill="1" applyBorder="1" applyAlignment="1">
      <alignment horizontal="left" vertical="top" wrapText="1"/>
    </xf>
    <xf numFmtId="0" fontId="2" fillId="11" borderId="11" xfId="0" applyFont="1" applyFill="1" applyBorder="1" applyAlignment="1" applyProtection="1">
      <alignment vertical="top" wrapText="1"/>
      <protection locked="0"/>
    </xf>
    <xf numFmtId="0" fontId="0" fillId="0" borderId="20" xfId="0" applyBorder="1" applyAlignment="1">
      <alignment vertical="top" wrapText="1"/>
    </xf>
    <xf numFmtId="0" fontId="0" fillId="0" borderId="19" xfId="0" applyBorder="1" applyAlignment="1">
      <alignment vertical="top" wrapText="1"/>
    </xf>
    <xf numFmtId="0" fontId="0" fillId="3" borderId="5" xfId="0" applyFill="1" applyBorder="1" applyAlignment="1">
      <alignment horizontal="left" vertical="top" wrapText="1"/>
    </xf>
    <xf numFmtId="0" fontId="0" fillId="3" borderId="3" xfId="0" applyFill="1" applyBorder="1" applyAlignment="1">
      <alignment horizontal="left" vertical="top" wrapText="1"/>
    </xf>
    <xf numFmtId="0" fontId="0" fillId="3" borderId="16" xfId="0" applyFill="1" applyBorder="1" applyAlignment="1">
      <alignment horizontal="left" vertical="top" wrapText="1"/>
    </xf>
    <xf numFmtId="0" fontId="0" fillId="3" borderId="21" xfId="0" applyFill="1" applyBorder="1" applyAlignment="1">
      <alignment horizontal="left" vertical="top" wrapText="1"/>
    </xf>
    <xf numFmtId="0" fontId="0" fillId="0" borderId="4" xfId="0"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16" xfId="0" applyBorder="1" applyAlignment="1">
      <alignment horizontal="left" vertical="top" wrapText="1"/>
    </xf>
    <xf numFmtId="0" fontId="0" fillId="0" borderId="83" xfId="0" applyBorder="1" applyAlignment="1">
      <alignment horizontal="left" vertical="top" wrapText="1"/>
    </xf>
    <xf numFmtId="0" fontId="0" fillId="0" borderId="45" xfId="0" applyBorder="1" applyAlignment="1">
      <alignment horizontal="left" vertical="top" wrapText="1"/>
    </xf>
    <xf numFmtId="0" fontId="0" fillId="0" borderId="71" xfId="0" applyBorder="1" applyAlignment="1">
      <alignment horizontal="left" vertical="top" wrapText="1"/>
    </xf>
    <xf numFmtId="0" fontId="41" fillId="9" borderId="3" xfId="0" applyFont="1" applyFill="1" applyBorder="1" applyAlignment="1">
      <alignment horizontal="center" vertical="top" wrapText="1"/>
    </xf>
    <xf numFmtId="0" fontId="0" fillId="0" borderId="3" xfId="0" applyBorder="1" applyAlignment="1">
      <alignment horizontal="center" vertical="top" wrapText="1"/>
    </xf>
    <xf numFmtId="0" fontId="41" fillId="9" borderId="3" xfId="0" applyFont="1" applyFill="1" applyBorder="1" applyAlignment="1">
      <alignment horizontal="left" vertical="top" wrapText="1"/>
    </xf>
    <xf numFmtId="3" fontId="42" fillId="0" borderId="44" xfId="0" applyNumberFormat="1" applyFont="1" applyBorder="1" applyAlignment="1">
      <alignment horizontal="left" vertical="top" wrapText="1"/>
    </xf>
    <xf numFmtId="3" fontId="42" fillId="0" borderId="43" xfId="0" applyNumberFormat="1" applyFont="1" applyBorder="1" applyAlignment="1">
      <alignment horizontal="left" vertical="top" wrapText="1"/>
    </xf>
    <xf numFmtId="0" fontId="0" fillId="0" borderId="43" xfId="0" applyBorder="1" applyAlignment="1">
      <alignment vertical="top"/>
    </xf>
    <xf numFmtId="0" fontId="6" fillId="4" borderId="21" xfId="0" applyFont="1" applyFill="1" applyBorder="1" applyAlignment="1">
      <alignment horizontal="center" vertical="top" wrapText="1"/>
    </xf>
    <xf numFmtId="0" fontId="6" fillId="4" borderId="1" xfId="0" applyFont="1" applyFill="1" applyBorder="1" applyAlignment="1">
      <alignment horizontal="center" vertical="top" wrapText="1"/>
    </xf>
    <xf numFmtId="8" fontId="4" fillId="0" borderId="21" xfId="0" applyNumberFormat="1" applyFont="1" applyBorder="1" applyAlignment="1">
      <alignment horizontal="center" vertical="center"/>
    </xf>
    <xf numFmtId="0" fontId="4" fillId="0" borderId="45" xfId="0" applyFont="1" applyBorder="1" applyAlignment="1">
      <alignment horizontal="center" vertical="center"/>
    </xf>
    <xf numFmtId="0" fontId="4" fillId="0" borderId="1" xfId="0" applyFont="1" applyBorder="1" applyAlignment="1">
      <alignment horizontal="center" vertical="center"/>
    </xf>
    <xf numFmtId="3" fontId="0" fillId="0" borderId="21" xfId="0" applyNumberFormat="1" applyBorder="1" applyAlignment="1">
      <alignment horizontal="center" vertical="top"/>
    </xf>
    <xf numFmtId="3" fontId="0" fillId="0" borderId="45" xfId="0" applyNumberFormat="1" applyBorder="1" applyAlignment="1">
      <alignment horizontal="center" vertical="top"/>
    </xf>
    <xf numFmtId="3" fontId="0" fillId="0" borderId="1" xfId="0" applyNumberFormat="1" applyBorder="1" applyAlignment="1">
      <alignment horizontal="center" vertical="top"/>
    </xf>
    <xf numFmtId="0" fontId="0" fillId="0" borderId="21" xfId="0" applyBorder="1" applyAlignment="1">
      <alignment horizontal="center" vertical="top"/>
    </xf>
    <xf numFmtId="0" fontId="0" fillId="0" borderId="45" xfId="0" applyBorder="1" applyAlignment="1">
      <alignment horizontal="center" vertical="top"/>
    </xf>
    <xf numFmtId="43" fontId="0" fillId="15" borderId="45" xfId="2" applyFont="1" applyFill="1" applyBorder="1" applyAlignment="1">
      <alignment horizontal="center" vertical="top"/>
    </xf>
    <xf numFmtId="0" fontId="30" fillId="14" borderId="21" xfId="0" applyFont="1" applyFill="1" applyBorder="1" applyAlignment="1">
      <alignment horizontal="center" vertical="top" wrapText="1"/>
    </xf>
    <xf numFmtId="0" fontId="30" fillId="14" borderId="1" xfId="0" applyFont="1" applyFill="1" applyBorder="1" applyAlignment="1">
      <alignment horizontal="center" vertical="top" wrapText="1"/>
    </xf>
    <xf numFmtId="0" fontId="50" fillId="4" borderId="21" xfId="0" applyFont="1" applyFill="1" applyBorder="1" applyAlignment="1">
      <alignment horizontal="center" vertical="top" wrapText="1"/>
    </xf>
    <xf numFmtId="0" fontId="50" fillId="4" borderId="1" xfId="0" applyFont="1" applyFill="1" applyBorder="1" applyAlignment="1">
      <alignment horizontal="center" vertical="top" wrapText="1"/>
    </xf>
    <xf numFmtId="0" fontId="47" fillId="4" borderId="11" xfId="0" applyFont="1" applyFill="1" applyBorder="1" applyAlignment="1">
      <alignment horizontal="left" vertical="top" wrapText="1"/>
    </xf>
    <xf numFmtId="0" fontId="0" fillId="4" borderId="20" xfId="0" applyFill="1" applyBorder="1" applyAlignment="1">
      <alignment horizontal="left" vertical="top" wrapText="1"/>
    </xf>
    <xf numFmtId="0" fontId="0" fillId="4" borderId="19" xfId="0" applyFill="1" applyBorder="1" applyAlignment="1">
      <alignment horizontal="left" vertical="top" wrapText="1"/>
    </xf>
    <xf numFmtId="0" fontId="50" fillId="4" borderId="11" xfId="0" applyFont="1" applyFill="1" applyBorder="1" applyAlignment="1">
      <alignment horizontal="center" vertical="top" wrapText="1"/>
    </xf>
    <xf numFmtId="0" fontId="0" fillId="4" borderId="20" xfId="0" applyFill="1" applyBorder="1" applyAlignment="1">
      <alignment horizontal="center" vertical="top" wrapText="1"/>
    </xf>
    <xf numFmtId="0" fontId="0" fillId="4" borderId="19" xfId="0" applyFill="1" applyBorder="1" applyAlignment="1">
      <alignment horizontal="center" vertical="top" wrapText="1"/>
    </xf>
    <xf numFmtId="0" fontId="56" fillId="0" borderId="0" xfId="0" applyFont="1"/>
  </cellXfs>
  <cellStyles count="3">
    <cellStyle name="Hea" xfId="1" builtinId="26"/>
    <cellStyle name="Koma" xfId="2" builtinId="3"/>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Eelarve täitmine 31.12.2023 liikide lõikes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'Ettekande arvutused'!$C$5</c:f>
              <c:strCache>
                <c:ptCount val="1"/>
                <c:pt idx="0">
                  <c:v>Eelarve​</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'Ettekande arvutused'!$B$7:$B$9</c:f>
              <c:strCache>
                <c:ptCount val="3"/>
                <c:pt idx="0">
                  <c:v>Riigieelarve​</c:v>
                </c:pt>
                <c:pt idx="1">
                  <c:v>Välistoetused​</c:v>
                </c:pt>
                <c:pt idx="2">
                  <c:v>Muud​</c:v>
                </c:pt>
              </c:strCache>
            </c:strRef>
          </c:cat>
          <c:val>
            <c:numRef>
              <c:f>'Ettekande arvutused'!$C$7:$C$9</c:f>
              <c:numCache>
                <c:formatCode>#\ ##0.0</c:formatCode>
                <c:ptCount val="3"/>
                <c:pt idx="0">
                  <c:v>66.423523937251105</c:v>
                </c:pt>
                <c:pt idx="1">
                  <c:v>9.8947822751095202</c:v>
                </c:pt>
                <c:pt idx="2">
                  <c:v>5.3678763088316597</c:v>
                </c:pt>
              </c:numCache>
            </c:numRef>
          </c:val>
          <c:extLst>
            <c:ext xmlns:c16="http://schemas.microsoft.com/office/drawing/2014/chart" uri="{C3380CC4-5D6E-409C-BE32-E72D297353CC}">
              <c16:uniqueId val="{00000000-0AB7-4595-B18C-B49384EC5222}"/>
            </c:ext>
          </c:extLst>
        </c:ser>
        <c:ser>
          <c:idx val="1"/>
          <c:order val="1"/>
          <c:tx>
            <c:strRef>
              <c:f>'Ettekande arvutused'!$D$5</c:f>
              <c:strCache>
                <c:ptCount val="1"/>
                <c:pt idx="0">
                  <c:v>Täitmine​</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'Ettekande arvutused'!$B$7:$B$9</c:f>
              <c:strCache>
                <c:ptCount val="3"/>
                <c:pt idx="0">
                  <c:v>Riigieelarve​</c:v>
                </c:pt>
                <c:pt idx="1">
                  <c:v>Välistoetused​</c:v>
                </c:pt>
                <c:pt idx="2">
                  <c:v>Muud​</c:v>
                </c:pt>
              </c:strCache>
            </c:strRef>
          </c:cat>
          <c:val>
            <c:numRef>
              <c:f>'Ettekande arvutused'!$D$7:$D$9</c:f>
              <c:numCache>
                <c:formatCode>#\ ##0.0</c:formatCode>
                <c:ptCount val="3"/>
                <c:pt idx="0">
                  <c:v>51.961587019982915</c:v>
                </c:pt>
                <c:pt idx="1">
                  <c:v>7.1768463537058533</c:v>
                </c:pt>
                <c:pt idx="2">
                  <c:v>1.4287635990843752</c:v>
                </c:pt>
              </c:numCache>
            </c:numRef>
          </c:val>
          <c:extLst>
            <c:ext xmlns:c16="http://schemas.microsoft.com/office/drawing/2014/chart" uri="{C3380CC4-5D6E-409C-BE32-E72D297353CC}">
              <c16:uniqueId val="{00000001-0AB7-4595-B18C-B49384EC5222}"/>
            </c:ext>
          </c:extLst>
        </c:ser>
        <c:dLbls>
          <c:showLegendKey val="0"/>
          <c:showVal val="0"/>
          <c:showCatName val="0"/>
          <c:showSerName val="0"/>
          <c:showPercent val="0"/>
          <c:showBubbleSize val="0"/>
        </c:dLbls>
        <c:gapWidth val="150"/>
        <c:shape val="box"/>
        <c:axId val="868255807"/>
        <c:axId val="1242469199"/>
        <c:axId val="0"/>
      </c:bar3DChart>
      <c:catAx>
        <c:axId val="8682558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42469199"/>
        <c:crosses val="autoZero"/>
        <c:auto val="1"/>
        <c:lblAlgn val="ctr"/>
        <c:lblOffset val="100"/>
        <c:noMultiLvlLbl val="0"/>
      </c:catAx>
      <c:valAx>
        <c:axId val="1242469199"/>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68255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a:t>
            </a:r>
            <a:r>
              <a:rPr lang="et-EE"/>
              <a:t>elarve</a:t>
            </a:r>
            <a:r>
              <a:rPr lang="et-EE" baseline="0"/>
              <a:t> täitmine 31.12.2023 majandusliku sisu lõikes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'Ettekande arvutused'!$C$19</c:f>
              <c:strCache>
                <c:ptCount val="1"/>
                <c:pt idx="0">
                  <c:v>Eelarve​</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'Ettekande arvutused'!$B$21:$B$24</c:f>
              <c:strCache>
                <c:ptCount val="4"/>
                <c:pt idx="0">
                  <c:v>Investeeringud​</c:v>
                </c:pt>
                <c:pt idx="1">
                  <c:v>Tööjõukulud</c:v>
                </c:pt>
                <c:pt idx="2">
                  <c:v>​Majandamiskulud​</c:v>
                </c:pt>
                <c:pt idx="3">
                  <c:v>​Toetused ja muud</c:v>
                </c:pt>
              </c:strCache>
            </c:strRef>
          </c:cat>
          <c:val>
            <c:numRef>
              <c:f>'Ettekande arvutused'!$C$21:$C$24</c:f>
              <c:numCache>
                <c:formatCode>#\ ##0.0</c:formatCode>
                <c:ptCount val="4"/>
                <c:pt idx="0">
                  <c:v>19.284900835124382</c:v>
                </c:pt>
                <c:pt idx="1">
                  <c:v>30.638642810357748</c:v>
                </c:pt>
                <c:pt idx="2">
                  <c:v>31.762638691230116</c:v>
                </c:pt>
                <c:pt idx="3">
                  <c:v>0</c:v>
                </c:pt>
              </c:numCache>
            </c:numRef>
          </c:val>
          <c:extLst>
            <c:ext xmlns:c16="http://schemas.microsoft.com/office/drawing/2014/chart" uri="{C3380CC4-5D6E-409C-BE32-E72D297353CC}">
              <c16:uniqueId val="{00000000-4022-4775-9C6F-A9A7DDDADAE0}"/>
            </c:ext>
          </c:extLst>
        </c:ser>
        <c:ser>
          <c:idx val="1"/>
          <c:order val="1"/>
          <c:tx>
            <c:strRef>
              <c:f>'Ettekande arvutused'!$D$19</c:f>
              <c:strCache>
                <c:ptCount val="1"/>
                <c:pt idx="0">
                  <c:v>Täitmine​</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'Ettekande arvutused'!$B$21:$B$24</c:f>
              <c:strCache>
                <c:ptCount val="4"/>
                <c:pt idx="0">
                  <c:v>Investeeringud​</c:v>
                </c:pt>
                <c:pt idx="1">
                  <c:v>Tööjõukulud</c:v>
                </c:pt>
                <c:pt idx="2">
                  <c:v>​Majandamiskulud​</c:v>
                </c:pt>
                <c:pt idx="3">
                  <c:v>​Toetused ja muud</c:v>
                </c:pt>
              </c:strCache>
            </c:strRef>
          </c:cat>
          <c:val>
            <c:numRef>
              <c:f>'Ettekande arvutused'!$D$21:$D$24</c:f>
              <c:numCache>
                <c:formatCode>#\ ##0.0</c:formatCode>
                <c:ptCount val="4"/>
                <c:pt idx="0">
                  <c:v>12.903700820000001</c:v>
                </c:pt>
                <c:pt idx="1">
                  <c:v>26.415024819999999</c:v>
                </c:pt>
                <c:pt idx="2">
                  <c:v>21.248470759982911</c:v>
                </c:pt>
                <c:pt idx="3">
                  <c:v>0</c:v>
                </c:pt>
              </c:numCache>
            </c:numRef>
          </c:val>
          <c:extLst>
            <c:ext xmlns:c16="http://schemas.microsoft.com/office/drawing/2014/chart" uri="{C3380CC4-5D6E-409C-BE32-E72D297353CC}">
              <c16:uniqueId val="{00000001-4022-4775-9C6F-A9A7DDDADAE0}"/>
            </c:ext>
          </c:extLst>
        </c:ser>
        <c:dLbls>
          <c:showLegendKey val="0"/>
          <c:showVal val="0"/>
          <c:showCatName val="0"/>
          <c:showSerName val="0"/>
          <c:showPercent val="0"/>
          <c:showBubbleSize val="0"/>
        </c:dLbls>
        <c:gapWidth val="150"/>
        <c:shape val="box"/>
        <c:axId val="865280911"/>
        <c:axId val="1243496719"/>
        <c:axId val="0"/>
      </c:bar3DChart>
      <c:catAx>
        <c:axId val="86528091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43496719"/>
        <c:crosses val="autoZero"/>
        <c:auto val="1"/>
        <c:lblAlgn val="ctr"/>
        <c:lblOffset val="100"/>
        <c:noMultiLvlLbl val="0"/>
      </c:catAx>
      <c:valAx>
        <c:axId val="1243496719"/>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652809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VA it-personal</a:t>
            </a:r>
            <a:r>
              <a:rPr lang="et-EE" baseline="0"/>
              <a:t> </a:t>
            </a:r>
            <a:r>
              <a:rPr lang="en-US"/>
              <a:t> 01.01.2024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tx>
            <c:strRef>
              <c:f>'Ettekande arvutused'!$F$70:$H$70</c:f>
              <c:strCache>
                <c:ptCount val="1"/>
                <c:pt idx="0">
                  <c:v>Seisuga 01.01.2024</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0C-4D65-9DCC-8A5B816E80E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60C-4D65-9DCC-8A5B816E80E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60C-4D65-9DCC-8A5B816E80E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60C-4D65-9DCC-8A5B816E80E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60C-4D65-9DCC-8A5B816E80E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3BCC-4562-8BFD-4178425FB4F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60C-4D65-9DCC-8A5B816E80E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60C-4D65-9DCC-8A5B816E80E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60C-4D65-9DCC-8A5B816E80E2}"/>
              </c:ext>
            </c:extLst>
          </c:dPt>
          <c:dLbls>
            <c:dLbl>
              <c:idx val="6"/>
              <c:layout>
                <c:manualLayout>
                  <c:x val="7.4844506879518546E-2"/>
                  <c:y val="-5.5307028296243811E-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60C-4D65-9DCC-8A5B816E80E2}"/>
                </c:ext>
              </c:extLst>
            </c:dLbl>
            <c:dLbl>
              <c:idx val="7"/>
              <c:tx>
                <c:rich>
                  <a:bodyPr/>
                  <a:lstStyle/>
                  <a:p>
                    <a:fld id="{580BF947-1672-4E41-971B-CC6D76D034AF}" type="CATEGORYNAME">
                      <a:rPr lang="en-US" baseline="0">
                        <a:solidFill>
                          <a:sysClr val="windowText" lastClr="000000"/>
                        </a:solidFill>
                      </a:rPr>
                      <a:pPr/>
                      <a:t>[KATEGOORIA NIMI]</a:t>
                    </a:fld>
                    <a:r>
                      <a:rPr lang="en-US" baseline="0">
                        <a:solidFill>
                          <a:sysClr val="windowText" lastClr="000000"/>
                        </a:solidFill>
                      </a:rPr>
                      <a:t>
</a:t>
                    </a:r>
                    <a:fld id="{C1F132A6-FA31-406E-B3FA-395101BD6928}" type="VALUE">
                      <a:rPr lang="en-US" baseline="0">
                        <a:solidFill>
                          <a:sysClr val="windowText" lastClr="000000"/>
                        </a:solidFill>
                      </a:rPr>
                      <a:pPr/>
                      <a:t>[VÄÄRTUS]</a:t>
                    </a:fld>
                    <a:endParaRPr lang="en-US" baseline="0">
                      <a:solidFill>
                        <a:sysClr val="windowText" lastClr="000000"/>
                      </a:solidFill>
                    </a:endParaRPr>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F-F60C-4D65-9DCC-8A5B816E80E2}"/>
                </c:ext>
              </c:extLst>
            </c:dLbl>
            <c:dLbl>
              <c:idx val="8"/>
              <c:layout>
                <c:manualLayout>
                  <c:x val="-0.13836905763354329"/>
                  <c:y val="0.1297544045198564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60C-4D65-9DCC-8A5B816E80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arvutused'!$B$73:$B$81</c:f>
              <c:strCache>
                <c:ptCount val="9"/>
                <c:pt idx="0">
                  <c:v>IT juhtimine</c:v>
                </c:pt>
                <c:pt idx="1">
                  <c:v>IT projektijuhtimine ja tootejuhtimine</c:v>
                </c:pt>
                <c:pt idx="2">
                  <c:v>Süsteemianalüüs, andmeanalüüs, UX/UI disain</c:v>
                </c:pt>
                <c:pt idx="3">
                  <c:v>Süsteemiarhitektuur</c:v>
                </c:pt>
                <c:pt idx="4">
                  <c:v>Programmeerimine</c:v>
                </c:pt>
                <c:pt idx="5">
                  <c:v>Administraator (andmebaasi, ja süsteemi), DevOps</c:v>
                </c:pt>
                <c:pt idx="6">
                  <c:v>Testimine</c:v>
                </c:pt>
                <c:pt idx="7">
                  <c:v>Kliendihaldus, tehniline tugi, paigaldus ja hooldus (tehnikud)</c:v>
                </c:pt>
                <c:pt idx="8">
                  <c:v>Küberturve, andmekaitse, andmeturve</c:v>
                </c:pt>
              </c:strCache>
            </c:strRef>
          </c:cat>
          <c:val>
            <c:numRef>
              <c:f>'Ettekande arvutused'!$F$73:$F$81</c:f>
              <c:numCache>
                <c:formatCode>General</c:formatCode>
                <c:ptCount val="9"/>
                <c:pt idx="0">
                  <c:v>41</c:v>
                </c:pt>
                <c:pt idx="1">
                  <c:v>64.2</c:v>
                </c:pt>
                <c:pt idx="2">
                  <c:v>31.8</c:v>
                </c:pt>
                <c:pt idx="3">
                  <c:v>14.5</c:v>
                </c:pt>
                <c:pt idx="4">
                  <c:v>83.5</c:v>
                </c:pt>
                <c:pt idx="5">
                  <c:v>67.3</c:v>
                </c:pt>
                <c:pt idx="6">
                  <c:v>14</c:v>
                </c:pt>
                <c:pt idx="7">
                  <c:v>114</c:v>
                </c:pt>
                <c:pt idx="8">
                  <c:v>15.8</c:v>
                </c:pt>
              </c:numCache>
            </c:numRef>
          </c:val>
          <c:extLst>
            <c:ext xmlns:c16="http://schemas.microsoft.com/office/drawing/2014/chart" uri="{C3380CC4-5D6E-409C-BE32-E72D297353CC}">
              <c16:uniqueId val="{00000000-3BCC-4562-8BFD-4178425FB4F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7-F60C-4D65-9DCC-8A5B816E80E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9-F60C-4D65-9DCC-8A5B816E80E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B-F60C-4D65-9DCC-8A5B816E80E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D-F60C-4D65-9DCC-8A5B816E80E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F-F60C-4D65-9DCC-8A5B816E80E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1-F60C-4D65-9DCC-8A5B816E80E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3-F60C-4D65-9DCC-8A5B816E80E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5-F60C-4D65-9DCC-8A5B816E80E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7-F60C-4D65-9DCC-8A5B816E80E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arvutused'!$B$73:$B$81</c:f>
              <c:strCache>
                <c:ptCount val="9"/>
                <c:pt idx="0">
                  <c:v>IT juhtimine</c:v>
                </c:pt>
                <c:pt idx="1">
                  <c:v>IT projektijuhtimine ja tootejuhtimine</c:v>
                </c:pt>
                <c:pt idx="2">
                  <c:v>Süsteemianalüüs, andmeanalüüs, UX/UI disain</c:v>
                </c:pt>
                <c:pt idx="3">
                  <c:v>Süsteemiarhitektuur</c:v>
                </c:pt>
                <c:pt idx="4">
                  <c:v>Programmeerimine</c:v>
                </c:pt>
                <c:pt idx="5">
                  <c:v>Administraator (andmebaasi, ja süsteemi), DevOps</c:v>
                </c:pt>
                <c:pt idx="6">
                  <c:v>Testimine</c:v>
                </c:pt>
                <c:pt idx="7">
                  <c:v>Kliendihaldus, tehniline tugi, paigaldus ja hooldus (tehnikud)</c:v>
                </c:pt>
                <c:pt idx="8">
                  <c:v>Küberturve, andmekaitse, andmeturve</c:v>
                </c:pt>
              </c:strCache>
            </c:strRef>
          </c:cat>
          <c:val>
            <c:numRef>
              <c:f>'Ettekande arvutused'!$G$73:$G$81</c:f>
              <c:numCache>
                <c:formatCode>#\ ##0.0</c:formatCode>
                <c:ptCount val="9"/>
                <c:pt idx="0">
                  <c:v>2</c:v>
                </c:pt>
                <c:pt idx="1">
                  <c:v>8.6</c:v>
                </c:pt>
                <c:pt idx="2">
                  <c:v>10</c:v>
                </c:pt>
                <c:pt idx="3">
                  <c:v>2.5</c:v>
                </c:pt>
                <c:pt idx="4">
                  <c:v>15</c:v>
                </c:pt>
                <c:pt idx="5">
                  <c:v>5.2</c:v>
                </c:pt>
                <c:pt idx="6">
                  <c:v>2</c:v>
                </c:pt>
                <c:pt idx="7">
                  <c:v>2</c:v>
                </c:pt>
                <c:pt idx="8">
                  <c:v>2</c:v>
                </c:pt>
              </c:numCache>
            </c:numRef>
          </c:val>
          <c:extLst>
            <c:ext xmlns:c16="http://schemas.microsoft.com/office/drawing/2014/chart" uri="{C3380CC4-5D6E-409C-BE32-E72D297353CC}">
              <c16:uniqueId val="{00000001-3BCC-4562-8BFD-4178425FB4FD}"/>
            </c:ext>
          </c:extLst>
        </c:ser>
        <c:dLbls>
          <c:showLegendKey val="0"/>
          <c:showVal val="1"/>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a:t>
            </a:r>
            <a:r>
              <a:rPr lang="et-EE"/>
              <a:t>024 eelarve liikide lõikes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993-41AF-839E-02F35F62BF0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993-41AF-839E-02F35F62BF0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993-41AF-839E-02F35F62BF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arvutused'!$B$37:$B$39</c:f>
              <c:strCache>
                <c:ptCount val="3"/>
                <c:pt idx="0">
                  <c:v>Riigieelarve​</c:v>
                </c:pt>
                <c:pt idx="1">
                  <c:v>Välistoetused​</c:v>
                </c:pt>
                <c:pt idx="2">
                  <c:v>Muud​</c:v>
                </c:pt>
              </c:strCache>
            </c:strRef>
          </c:cat>
          <c:val>
            <c:numRef>
              <c:f>'Ettekande arvutused'!$C$37:$C$39</c:f>
              <c:numCache>
                <c:formatCode>#\ ##0.0</c:formatCode>
                <c:ptCount val="3"/>
                <c:pt idx="0">
                  <c:v>59.127234643706203</c:v>
                </c:pt>
                <c:pt idx="1">
                  <c:v>6.7775653605725301</c:v>
                </c:pt>
                <c:pt idx="2">
                  <c:v>0.92330752000004002</c:v>
                </c:pt>
              </c:numCache>
            </c:numRef>
          </c:val>
          <c:extLst>
            <c:ext xmlns:c16="http://schemas.microsoft.com/office/drawing/2014/chart" uri="{C3380CC4-5D6E-409C-BE32-E72D297353CC}">
              <c16:uniqueId val="{00000000-856C-4832-863A-D668F99D481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2024 eelarve majandusliku sisu lõikes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C19-42A9-8CDF-B6B37E0096C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DC19-42A9-8CDF-B6B37E0096C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DC19-42A9-8CDF-B6B37E0096C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C19-42A9-8CDF-B6B37E0096C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arvutused'!$B$43:$B$46</c:f>
              <c:strCache>
                <c:ptCount val="4"/>
                <c:pt idx="0">
                  <c:v>Investeeringud​</c:v>
                </c:pt>
                <c:pt idx="1">
                  <c:v>Tööjõukulud</c:v>
                </c:pt>
                <c:pt idx="2">
                  <c:v>​Majandamiskulud​</c:v>
                </c:pt>
                <c:pt idx="3">
                  <c:v>​Toetused ja muud</c:v>
                </c:pt>
              </c:strCache>
            </c:strRef>
          </c:cat>
          <c:val>
            <c:numRef>
              <c:f>'Ettekande arvutused'!$C$43:$C$46</c:f>
              <c:numCache>
                <c:formatCode>#\ ##0.0</c:formatCode>
                <c:ptCount val="4"/>
                <c:pt idx="0">
                  <c:v>10.208401046882011</c:v>
                </c:pt>
                <c:pt idx="1">
                  <c:v>28.196316260001002</c:v>
                </c:pt>
                <c:pt idx="2">
                  <c:v>28.423390217385709</c:v>
                </c:pt>
                <c:pt idx="3">
                  <c:v>0</c:v>
                </c:pt>
              </c:numCache>
            </c:numRef>
          </c:val>
          <c:extLst>
            <c:ext xmlns:c16="http://schemas.microsoft.com/office/drawing/2014/chart" uri="{C3380CC4-5D6E-409C-BE32-E72D297353CC}">
              <c16:uniqueId val="{00000000-F923-4FEF-8CE1-81C93C7E4E9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tx>
            <c:strRef>
              <c:f>'Ettekande arvutused'!$C$70:$E$70</c:f>
              <c:strCache>
                <c:ptCount val="3"/>
                <c:pt idx="0">
                  <c:v>Seisuga 01.01.2023</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E8A-4E92-8B8C-A6FB375009B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E8A-4E92-8B8C-A6FB375009B5}"/>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BF6-4CE0-BA6D-6F14C2EA24D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arvutused'!$C$71:$E$71</c:f>
              <c:strCache>
                <c:ptCount val="3"/>
                <c:pt idx="0">
                  <c:v>Täidetud/olemas</c:v>
                </c:pt>
                <c:pt idx="1">
                  <c:v>Täitmata</c:v>
                </c:pt>
                <c:pt idx="2">
                  <c:v>Kokku</c:v>
                </c:pt>
              </c:strCache>
            </c:strRef>
          </c:cat>
          <c:val>
            <c:numRef>
              <c:f>'Ettekande arvutused'!$C$72:$E$72</c:f>
              <c:numCache>
                <c:formatCode>#,##0</c:formatCode>
                <c:ptCount val="3"/>
                <c:pt idx="0">
                  <c:v>398.5</c:v>
                </c:pt>
                <c:pt idx="1">
                  <c:v>37.100000000000009</c:v>
                </c:pt>
                <c:pt idx="2">
                  <c:v>435.6</c:v>
                </c:pt>
              </c:numCache>
            </c:numRef>
          </c:val>
          <c:extLst>
            <c:ext xmlns:c16="http://schemas.microsoft.com/office/drawing/2014/chart" uri="{C3380CC4-5D6E-409C-BE32-E72D297353CC}">
              <c16:uniqueId val="{00000000-1AAB-4C5A-9881-1B077BF83206}"/>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tx>
            <c:strRef>
              <c:f>'Ettekande arvutused'!$F$70:$H$70</c:f>
              <c:strCache>
                <c:ptCount val="3"/>
                <c:pt idx="0">
                  <c:v>Seisuga 01.01.2024</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B31-4DE8-BD80-630474D6A99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B31-4DE8-BD80-630474D6A99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E27-44FD-8A89-6F5DD8AA7BC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'Ettekande arvutused'!$F$71:$H$71</c:f>
              <c:strCache>
                <c:ptCount val="3"/>
                <c:pt idx="0">
                  <c:v>Täidetud/olemas</c:v>
                </c:pt>
                <c:pt idx="1">
                  <c:v>Täitmata</c:v>
                </c:pt>
                <c:pt idx="2">
                  <c:v>Kokku</c:v>
                </c:pt>
              </c:strCache>
            </c:strRef>
          </c:cat>
          <c:val>
            <c:numRef>
              <c:f>'Ettekande arvutused'!$F$72:$H$72</c:f>
              <c:numCache>
                <c:formatCode>#,##0</c:formatCode>
                <c:ptCount val="3"/>
                <c:pt idx="0">
                  <c:v>458.40000000000003</c:v>
                </c:pt>
                <c:pt idx="1">
                  <c:v>52.000000000000007</c:v>
                </c:pt>
                <c:pt idx="2">
                  <c:v>510.40000000000003</c:v>
                </c:pt>
              </c:numCache>
            </c:numRef>
          </c:val>
          <c:extLst>
            <c:ext xmlns:c16="http://schemas.microsoft.com/office/drawing/2014/chart" uri="{C3380CC4-5D6E-409C-BE32-E72D297353CC}">
              <c16:uniqueId val="{00000000-B455-4409-8EF0-D02F2F3C373F}"/>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Personali</a:t>
            </a:r>
            <a:r>
              <a:rPr lang="et-EE" baseline="0"/>
              <a:t> muutus</a:t>
            </a:r>
            <a:endParaRPr lang="et-E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'Ettekande arvutused'!$C$52:$I$52</c:f>
              <c:strCache>
                <c:ptCount val="7"/>
                <c:pt idx="0">
                  <c:v>01.01.2021</c:v>
                </c:pt>
                <c:pt idx="1">
                  <c:v>01.01.2022</c:v>
                </c:pt>
                <c:pt idx="2">
                  <c:v>01.01.2023</c:v>
                </c:pt>
                <c:pt idx="3">
                  <c:v>01.01.2024</c:v>
                </c:pt>
                <c:pt idx="4">
                  <c:v>01.01.2025*​</c:v>
                </c:pt>
                <c:pt idx="5">
                  <c:v>01.01.2026*​</c:v>
                </c:pt>
                <c:pt idx="6">
                  <c:v>01.01.2027*​</c:v>
                </c:pt>
              </c:strCache>
            </c:strRef>
          </c:cat>
          <c:val>
            <c:numRef>
              <c:f>'Ettekande arvutused'!$C$53:$I$53</c:f>
              <c:numCache>
                <c:formatCode>#,##0</c:formatCode>
                <c:ptCount val="7"/>
                <c:pt idx="0">
                  <c:v>121</c:v>
                </c:pt>
                <c:pt idx="1">
                  <c:v>125</c:v>
                </c:pt>
                <c:pt idx="2">
                  <c:v>409</c:v>
                </c:pt>
                <c:pt idx="3">
                  <c:v>397</c:v>
                </c:pt>
                <c:pt idx="4">
                  <c:v>144</c:v>
                </c:pt>
                <c:pt idx="5">
                  <c:v>149</c:v>
                </c:pt>
                <c:pt idx="6">
                  <c:v>155</c:v>
                </c:pt>
              </c:numCache>
            </c:numRef>
          </c:val>
          <c:smooth val="0"/>
          <c:extLst>
            <c:ext xmlns:c16="http://schemas.microsoft.com/office/drawing/2014/chart" uri="{C3380CC4-5D6E-409C-BE32-E72D297353CC}">
              <c16:uniqueId val="{00000000-7C94-46C8-9181-4BB478076098}"/>
            </c:ext>
          </c:extLst>
        </c:ser>
        <c:dLbls>
          <c:showLegendKey val="0"/>
          <c:showVal val="0"/>
          <c:showCatName val="0"/>
          <c:showSerName val="0"/>
          <c:showPercent val="0"/>
          <c:showBubbleSize val="0"/>
        </c:dLbls>
        <c:marker val="1"/>
        <c:smooth val="0"/>
        <c:axId val="2014720464"/>
        <c:axId val="337308592"/>
      </c:lineChart>
      <c:lineChart>
        <c:grouping val="stacked"/>
        <c:varyColors val="0"/>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'Ettekande arvutused'!$C$52:$I$52</c:f>
              <c:strCache>
                <c:ptCount val="7"/>
                <c:pt idx="0">
                  <c:v>01.01.2021</c:v>
                </c:pt>
                <c:pt idx="1">
                  <c:v>01.01.2022</c:v>
                </c:pt>
                <c:pt idx="2">
                  <c:v>01.01.2023</c:v>
                </c:pt>
                <c:pt idx="3">
                  <c:v>01.01.2024</c:v>
                </c:pt>
                <c:pt idx="4">
                  <c:v>01.01.2025*​</c:v>
                </c:pt>
                <c:pt idx="5">
                  <c:v>01.01.2026*​</c:v>
                </c:pt>
                <c:pt idx="6">
                  <c:v>01.01.2027*​</c:v>
                </c:pt>
              </c:strCache>
            </c:strRef>
          </c:cat>
          <c:val>
            <c:numRef>
              <c:f>'Ettekande arvutused'!$C$55:$I$55</c:f>
              <c:numCache>
                <c:formatCode>0.0</c:formatCode>
                <c:ptCount val="7"/>
                <c:pt idx="0" formatCode="#,##0">
                  <c:v>0</c:v>
                </c:pt>
                <c:pt idx="1">
                  <c:v>3.3057851239669276</c:v>
                </c:pt>
                <c:pt idx="2">
                  <c:v>227.2</c:v>
                </c:pt>
                <c:pt idx="3">
                  <c:v>-2.9339853300733552</c:v>
                </c:pt>
                <c:pt idx="4">
                  <c:v>-63.727959697732999</c:v>
                </c:pt>
                <c:pt idx="5">
                  <c:v>3.4722222222222285</c:v>
                </c:pt>
                <c:pt idx="6">
                  <c:v>4.0268456375838895</c:v>
                </c:pt>
              </c:numCache>
            </c:numRef>
          </c:val>
          <c:smooth val="0"/>
          <c:extLst>
            <c:ext xmlns:c16="http://schemas.microsoft.com/office/drawing/2014/chart" uri="{C3380CC4-5D6E-409C-BE32-E72D297353CC}">
              <c16:uniqueId val="{00000002-7C94-46C8-9181-4BB478076098}"/>
            </c:ext>
          </c:extLst>
        </c:ser>
        <c:dLbls>
          <c:showLegendKey val="0"/>
          <c:showVal val="0"/>
          <c:showCatName val="0"/>
          <c:showSerName val="0"/>
          <c:showPercent val="0"/>
          <c:showBubbleSize val="0"/>
        </c:dLbls>
        <c:marker val="1"/>
        <c:smooth val="0"/>
        <c:axId val="309844304"/>
        <c:axId val="2118284000"/>
      </c:lineChart>
      <c:dateAx>
        <c:axId val="2014720464"/>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337308592"/>
        <c:crosses val="max"/>
        <c:auto val="0"/>
        <c:lblOffset val="100"/>
        <c:baseTimeUnit val="days"/>
      </c:dateAx>
      <c:valAx>
        <c:axId val="337308592"/>
        <c:scaling>
          <c:orientation val="minMax"/>
          <c:min val="100"/>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2014720464"/>
        <c:crosses val="max"/>
        <c:crossBetween val="between"/>
      </c:valAx>
      <c:valAx>
        <c:axId val="2118284000"/>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309844304"/>
        <c:crosses val="autoZero"/>
        <c:crossBetween val="between"/>
      </c:valAx>
      <c:catAx>
        <c:axId val="309844304"/>
        <c:scaling>
          <c:orientation val="minMax"/>
        </c:scaling>
        <c:delete val="1"/>
        <c:axPos val="b"/>
        <c:numFmt formatCode="General" sourceLinked="1"/>
        <c:majorTickMark val="out"/>
        <c:minorTickMark val="none"/>
        <c:tickLblPos val="nextTo"/>
        <c:crossAx val="2118284000"/>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t-E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358775</xdr:colOff>
      <xdr:row>0</xdr:row>
      <xdr:rowOff>19050</xdr:rowOff>
    </xdr:from>
    <xdr:to>
      <xdr:col>11</xdr:col>
      <xdr:colOff>625475</xdr:colOff>
      <xdr:row>14</xdr:row>
      <xdr:rowOff>0</xdr:rowOff>
    </xdr:to>
    <xdr:graphicFrame macro="">
      <xdr:nvGraphicFramePr>
        <xdr:cNvPr id="5" name="Diagramm 3">
          <a:extLst>
            <a:ext uri="{FF2B5EF4-FFF2-40B4-BE49-F238E27FC236}">
              <a16:creationId xmlns:a16="http://schemas.microsoft.com/office/drawing/2014/main" id="{DBAA80F2-6E24-E61C-9717-1BC3ED7024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346075</xdr:colOff>
      <xdr:row>16</xdr:row>
      <xdr:rowOff>82550</xdr:rowOff>
    </xdr:from>
    <xdr:to>
      <xdr:col>11</xdr:col>
      <xdr:colOff>612775</xdr:colOff>
      <xdr:row>33</xdr:row>
      <xdr:rowOff>88900</xdr:rowOff>
    </xdr:to>
    <xdr:graphicFrame macro="">
      <xdr:nvGraphicFramePr>
        <xdr:cNvPr id="14" name="Diagramm 7">
          <a:extLst>
            <a:ext uri="{FF2B5EF4-FFF2-40B4-BE49-F238E27FC236}">
              <a16:creationId xmlns:a16="http://schemas.microsoft.com/office/drawing/2014/main" id="{5F4ED4C2-8C86-454F-3D38-8C07F277E1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484514</xdr:colOff>
      <xdr:row>68</xdr:row>
      <xdr:rowOff>16902</xdr:rowOff>
    </xdr:from>
    <xdr:to>
      <xdr:col>24</xdr:col>
      <xdr:colOff>150346</xdr:colOff>
      <xdr:row>87</xdr:row>
      <xdr:rowOff>28015</xdr:rowOff>
    </xdr:to>
    <xdr:graphicFrame macro="">
      <xdr:nvGraphicFramePr>
        <xdr:cNvPr id="15" name="Diagramm 14">
          <a:extLst>
            <a:ext uri="{FF2B5EF4-FFF2-40B4-BE49-F238E27FC236}">
              <a16:creationId xmlns:a16="http://schemas.microsoft.com/office/drawing/2014/main" id="{EE32334B-59B3-108D-8187-8709409272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873125</xdr:colOff>
      <xdr:row>33</xdr:row>
      <xdr:rowOff>171450</xdr:rowOff>
    </xdr:from>
    <xdr:to>
      <xdr:col>8</xdr:col>
      <xdr:colOff>98425</xdr:colOff>
      <xdr:row>48</xdr:row>
      <xdr:rowOff>152400</xdr:rowOff>
    </xdr:to>
    <xdr:graphicFrame macro="">
      <xdr:nvGraphicFramePr>
        <xdr:cNvPr id="48" name="Diagramm 22">
          <a:extLst>
            <a:ext uri="{FF2B5EF4-FFF2-40B4-BE49-F238E27FC236}">
              <a16:creationId xmlns:a16="http://schemas.microsoft.com/office/drawing/2014/main" id="{CCB4ECD8-DA37-3188-BF54-C7148E6D24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415925</xdr:colOff>
      <xdr:row>34</xdr:row>
      <xdr:rowOff>0</xdr:rowOff>
    </xdr:from>
    <xdr:to>
      <xdr:col>14</xdr:col>
      <xdr:colOff>314325</xdr:colOff>
      <xdr:row>48</xdr:row>
      <xdr:rowOff>165100</xdr:rowOff>
    </xdr:to>
    <xdr:graphicFrame macro="">
      <xdr:nvGraphicFramePr>
        <xdr:cNvPr id="52" name="Diagramm 32">
          <a:extLst>
            <a:ext uri="{FF2B5EF4-FFF2-40B4-BE49-F238E27FC236}">
              <a16:creationId xmlns:a16="http://schemas.microsoft.com/office/drawing/2014/main" id="{0C5C436E-3F8F-A287-5820-A92134A186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162718</xdr:colOff>
      <xdr:row>68</xdr:row>
      <xdr:rowOff>17463</xdr:rowOff>
    </xdr:from>
    <xdr:to>
      <xdr:col>14</xdr:col>
      <xdr:colOff>281780</xdr:colOff>
      <xdr:row>81</xdr:row>
      <xdr:rowOff>0</xdr:rowOff>
    </xdr:to>
    <xdr:graphicFrame macro="">
      <xdr:nvGraphicFramePr>
        <xdr:cNvPr id="53" name="Diagramm 52">
          <a:extLst>
            <a:ext uri="{FF2B5EF4-FFF2-40B4-BE49-F238E27FC236}">
              <a16:creationId xmlns:a16="http://schemas.microsoft.com/office/drawing/2014/main" id="{C894379D-33D6-EDF2-0B10-4BE4CB9157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138906</xdr:colOff>
      <xdr:row>83</xdr:row>
      <xdr:rowOff>0</xdr:rowOff>
    </xdr:from>
    <xdr:to>
      <xdr:col>14</xdr:col>
      <xdr:colOff>257968</xdr:colOff>
      <xdr:row>95</xdr:row>
      <xdr:rowOff>93663</xdr:rowOff>
    </xdr:to>
    <xdr:graphicFrame macro="">
      <xdr:nvGraphicFramePr>
        <xdr:cNvPr id="54" name="Diagramm 53">
          <a:extLst>
            <a:ext uri="{FF2B5EF4-FFF2-40B4-BE49-F238E27FC236}">
              <a16:creationId xmlns:a16="http://schemas.microsoft.com/office/drawing/2014/main" id="{44F29917-E5F4-89B1-53D5-3300DF550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263898</xdr:colOff>
      <xdr:row>49</xdr:row>
      <xdr:rowOff>46880</xdr:rowOff>
    </xdr:from>
    <xdr:to>
      <xdr:col>16</xdr:col>
      <xdr:colOff>189940</xdr:colOff>
      <xdr:row>65</xdr:row>
      <xdr:rowOff>11206</xdr:rowOff>
    </xdr:to>
    <xdr:graphicFrame macro="">
      <xdr:nvGraphicFramePr>
        <xdr:cNvPr id="76" name="Diagramm 72">
          <a:extLst>
            <a:ext uri="{FF2B5EF4-FFF2-40B4-BE49-F238E27FC236}">
              <a16:creationId xmlns:a16="http://schemas.microsoft.com/office/drawing/2014/main" id="{A6BBD827-C39E-1944-0ACB-5EB6429C12CF}"/>
            </a:ext>
            <a:ext uri="{147F2762-F138-4A5C-976F-8EAC2B608ADB}">
              <a16:predDERef xmlns:a16="http://schemas.microsoft.com/office/drawing/2014/main" pred="{537615CA-5D85-0948-FB28-7DC5A288DE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547741</xdr:colOff>
      <xdr:row>88</xdr:row>
      <xdr:rowOff>67236</xdr:rowOff>
    </xdr:from>
    <xdr:to>
      <xdr:col>24</xdr:col>
      <xdr:colOff>520561</xdr:colOff>
      <xdr:row>106</xdr:row>
      <xdr:rowOff>118361</xdr:rowOff>
    </xdr:to>
    <xdr:pic>
      <xdr:nvPicPr>
        <xdr:cNvPr id="2" name="Content Placeholder 4">
          <a:extLst>
            <a:ext uri="{FF2B5EF4-FFF2-40B4-BE49-F238E27FC236}">
              <a16:creationId xmlns:a16="http://schemas.microsoft.com/office/drawing/2014/main" id="{F90ABF4F-252F-27F9-C192-E1AD6EB11931}"/>
            </a:ext>
          </a:extLst>
        </xdr:cNvPr>
        <xdr:cNvPicPr>
          <a:picLocks noGrp="1" noChangeAspect="1"/>
        </xdr:cNvPicPr>
      </xdr:nvPicPr>
      <xdr:blipFill>
        <a:blip xmlns:r="http://schemas.openxmlformats.org/officeDocument/2006/relationships" r:embed="rId9"/>
        <a:stretch>
          <a:fillRect/>
        </a:stretch>
      </xdr:blipFill>
      <xdr:spPr>
        <a:xfrm>
          <a:off x="14024682" y="17040412"/>
          <a:ext cx="6621644" cy="34128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li Murula" id="{3C72774C-28A3-4086-B49B-001278BD8A91}" userId="Alli Murula" providerId="None"/>
  <person displayName="Ave Tuuling" id="{72520AA8-D48B-43A8-AB68-EF427B354BDD}" userId="Ave Tuuling" providerId="None"/>
  <person displayName="Pirgit Kahro" id="{F874F919-87DE-4BF0-917C-1C2053145CF2}" userId="Pirgit Kahro" providerId="None"/>
  <person displayName="Priit Järvpõld" id="{E3038183-5C86-4E85-B7A8-1B3BA6D70F7D}" userId="Priit Järvpõld" providerId="None"/>
  <person displayName="Rauno Piirsalu" id="{6D558991-DED3-4240-9F6C-F5E8D7E48F2F}" userId="Rauno Piirsalu" providerId="None"/>
  <person displayName="Maie Ristissaar" id="{DC58F08B-D46B-4390-BFAC-AE1108D55223}" userId="Maie Ristissaar" providerId="None"/>
  <person displayName="Monika Karu - MKM" id="{3A9F068A-6716-401B-997B-427E1F1C93B0}" userId="S::Monika.Karu@mkm.ee::746d8287-d099-487d-a751-90745eb10581" providerId="AD"/>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 dT="2024-04-18T08:20:56.19" personId="{3C72774C-28A3-4086-B49B-001278BD8A91}" id="{DCDBA50E-B20C-493C-A88B-2014B8FC1E25}">
    <text>Valideerida MKMiga, kas meie kasutajate arvu metoodika on sobiv</text>
  </threadedComment>
  <threadedComment ref="C28" dT="2024-04-17T18:34:11.45" personId="{3C72774C-28A3-4086-B49B-001278BD8A91}" id="{B932773A-B923-48C5-A1E9-F33A949A44D5}">
    <text>Eesmärk koostöös MKMiga 2024.a. jooksul töötada välja metoodika</text>
  </threadedComment>
  <threadedComment ref="S38" dT="2024-04-13T16:40:05.03" personId="{DC58F08B-D46B-4390-BFAC-AE1108D55223}" id="{09C780F6-41F3-45DA-9D5C-E79A8CD9D816}">
    <text>Kinnitatud 280 000, kuid sellest hinnanguliselt 186 667 € kandub 2025. aastasse</text>
  </threadedComment>
  <threadedComment ref="T38" dT="2024-04-13T17:48:01.06" personId="{DC58F08B-D46B-4390-BFAC-AE1108D55223}" id="{B22E1F75-ECB1-4766-BC8F-96810AAA9FB9}">
    <text>Ülekantud eelarve</text>
  </threadedComment>
  <threadedComment ref="T39" dT="2024-04-13T17:35:09.49" personId="{DC58F08B-D46B-4390-BFAC-AE1108D55223}" id="{EC14AD25-149F-4FD2-AD5C-7EE2D7119F19}">
    <text>Uus RR kaasajastamise projekt, mis algab 2025</text>
  </threadedComment>
  <threadedComment ref="R40" dT="2024-04-13T16:41:31.14" personId="{DC58F08B-D46B-4390-BFAC-AE1108D55223}" id="{6D54D5C7-7999-44C5-80BB-DA9F0D0539AF}">
    <text>RR omatuludest ja leping täitmisel</text>
  </threadedComment>
  <threadedComment ref="T41" dT="2024-04-13T17:35:16.66" personId="{DC58F08B-D46B-4390-BFAC-AE1108D55223}" id="{ACD9930E-1A8B-4F64-B9EB-889CE2EDBF96}">
    <text>Uus RR kaasajastamise projekt, mis algab 2025</text>
  </threadedComment>
  <threadedComment ref="S42" dT="2024-04-13T17:04:02.58" personId="{DC58F08B-D46B-4390-BFAC-AE1108D55223}" id="{B2B21D8C-1B09-40AE-9782-2E888130218F}">
    <text>Kinnitatud 282 000, kuid sellest hinnanguliselt 188 000 € kandub 2025. aastasse</text>
  </threadedComment>
  <threadedComment ref="T42" dT="2024-04-13T17:35:44.85" personId="{DC58F08B-D46B-4390-BFAC-AE1108D55223}" id="{B94690DD-4F1C-41CA-A94E-9C4700FFCCA1}">
    <text>Sellest ülekantud 188 000 € ja 2025 SFist juurde 188 000 €</text>
  </threadedComment>
  <threadedComment ref="S43" dT="2024-04-13T16:43:45.21" personId="{DC58F08B-D46B-4390-BFAC-AE1108D55223}" id="{3508A4BE-83F0-4493-8EE2-DFAB4CDD7DF2}">
    <text>Kinnitatud 669 000, kuid sellest hinnanguliselt 420 000 € kandub 2025. aastasse</text>
  </threadedComment>
  <threadedComment ref="T43" dT="2024-04-13T17:37:29.00" personId="{DC58F08B-D46B-4390-BFAC-AE1108D55223}" id="{4A4B399C-CC76-47CA-938E-329CA1CDFD47}">
    <text>Ülekantud eelarve, SF 2025 juurde ei vaja</text>
  </threadedComment>
  <threadedComment ref="K44" dT="2024-04-13T17:52:09.21" personId="{DC58F08B-D46B-4390-BFAC-AE1108D55223}" id="{BD18CE6B-52ED-42D3-981B-DF18E92240D1}">
    <text>Tehakse koos projektiga: SF Menetluste uuendamise I etapp, sh andmevahetuse kaasajastamine [MENETLUSTE KAASAJASTAMINE] - palun seda rida enam hoida.</text>
  </threadedComment>
  <threadedComment ref="T44" dT="2024-04-13T17:07:35.47" personId="{DC58F08B-D46B-4390-BFAC-AE1108D55223}" id="{F48BB19E-6010-42D6-9193-A88BA0DA3BA5}">
    <text>Tehakse koos projektiga: SF Menetluste uuendamise I etapp, sh andmevahetuse kaasajastamine [MENETLUSTE KAASAJASTAMINE] - palun seda rida enam hoida. Enne oli 156 000 €, muutsin 0.</text>
  </threadedComment>
  <threadedComment ref="S45" dT="2024-04-13T17:10:33.62" personId="{DC58F08B-D46B-4390-BFAC-AE1108D55223}" id="{309BCF5E-F47B-46F9-BC8F-B9F53292DF15}">
    <text>2024 hinnanguline täitmine 76250 € (arvestatud 5 kuud arendustööd)
MK eraldas 183 000 €, sellest hinnanguliselt 106 750€ kandub 2025. aastasse</text>
  </threadedComment>
  <threadedComment ref="S46" dT="2024-04-13T17:12:56.30" personId="{DC58F08B-D46B-4390-BFAC-AE1108D55223}" id="{CF934CF2-FCF3-42E6-A6CD-9C1E17E1DF2B}">
    <text xml:space="preserve">Kinnitatud 282 000 €, kuid sellest hinnanguliselt 94 000 € kandub 2025. aastasse
</text>
  </threadedComment>
  <threadedComment ref="T46" dT="2024-04-13T17:38:33.40" personId="{DC58F08B-D46B-4390-BFAC-AE1108D55223}" id="{B7058486-0D37-4FA5-AF33-5FB5E2E11CE6}">
    <text>Sellest ülekantud 94 000 € ja 2025 SFist juurde 282 000 €</text>
  </threadedComment>
  <threadedComment ref="AA61" dT="2024-04-18T11:55:47.68" personId="{3C72774C-28A3-4086-B49B-001278BD8A91}" id="{A825A881-DD5E-4F69-AC0D-5EB14C2B3020}">
    <text>Kinnitatud 445592, edasi lükatud 15592</text>
  </threadedComment>
  <threadedComment ref="S63" dT="2024-04-18T08:00:02.39" personId="{3C72774C-28A3-4086-B49B-001278BD8A91}" id="{CD58BF1D-B8F3-4C11-B84E-CA06268770D2}">
    <text>Kinnitatud 99.. Osaliselt üle kantud 2025. aastasse</text>
  </threadedComment>
  <threadedComment ref="AA63" dT="2024-04-16T13:57:41.74" personId="{6D558991-DED3-4240-9F6C-F5E8D7E48F2F}" id="{DA737BC8-D515-4B01-9DED-3DA99F43F470}">
    <text>Esialgu oli siin 99726€, sellest 33242€ kanname üle 2025. a-sse</text>
  </threadedComment>
  <threadedComment ref="AD63" dT="2024-04-16T13:58:10.04" personId="{6D558991-DED3-4240-9F6C-F5E8D7E48F2F}" id="{102F7A29-B2EF-4FE1-B9E8-4511F006DB47}">
    <text>Esialgu oli siin 0€, kuid 2024. a-st kandsime 2025. a-sse üle 33242€</text>
  </threadedComment>
  <threadedComment ref="J64" dT="2024-04-24T06:55:03.51" personId="{F874F919-87DE-4BF0-917C-1C2053145CF2}" id="{740436F8-85B1-4C3A-BD57-F31CE1FFECA0}">
    <text xml:space="preserve">Eelnevalt olid toodud etapid kahe eraldi reana, tõstsime kokku. Summad liitsime, summa kokku ei ole suurenenud. </text>
  </threadedComment>
  <threadedComment ref="AD64" dT="2024-04-18T14:17:35.72" personId="{6D558991-DED3-4240-9F6C-F5E8D7E48F2F}" id="{9B23A04D-26FC-4323-A96A-2C8A65CAE172}">
    <text>Esialgu oli siin 0€, kuid kandsime 2026. a-st siia 525000€, projekti arendus algab 2025. a</text>
  </threadedComment>
  <threadedComment ref="AG64" dT="2024-04-18T14:18:22.00" personId="{6D558991-DED3-4240-9F6C-F5E8D7E48F2F}" id="{C164D107-E61E-453B-A16F-49695AF889D6}">
    <text xml:space="preserve">Esilagu oli siin 781362€, kuid kandsime sellest 525000€ 2025. a-sse, projekti arendus algab 2025. a </text>
  </threadedComment>
  <threadedComment ref="AG64" dT="2024-04-24T06:55:37.48" personId="{F874F919-87DE-4BF0-917C-1C2053145CF2}" id="{E63B61C8-7B7E-440C-AD0F-4A8C567F82EC}" parentId="{C164D107-E61E-453B-A16F-49695AF889D6}">
    <text>Lisatud on ka eelnevalt eraldi real olnud summa III etapi osas</text>
  </threadedComment>
  <threadedComment ref="S65" dT="2024-04-18T08:02:12.14" personId="{3C72774C-28A3-4086-B49B-001278BD8A91}" id="{084FB66B-5D01-419C-97F2-E54FAF5DBCA5}">
    <text>Osaliselt üle tõstetud 2025. aastasse</text>
  </threadedComment>
  <threadedComment ref="AA65" dT="2024-04-16T14:02:53.56" personId="{6D558991-DED3-4240-9F6C-F5E8D7E48F2F}" id="{BF7F7345-0FC4-48BD-9974-3E416B401E12}">
    <text>Esialgu oli siin 96960€, kuid jätasime sellest 1/3 alles, ülejäänud 2/3 lisasime 2025. a-sse</text>
  </threadedComment>
  <threadedComment ref="AD65" dT="2024-04-16T14:03:33.14" personId="{6D558991-DED3-4240-9F6C-F5E8D7E48F2F}" id="{A7BD5565-4CA4-4E18-8249-01BE56655340}">
    <text>Esialgu oli siin 0€, kuid kanname 2024. a-st 2025. a-sse üle 64640€</text>
  </threadedComment>
  <threadedComment ref="AD66" dT="2024-04-16T14:17:50.68" personId="{6D558991-DED3-4240-9F6C-F5E8D7E48F2F}" id="{E1323BC5-32A9-4F62-9E21-38F5EAA6AF01}">
    <text>Esialgu oli siin 390000€, kuid kandsime sellest 90000€ üle 2026. a-sse</text>
  </threadedComment>
  <threadedComment ref="AG66" dT="2024-04-16T14:08:57.72" personId="{6D558991-DED3-4240-9F6C-F5E8D7E48F2F}" id="{2C6060E4-9803-46B2-8F3A-CE2A5840E353}">
    <text>Esialgu oli siin 361936€, kuid kandsime 2025. a-st 90000€ üle 2026. a-sse</text>
  </threadedComment>
  <threadedComment ref="AM66" dT="2024-04-24T07:16:54.43" personId="{F874F919-87DE-4BF0-917C-1C2053145CF2}" id="{1E2C15FA-BEA4-49C1-828F-C8BB167FD662}">
    <text xml:space="preserve">Lisandunud vajadus. </text>
  </threadedComment>
  <threadedComment ref="S67" dT="2024-04-18T08:03:32.78" personId="{3C72774C-28A3-4086-B49B-001278BD8A91}" id="{14B54222-3D23-442B-B110-50FBB832827A}">
    <text>Kinnitatud 100 000, osalistelt üle kantud 2025. aastasse</text>
  </threadedComment>
  <threadedComment ref="AA67" dT="2024-04-16T14:22:55.86" personId="{6D558991-DED3-4240-9F6C-F5E8D7E48F2F}" id="{9787B2B0-C1F8-497A-AA7A-ABFC85DC2288}">
    <text>Esialgu oli siin 100000€, kuid kandsime sellest 33333€ 2025. a-sse üle</text>
  </threadedComment>
  <threadedComment ref="AD67" dT="2024-04-16T14:22:10.04" personId="{6D558991-DED3-4240-9F6C-F5E8D7E48F2F}" id="{D4B7F4FA-AFF5-4D2F-9884-E5ACA9DCDFB1}">
    <text>Esialgu oli siin 0€, kuid kandsime 2024. a-st 33333€ 2025. a-sse üle</text>
  </threadedComment>
  <threadedComment ref="AD68" dT="2024-04-16T14:16:57.76" personId="{6D558991-DED3-4240-9F6C-F5E8D7E48F2F}" id="{A538C1BB-B5D5-4240-A7FD-CFC1D53E82F3}">
    <text>Esialgu oli siin 206741€, kuid sellest 100000€ kandsime üle 2026. a-sse</text>
  </threadedComment>
  <threadedComment ref="AG68" dT="2024-04-16T14:16:18.18" personId="{6D558991-DED3-4240-9F6C-F5E8D7E48F2F}" id="{BC40FAE1-432C-4B52-81A1-9FB5A7D885D4}">
    <text>Esialgu oli siin 206741€, kuid kandsime 2025. a-st 100000@ üle 2026. a-sse</text>
  </threadedComment>
  <threadedComment ref="AA69" dT="2024-04-18T07:56:46.48" personId="{3C72774C-28A3-4086-B49B-001278BD8A91}" id="{A2B23AEF-2F4C-4D80-ACFD-2E21D2FD59A0}">
    <text>Kinnitatud summa 327800, osaliselt üle kantud 2025. aastasse</text>
  </threadedComment>
  <threadedComment ref="K70" dT="2024-04-24T07:46:43.57" personId="{F874F919-87DE-4BF0-917C-1C2053145CF2}" id="{4898FED2-A7BD-4487-9DAB-6D77B4BD0C18}">
    <text>Lisatud 2026 aastasse III etapi vajadus</text>
  </threadedComment>
  <threadedComment ref="S70" dT="2024-04-18T08:06:43.06" personId="{3C72774C-28A3-4086-B49B-001278BD8A91}" id="{409A2128-8D6A-448F-8199-B96F666B1945}">
    <text>Kinnitatud summa 583 296, osaliselt üle kantud 2025. aastasse</text>
  </threadedComment>
  <threadedComment ref="AA70" dT="2024-04-16T14:27:09.98" personId="{6D558991-DED3-4240-9F6C-F5E8D7E48F2F}" id="{216EAA4F-EDEB-4F7E-9232-9A668B5E240C}">
    <text>Esialgu oli siin 583296€, kuid kanname sellest 246336€ üle 2025. a-sse</text>
  </threadedComment>
  <threadedComment ref="AD70" dT="2024-04-16T14:27:50.96" personId="{6D558991-DED3-4240-9F6C-F5E8D7E48F2F}" id="{F0E9169B-FA91-428C-93C3-F9C3D0B7EE5C}">
    <text>Esialgu oli siin 249984€, kuid kandsime 2024. a-st 246336€ 2025. a-sse üle</text>
  </threadedComment>
  <threadedComment ref="AG70" dT="2024-04-24T07:31:20.21" personId="{F874F919-87DE-4BF0-917C-1C2053145CF2}" id="{0FDDC672-7425-417F-945F-DD5597922549}">
    <text>Lisandunud vajadus 416 140 ja 2025. aastast üle kantud 46 336.</text>
  </threadedComment>
  <threadedComment ref="S71" dT="2024-04-18T08:07:26.85" personId="{3C72774C-28A3-4086-B49B-001278BD8A91}" id="{397A0AEC-F0E1-43BF-B4EA-DA34920CC4C7}">
    <text>Kinnitatud 2024, kogu summa üle kantud 2025.aastasse</text>
  </threadedComment>
  <threadedComment ref="AA71" dT="2024-04-16T14:29:10.77" personId="{6D558991-DED3-4240-9F6C-F5E8D7E48F2F}" id="{08BC5F48-0714-4C97-ABDF-987623081B19}">
    <text>Esialgu oli siin 285353€, kuid kandsime kogu summa üle 2025. a-sse. Tööd algavad alles detsembris 2024.</text>
  </threadedComment>
  <threadedComment ref="AD71" dT="2024-04-16T14:29:38.62" personId="{6D558991-DED3-4240-9F6C-F5E8D7E48F2F}" id="{1A37DE53-5441-4D22-8C05-0588FD231D45}">
    <text>Esialgu oli siin 0€, kuid kandsime kogu summa 285353€ 2024. a-st 2025. a-sse üle</text>
  </threadedComment>
  <threadedComment ref="AG71" dT="2024-04-24T07:11:49.67" personId="{F874F919-87DE-4BF0-917C-1C2053145CF2}" id="{AFE8A836-6FB5-45B0-B7C7-C61E7E7D304D}">
    <text xml:space="preserve">Lisasime kõik etapid ühele reale. </text>
  </threadedComment>
  <threadedComment ref="AJ71" dT="2024-04-24T07:12:16.88" personId="{F874F919-87DE-4BF0-917C-1C2053145CF2}" id="{F5B4EA36-728F-4FFA-8402-85D8C2CC9305}">
    <text>Esialgu oli siin 0€, kuid kandsime siia 2026. a summa</text>
  </threadedComment>
  <threadedComment ref="AM71" dT="2024-04-24T07:32:55.70" personId="{F874F919-87DE-4BF0-917C-1C2053145CF2}" id="{A36FCF2C-B756-4565-BEFB-BD30C19944AB}">
    <text>Lisandunud vajadus</text>
  </threadedComment>
  <threadedComment ref="AA72" dT="2024-04-16T14:33:44.34" personId="{6D558991-DED3-4240-9F6C-F5E8D7E48F2F}" id="{EF2C6973-3FE3-4AB4-B0BB-9CB408259A76}">
    <text>Esialgu oli siin 776032€, kuid kandsime sellest poole ehk 388016€ üle 2025. a-sse</text>
  </threadedComment>
  <threadedComment ref="AD72" dT="2024-04-16T14:36:37.53" personId="{6D558991-DED3-4240-9F6C-F5E8D7E48F2F}" id="{1A7C47CC-F226-4F81-8C90-A60ACCA74EBE}">
    <text>Esialgu oli siin 401422€, kuid lisasime siia poole 2024. a üle kantud summast ehk 194008€</text>
  </threadedComment>
  <threadedComment ref="AG72" dT="2024-04-16T14:36:52.99" personId="{6D558991-DED3-4240-9F6C-F5E8D7E48F2F}" id="{610D5B04-A929-4DB3-9E8E-4993C395082E}">
    <text>Esialgu oli siin 401422€, kuid lisasime siia poole 2024. a üle kantud summast ehk 194008€</text>
  </threadedComment>
  <threadedComment ref="AM73" dT="2024-04-24T07:35:59.62" personId="{F874F919-87DE-4BF0-917C-1C2053145CF2}" id="{99382ED9-9837-4E8F-A7B8-C2AE348564DC}">
    <text>Lisandunud vajadused</text>
  </threadedComment>
  <threadedComment ref="S74" dT="2024-04-18T08:08:33.23" personId="{3C72774C-28A3-4086-B49B-001278BD8A91}" id="{2DD2AFA7-614E-4CC7-8B68-54F01C83877B}">
    <text>Osaliselt edasi lükatud, kuna personal ei ole veel värvatud</text>
  </threadedComment>
  <threadedComment ref="AB74" dT="2024-04-16T14:40:36.99" personId="{6D558991-DED3-4240-9F6C-F5E8D7E48F2F}" id="{AE696148-8362-4D1A-9909-644EB77B4F77}">
    <text>Esialgu oli siin 51510€, kuid kandsime sellest poole ehk 25755€ üle 2027. a-sse. Kuna see on töötasu, siis 2025. a ja 2026. a summad jäävad samaks, töösuhe pikeneb poole aasta võrra (sest algus viibib pool aastat)</text>
  </threadedComment>
  <threadedComment ref="AB75" dT="2024-04-19T08:40:04.21" personId="{F874F919-87DE-4BF0-917C-1C2053145CF2}" id="{E7BB3D53-1C7D-408D-B514-0695F4AEED3C}">
    <text>2024 summast 23 584 lükkame2027 aastasse. 2025 vajadus on kaetud.</text>
  </threadedComment>
  <threadedComment ref="AA89" dT="2024-04-18T07:49:36.95" personId="{3C72774C-28A3-4086-B49B-001278BD8A91}" id="{03882254-2502-4B8C-A6F2-8E29B6F6AF28}">
    <text>Tõstetud kogu summas 2025. aastasse</text>
  </threadedComment>
  <threadedComment ref="AA90" dT="2024-04-18T09:37:36.06" personId="{E3038183-5C86-4E85-B7A8-1B3BA6D70F7D}" id="{BF78C2A6-CD08-4986-B099-7DF4B623155F}">
    <text>Osa raha tõstetud 2025 aastasse. NB! 2024 jääki peab saama tõsta järgmisesse aastasse. Vastasel korral tuleb kogu summa tõsta 2025 aastasse.</text>
  </threadedComment>
  <threadedComment ref="AB90" dT="2024-04-18T07:50:31.16" personId="{3C72774C-28A3-4086-B49B-001278BD8A91}" id="{63C232B9-9937-4081-A55D-F13BE4E9AE4E}">
    <text>Kinnitatud summa 493800 lükatud 2025. aastasse</text>
  </threadedComment>
  <threadedComment ref="AB91" dT="2024-04-18T09:42:50.46" personId="{E3038183-5C86-4E85-B7A8-1B3BA6D70F7D}" id="{969183E7-E0BC-4D04-8743-0505D9B02A49}">
    <text xml:space="preserve">Osa raha tõstetud 2025 aastasse. NB! 2024 jääki peab saama tõsta järgmisesse aastasse. Vastasel korral tuleb kogu summa tõsta 2025 aastasse.
</text>
  </threadedComment>
  <threadedComment ref="AC91" dT="2024-04-24T15:15:36.52" personId="{3C72774C-28A3-4086-B49B-001278BD8A91}" id="{11A38489-746C-48B2-B341-6AA13C1B1B0B}">
    <text xml:space="preserve">Töökohag seotud majanduskulu ei ole abikõlbulik, mistõttu on see eemaldatud. </text>
  </threadedComment>
  <threadedComment ref="AA94" dT="2024-04-18T09:40:55.97" personId="{E3038183-5C86-4E85-B7A8-1B3BA6D70F7D}" id="{6634B5A0-078F-47AC-BA94-8AA40DEE270C}">
    <text xml:space="preserve">Osa raha tõstetud 2025 aastasse. NB! 2024 jääki peab saama tõsta järgmisesse aastasse. Vastasel korral tuleb kogu summa tõsta 2025 aastasse.
</text>
  </threadedComment>
  <threadedComment ref="S100" dT="2024-04-14T12:45:26.93" personId="{3C72774C-28A3-4086-B49B-001278BD8A91}" id="{FA0AE815-B0F5-4821-9E4C-A33CF2C57317}">
    <text>2024 kinnitatud: 393 750, sellest 246 094 üle kantud 2025. aastasse. 2025.aastast on osa summast kantud edasi 2026. aastasse.</text>
  </threadedComment>
  <threadedComment ref="S138" dT="2024-04-17T12:10:25.27" personId="{72520AA8-D48B-43A8-AB68-EF427B354BDD}" id="{975D554D-4D84-4B16-9939-E23EAC9BA93B}">
    <text>Kinnitatud 252 500, kuid sellest hinnanguliselt 168 333 € kandub 2025. a</text>
  </threadedComment>
  <threadedComment ref="T138" dT="2024-04-17T12:11:01.09" personId="{72520AA8-D48B-43A8-AB68-EF427B354BDD}" id="{532239FC-C2ED-4A10-9930-F61E2D1F1479}">
    <text>Ülekantud eelarve</text>
  </threadedComment>
</ThreadedComments>
</file>

<file path=xl/threadedComments/threadedComment2.xml><?xml version="1.0" encoding="utf-8"?>
<ThreadedComments xmlns="http://schemas.microsoft.com/office/spreadsheetml/2018/threadedcomments" xmlns:x="http://schemas.openxmlformats.org/spreadsheetml/2006/main">
  <threadedComment ref="B249" dT="2024-06-20T08:08:18.66" personId="{3A9F068A-6716-401B-997B-427E1F1C93B0}" id="{31E30C87-5E5A-441D-9609-D372582BFE59}">
    <text>Lisada õige rea number 141</text>
  </threadedComment>
</ThreadedComments>
</file>

<file path=xl/threadedComments/threadedComment3.xml><?xml version="1.0" encoding="utf-8"?>
<ThreadedComments xmlns="http://schemas.microsoft.com/office/spreadsheetml/2018/threadedcomments" xmlns:x="http://schemas.openxmlformats.org/spreadsheetml/2006/main">
  <threadedComment ref="L4" dT="2023-03-23T11:14:22.07" personId="{3C72774C-28A3-4086-B49B-001278BD8A91}" id="{D3EC4D54-F980-40C9-87FC-D023A1861802}">
    <text>Kajastatud 2024. olemasolev palgakulu, mis on kaetud baasist ning ühekordselt erinevatest reservidest</text>
  </threadedComment>
  <threadedComment ref="K10" dT="2024-06-10T13:01:25.20" personId="{3C72774C-28A3-4086-B49B-001278BD8A91}" id="{6F9E7AEE-9A8E-441F-90D4-FE8FE0FB8B83}">
    <text>NB! KILP olemasoleva meeskonna baasrahastus ei ole tagatud baasrahastusest, kaetud ühekordselt erinevatest reservides</text>
  </threadedComment>
  <threadedComment ref="K13" dT="2024-06-10T13:00:21.01" personId="{3C72774C-28A3-4086-B49B-001278BD8A91}" id="{696878B4-E576-49CD-83B5-D4BB647939B9}">
    <text>Projektijuhi tasu jagatud vastavalt koormusele SFi ja teiste projektide vahel.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B7B0-4764-496D-9313-E7C884B0D6FB}">
  <sheetPr>
    <tabColor theme="8" tint="0.59999389629810485"/>
  </sheetPr>
  <dimension ref="A1:AX193"/>
  <sheetViews>
    <sheetView topLeftCell="J34" zoomScale="70" zoomScaleNormal="70" workbookViewId="0">
      <selection activeCell="J46" sqref="J46"/>
    </sheetView>
  </sheetViews>
  <sheetFormatPr defaultColWidth="8.5703125" defaultRowHeight="15" x14ac:dyDescent="0.25"/>
  <cols>
    <col min="1" max="1" width="21.42578125" style="1" customWidth="1"/>
    <col min="2" max="2" width="15" style="1" customWidth="1"/>
    <col min="3" max="3" width="13.5703125" style="1" customWidth="1"/>
    <col min="4" max="4" width="14.28515625" style="1" customWidth="1"/>
    <col min="5" max="5" width="16.5703125" style="1" customWidth="1"/>
    <col min="6" max="6" width="18.5703125" style="1" customWidth="1"/>
    <col min="7" max="7" width="14.28515625" style="1" customWidth="1"/>
    <col min="8" max="8" width="12.7109375" style="1" customWidth="1"/>
    <col min="9" max="9" width="28.42578125" style="1" customWidth="1"/>
    <col min="10" max="10" width="25.42578125" style="3" customWidth="1"/>
    <col min="11" max="11" width="42" style="1" customWidth="1"/>
    <col min="12" max="13" width="12" style="1" customWidth="1"/>
    <col min="14" max="14" width="18.7109375" style="1" customWidth="1"/>
    <col min="15" max="15" width="12.42578125" style="1" customWidth="1"/>
    <col min="16" max="16" width="8.5703125" style="1" customWidth="1"/>
    <col min="17" max="17" width="14.7109375" style="1" customWidth="1"/>
    <col min="18" max="18" width="16.7109375" style="1" customWidth="1"/>
    <col min="19" max="19" width="19.7109375" style="1" customWidth="1"/>
    <col min="20" max="20" width="14" style="1" customWidth="1"/>
    <col min="21" max="21" width="13.7109375" style="1" customWidth="1"/>
    <col min="22" max="22" width="18.28515625" style="1" customWidth="1"/>
    <col min="23" max="23" width="15.7109375" style="1" customWidth="1"/>
    <col min="24" max="27" width="10.28515625" style="1" customWidth="1"/>
    <col min="28" max="28" width="10.7109375" style="1" customWidth="1"/>
    <col min="29" max="29" width="11.28515625" style="1" customWidth="1"/>
    <col min="30" max="30" width="10.28515625" style="1" customWidth="1"/>
    <col min="31" max="31" width="11.42578125" style="1" customWidth="1"/>
    <col min="32" max="32" width="11.28515625" style="1" customWidth="1"/>
    <col min="33" max="41" width="10.28515625" style="1" customWidth="1"/>
    <col min="42" max="42" width="40.42578125" style="38" bestFit="1" customWidth="1"/>
    <col min="43" max="43" width="37" style="1" customWidth="1"/>
    <col min="44" max="44" width="60.5703125" style="1" bestFit="1" customWidth="1"/>
    <col min="45" max="45" width="48.42578125" style="1" customWidth="1"/>
    <col min="46" max="46" width="23.42578125" style="1" customWidth="1"/>
    <col min="47" max="47" width="8.7109375" style="1" bestFit="1" customWidth="1"/>
    <col min="48" max="16384" width="8.5703125" style="1"/>
  </cols>
  <sheetData>
    <row r="1" spans="1:14" x14ac:dyDescent="0.25">
      <c r="A1" s="5" t="s">
        <v>0</v>
      </c>
      <c r="B1" s="163"/>
      <c r="C1" s="164"/>
      <c r="D1" s="164"/>
      <c r="E1" s="164"/>
      <c r="F1" s="8"/>
      <c r="G1" s="164"/>
      <c r="H1" s="268"/>
      <c r="I1" s="8"/>
    </row>
    <row r="2" spans="1:14" x14ac:dyDescent="0.25">
      <c r="A2" s="134" t="s">
        <v>1</v>
      </c>
      <c r="B2" s="689" t="s">
        <v>2</v>
      </c>
      <c r="C2" s="690"/>
      <c r="D2" s="690"/>
      <c r="E2" s="691"/>
      <c r="F2" s="8"/>
      <c r="G2" s="689" t="s">
        <v>3</v>
      </c>
      <c r="H2" s="690"/>
      <c r="I2" s="690"/>
      <c r="J2" s="690"/>
      <c r="K2" s="691"/>
    </row>
    <row r="3" spans="1:14" ht="76.5" x14ac:dyDescent="0.25">
      <c r="A3" s="158" t="s">
        <v>4</v>
      </c>
      <c r="B3" s="159" t="s">
        <v>5</v>
      </c>
      <c r="C3" s="160">
        <v>2023</v>
      </c>
      <c r="D3" s="160">
        <v>2024</v>
      </c>
      <c r="E3" s="160">
        <v>2025</v>
      </c>
      <c r="F3" s="8"/>
      <c r="G3" s="5" t="s">
        <v>6</v>
      </c>
      <c r="H3" s="165" t="s">
        <v>7</v>
      </c>
      <c r="I3" s="166" t="s">
        <v>8</v>
      </c>
      <c r="J3" s="167" t="s">
        <v>9</v>
      </c>
      <c r="K3" s="167" t="s">
        <v>10</v>
      </c>
      <c r="L3" s="8"/>
      <c r="M3" s="8"/>
      <c r="N3" s="3"/>
    </row>
    <row r="4" spans="1:14" x14ac:dyDescent="0.25">
      <c r="A4" s="161" t="s">
        <v>11</v>
      </c>
      <c r="B4" s="9">
        <f>SUM(C4:E4)</f>
        <v>36391175.5</v>
      </c>
      <c r="C4" s="9">
        <f>SUM(C5+C12)</f>
        <v>6134221</v>
      </c>
      <c r="D4" s="9">
        <f>SUM(D5+D12)</f>
        <v>13678272.466666667</v>
      </c>
      <c r="E4" s="9">
        <f>SUM(E5+E12)</f>
        <v>16578682.033333335</v>
      </c>
      <c r="F4" s="8"/>
      <c r="G4" s="9">
        <f>SUM(H4:K4)</f>
        <v>42612081.5</v>
      </c>
      <c r="H4" s="168">
        <f>SUMIFS(Q35:Q148,G35:G148,$G$151)</f>
        <v>38298528.5</v>
      </c>
      <c r="I4" s="169">
        <f>SUMIFS(Q35:Q148,G35:G148,$G$152)</f>
        <v>2607071</v>
      </c>
      <c r="J4" s="169">
        <f>SUMIFS(Q35:Q148,G35:G148,$G$153)</f>
        <v>0</v>
      </c>
      <c r="K4" s="169">
        <f>SUMIFS(Q35:Q148,G35:G148,$G$154)</f>
        <v>1706482</v>
      </c>
      <c r="L4" s="8"/>
      <c r="M4" s="8"/>
      <c r="N4" s="4"/>
    </row>
    <row r="5" spans="1:14" x14ac:dyDescent="0.25">
      <c r="A5" s="161" t="s">
        <v>12</v>
      </c>
      <c r="B5" s="9">
        <f>SUM(C5:E5)</f>
        <v>24586899.5</v>
      </c>
      <c r="C5" s="9">
        <f>SUM(C6:C11)</f>
        <v>6134221</v>
      </c>
      <c r="D5" s="9">
        <f>SUM(D6:D11)</f>
        <v>10374649</v>
      </c>
      <c r="E5" s="9">
        <f>SUM(E6:E11)</f>
        <v>8078029.5</v>
      </c>
      <c r="F5" s="8"/>
      <c r="G5" s="8"/>
      <c r="J5" s="8"/>
      <c r="K5" s="4"/>
    </row>
    <row r="6" spans="1:14" x14ac:dyDescent="0.25">
      <c r="A6" s="162" t="s">
        <v>13</v>
      </c>
      <c r="B6" s="17">
        <f>SUM(C6:E6)</f>
        <v>19276753</v>
      </c>
      <c r="C6" s="18">
        <v>5656221</v>
      </c>
      <c r="D6" s="18">
        <v>7511383</v>
      </c>
      <c r="E6" s="18">
        <v>6109149</v>
      </c>
      <c r="F6" s="10"/>
      <c r="G6" s="8"/>
      <c r="H6" s="8"/>
      <c r="I6" s="8"/>
      <c r="J6" s="8"/>
      <c r="K6" s="4"/>
    </row>
    <row r="7" spans="1:14" x14ac:dyDescent="0.25">
      <c r="A7" s="162" t="s">
        <v>14</v>
      </c>
      <c r="B7" s="17">
        <f>SUM(C7:E7)</f>
        <v>3352146.5</v>
      </c>
      <c r="C7" s="18">
        <f>SUMIFS(R35:R148,P35:P148,"Muu rahastus")</f>
        <v>478000</v>
      </c>
      <c r="D7" s="18">
        <f>SUMIFS(S35:S148,P35:P148,"Muu rahastus")</f>
        <v>1255266</v>
      </c>
      <c r="E7" s="18">
        <f>SUMIFS(T35:T148,P35:P148,"Muu rahastus")</f>
        <v>1618880.5</v>
      </c>
      <c r="F7" s="10"/>
      <c r="G7" s="8"/>
      <c r="H7" s="8"/>
      <c r="I7" s="8"/>
      <c r="J7" s="8"/>
      <c r="K7" s="4"/>
    </row>
    <row r="8" spans="1:14" x14ac:dyDescent="0.25">
      <c r="A8" s="162" t="s">
        <v>15</v>
      </c>
      <c r="B8" s="17">
        <f>SUM(C8:E8)</f>
        <v>0</v>
      </c>
      <c r="C8" s="18">
        <f>SUMIFS(R35:R148,P35:P148,"Reserv (SR)")</f>
        <v>0</v>
      </c>
      <c r="D8" s="18">
        <f>SUMIFS(S35:S148,P35:P148,"Reserv (SR)")</f>
        <v>0</v>
      </c>
      <c r="E8" s="18">
        <f>SUMIFS(T35:T148,P35:P148,"Reserv (SR)")</f>
        <v>0</v>
      </c>
      <c r="F8" s="10"/>
      <c r="G8" s="8"/>
      <c r="H8" s="8"/>
      <c r="I8" s="8"/>
      <c r="J8" s="8"/>
      <c r="K8" s="4"/>
    </row>
    <row r="9" spans="1:14" x14ac:dyDescent="0.25">
      <c r="A9" s="162" t="s">
        <v>16</v>
      </c>
      <c r="B9" s="17">
        <f t="shared" ref="B9" si="0">SUM(C9:D9)</f>
        <v>804000</v>
      </c>
      <c r="C9" s="18">
        <f>SUMIFS(R35:R148,P35:P148,"RRF")</f>
        <v>0</v>
      </c>
      <c r="D9" s="18">
        <f>SUMIFS(S35:S148,P35:P148,"RRF")</f>
        <v>804000</v>
      </c>
      <c r="E9" s="18"/>
      <c r="F9" s="10"/>
      <c r="G9" s="8"/>
      <c r="H9" s="8"/>
      <c r="I9" s="8"/>
      <c r="J9" s="8"/>
      <c r="K9" s="4"/>
    </row>
    <row r="10" spans="1:14" x14ac:dyDescent="0.25">
      <c r="A10" s="162" t="s">
        <v>17</v>
      </c>
      <c r="B10" s="17">
        <f>SUM(C10:E10)</f>
        <v>0</v>
      </c>
      <c r="C10" s="18">
        <f>SUMIFS(R35:R148,P35:P148,"SF 14-20 (töös olev projekt)")</f>
        <v>0</v>
      </c>
      <c r="D10" s="18">
        <f>SUMIFS(S35:S148,P35:P148,"SF 14-20 (töös olev projekt)")</f>
        <v>0</v>
      </c>
      <c r="E10" s="18">
        <f>SUMIFS(T35:T148,P35:P148,"SF 14-20 (töös olev projekt)")</f>
        <v>0</v>
      </c>
      <c r="F10" s="10"/>
      <c r="G10" s="8"/>
      <c r="H10" s="8"/>
      <c r="I10" s="8"/>
      <c r="J10" s="8"/>
      <c r="K10" s="4"/>
    </row>
    <row r="11" spans="1:14" x14ac:dyDescent="0.25">
      <c r="A11" s="162" t="s">
        <v>18</v>
      </c>
      <c r="B11" s="17">
        <f>SUM(C11:E11)</f>
        <v>1154000</v>
      </c>
      <c r="C11" s="18">
        <f>SUMIFS(R35:R148,P35:P148,"RRF")</f>
        <v>0</v>
      </c>
      <c r="D11" s="18">
        <f>SUMIFS(S35:S148,P35:P148,"RRF")</f>
        <v>804000</v>
      </c>
      <c r="E11" s="18">
        <f>SUMIFS(T35:T148,P35:P148,"RRF")</f>
        <v>350000</v>
      </c>
      <c r="F11" s="10"/>
      <c r="G11" s="8"/>
      <c r="H11" s="8"/>
      <c r="I11" s="8"/>
      <c r="J11" s="8"/>
      <c r="K11" s="4"/>
    </row>
    <row r="12" spans="1:14" x14ac:dyDescent="0.25">
      <c r="A12" s="161" t="s">
        <v>19</v>
      </c>
      <c r="B12" s="9">
        <f>SUM(C12:E12)</f>
        <v>11804276.000000002</v>
      </c>
      <c r="C12" s="9">
        <f>SUM(C13:C14)</f>
        <v>0</v>
      </c>
      <c r="D12" s="9">
        <f>SUM(D13:D14)</f>
        <v>3303623.4666666673</v>
      </c>
      <c r="E12" s="9">
        <f>SUM(E13:E14)</f>
        <v>8500652.5333333351</v>
      </c>
      <c r="F12" s="10"/>
      <c r="G12" s="8"/>
      <c r="H12" s="8"/>
      <c r="I12" s="8"/>
      <c r="J12" s="8"/>
      <c r="K12" s="4"/>
    </row>
    <row r="13" spans="1:14" x14ac:dyDescent="0.25">
      <c r="A13" s="162" t="s">
        <v>20</v>
      </c>
      <c r="B13" s="17">
        <f>SUM(C13:E13)</f>
        <v>3770917</v>
      </c>
      <c r="C13" s="18">
        <f>SUMIFS(R35:R148,P35:P148,"RES IKT (vaja juurde taotleda)")</f>
        <v>0</v>
      </c>
      <c r="D13" s="18">
        <f>SUMIFS(S35:S148,P35:P148,"RES IKT (vaja juurde taotleda)")</f>
        <v>723711</v>
      </c>
      <c r="E13" s="18">
        <f>SUMIFS(T35:T148,P35:P148,"RES IKT (vaja juurde taotleda)")</f>
        <v>3047206</v>
      </c>
      <c r="F13" s="10" t="s">
        <v>21</v>
      </c>
      <c r="G13" s="8"/>
      <c r="H13" s="8"/>
      <c r="I13" s="8"/>
      <c r="J13" s="8"/>
      <c r="K13" s="4"/>
    </row>
    <row r="14" spans="1:14" x14ac:dyDescent="0.25">
      <c r="A14" s="162" t="s">
        <v>22</v>
      </c>
      <c r="B14" s="17">
        <f>SUM(C14:E14)</f>
        <v>8033359.0000000019</v>
      </c>
      <c r="C14" s="18">
        <f>SUMIFS(R35:R148,P35:P148,"SF 21-27 (taotletav raha)")</f>
        <v>0</v>
      </c>
      <c r="D14" s="18">
        <f>SUMIFS(S35:S148,P35:P148,"SF 21-27 (taotletav raha)")</f>
        <v>2579912.4666666673</v>
      </c>
      <c r="E14" s="18">
        <f>SUMIFS(T35:T148,P35:P148,"SF 21-27 (taotletav raha)")</f>
        <v>5453446.5333333341</v>
      </c>
      <c r="F14" s="10" t="s">
        <v>23</v>
      </c>
      <c r="G14" s="8"/>
      <c r="H14" s="8"/>
      <c r="I14" s="8"/>
      <c r="J14" s="8"/>
      <c r="K14" s="4"/>
    </row>
    <row r="15" spans="1:14" x14ac:dyDescent="0.25">
      <c r="A15" s="6"/>
      <c r="B15" s="6"/>
      <c r="C15" s="6"/>
      <c r="D15" s="6"/>
      <c r="E15" s="6"/>
      <c r="F15" s="6"/>
      <c r="G15" s="6"/>
      <c r="H15" s="6"/>
      <c r="I15" s="6"/>
    </row>
    <row r="16" spans="1:14" ht="15.75" thickBot="1" x14ac:dyDescent="0.3">
      <c r="A16" s="10" t="s">
        <v>24</v>
      </c>
      <c r="B16" s="6"/>
      <c r="C16" s="6"/>
      <c r="D16" s="6"/>
      <c r="E16" s="6"/>
      <c r="F16" s="6"/>
      <c r="G16" s="6"/>
      <c r="H16" s="6"/>
      <c r="I16" s="6"/>
    </row>
    <row r="17" spans="1:45" ht="30" x14ac:dyDescent="0.25">
      <c r="A17" s="51" t="s">
        <v>25</v>
      </c>
      <c r="B17" s="676" t="s">
        <v>26</v>
      </c>
      <c r="C17" s="677"/>
      <c r="D17" s="677"/>
      <c r="E17" s="677"/>
      <c r="F17" s="677"/>
      <c r="G17" s="677"/>
      <c r="H17" s="677"/>
      <c r="I17" s="677"/>
      <c r="J17" s="51" t="s">
        <v>27</v>
      </c>
      <c r="K17" s="681" t="s">
        <v>28</v>
      </c>
      <c r="L17" s="674"/>
      <c r="M17" s="674"/>
      <c r="N17" s="674"/>
      <c r="O17" s="674"/>
      <c r="P17" s="674"/>
      <c r="Q17" s="674"/>
      <c r="R17" s="675"/>
    </row>
    <row r="18" spans="1:45" x14ac:dyDescent="0.25">
      <c r="A18" s="52" t="s">
        <v>29</v>
      </c>
      <c r="B18" s="98" t="s">
        <v>30</v>
      </c>
      <c r="C18" s="99" t="s">
        <v>31</v>
      </c>
      <c r="D18" s="99" t="s">
        <v>32</v>
      </c>
      <c r="E18" s="99" t="s">
        <v>33</v>
      </c>
      <c r="F18" s="99" t="s">
        <v>34</v>
      </c>
      <c r="G18" s="99" t="s">
        <v>35</v>
      </c>
      <c r="H18" s="99" t="s">
        <v>36</v>
      </c>
      <c r="I18" s="170" t="s">
        <v>37</v>
      </c>
      <c r="J18" s="63"/>
      <c r="K18" s="3"/>
      <c r="R18" s="62"/>
    </row>
    <row r="19" spans="1:45" ht="15.75" thickBot="1" x14ac:dyDescent="0.3">
      <c r="A19" s="53" t="s">
        <v>38</v>
      </c>
      <c r="B19" s="214">
        <v>0</v>
      </c>
      <c r="C19" s="200">
        <v>0</v>
      </c>
      <c r="D19" s="200">
        <v>0</v>
      </c>
      <c r="E19" s="200">
        <v>0</v>
      </c>
      <c r="F19" s="201">
        <v>2744036</v>
      </c>
      <c r="G19" s="201">
        <v>2744036</v>
      </c>
      <c r="H19" s="201">
        <v>2744036</v>
      </c>
      <c r="I19" s="201">
        <v>2744036</v>
      </c>
      <c r="J19" s="202"/>
      <c r="K19" s="695" t="s">
        <v>39</v>
      </c>
      <c r="L19" s="696"/>
      <c r="M19" s="696"/>
      <c r="N19" s="696"/>
      <c r="O19" s="696"/>
      <c r="P19" s="696"/>
      <c r="Q19" s="696"/>
      <c r="R19" s="697"/>
    </row>
    <row r="20" spans="1:45" ht="30" x14ac:dyDescent="0.25">
      <c r="A20" s="51" t="s">
        <v>40</v>
      </c>
      <c r="B20" s="678" t="s">
        <v>41</v>
      </c>
      <c r="C20" s="679"/>
      <c r="D20" s="679"/>
      <c r="E20" s="679"/>
      <c r="F20" s="679"/>
      <c r="G20" s="679"/>
      <c r="H20" s="679"/>
      <c r="I20" s="680"/>
      <c r="J20" s="65"/>
      <c r="K20" s="681" t="s">
        <v>42</v>
      </c>
      <c r="L20" s="674"/>
      <c r="M20" s="674"/>
      <c r="N20" s="674"/>
      <c r="O20" s="674"/>
      <c r="P20" s="674"/>
      <c r="Q20" s="674"/>
      <c r="R20" s="675"/>
    </row>
    <row r="21" spans="1:45" x14ac:dyDescent="0.25">
      <c r="A21" s="52" t="s">
        <v>29</v>
      </c>
      <c r="B21" s="98" t="s">
        <v>30</v>
      </c>
      <c r="C21" s="99" t="s">
        <v>31</v>
      </c>
      <c r="D21" s="99" t="s">
        <v>32</v>
      </c>
      <c r="E21" s="99" t="s">
        <v>33</v>
      </c>
      <c r="F21" s="99" t="s">
        <v>34</v>
      </c>
      <c r="G21" s="99" t="s">
        <v>35</v>
      </c>
      <c r="H21" s="99" t="s">
        <v>36</v>
      </c>
      <c r="I21" s="170" t="s">
        <v>37</v>
      </c>
      <c r="J21" s="63"/>
      <c r="K21" s="3"/>
      <c r="R21" s="62"/>
    </row>
    <row r="22" spans="1:45" ht="15.75" thickBot="1" x14ac:dyDescent="0.3">
      <c r="A22" s="53" t="s">
        <v>38</v>
      </c>
      <c r="B22" s="214">
        <v>0</v>
      </c>
      <c r="C22" s="200">
        <v>0</v>
      </c>
      <c r="D22" s="200">
        <v>0</v>
      </c>
      <c r="E22" s="200">
        <v>10</v>
      </c>
      <c r="F22" s="200">
        <v>13</v>
      </c>
      <c r="G22" s="200">
        <v>13</v>
      </c>
      <c r="H22" s="200">
        <v>13</v>
      </c>
      <c r="I22" s="201">
        <v>13</v>
      </c>
      <c r="J22" s="202"/>
      <c r="K22" s="695" t="s">
        <v>43</v>
      </c>
      <c r="L22" s="696"/>
      <c r="M22" s="696"/>
      <c r="N22" s="696"/>
      <c r="O22" s="696"/>
      <c r="P22" s="696"/>
      <c r="Q22" s="696"/>
      <c r="R22" s="697"/>
    </row>
    <row r="23" spans="1:45" ht="30" x14ac:dyDescent="0.25">
      <c r="A23" s="51" t="s">
        <v>40</v>
      </c>
      <c r="B23" s="678" t="s">
        <v>44</v>
      </c>
      <c r="C23" s="679"/>
      <c r="D23" s="679"/>
      <c r="E23" s="679"/>
      <c r="F23" s="679"/>
      <c r="G23" s="679"/>
      <c r="H23" s="679"/>
      <c r="I23" s="680"/>
      <c r="J23" s="65"/>
      <c r="K23" s="681" t="s">
        <v>45</v>
      </c>
      <c r="L23" s="674"/>
      <c r="M23" s="674"/>
      <c r="N23" s="674"/>
      <c r="O23" s="674"/>
      <c r="P23" s="674"/>
      <c r="Q23" s="674"/>
      <c r="R23" s="675"/>
    </row>
    <row r="24" spans="1:45" x14ac:dyDescent="0.25">
      <c r="A24" s="52" t="s">
        <v>29</v>
      </c>
      <c r="B24" s="98" t="s">
        <v>30</v>
      </c>
      <c r="C24" s="99" t="s">
        <v>31</v>
      </c>
      <c r="D24" s="99" t="s">
        <v>32</v>
      </c>
      <c r="E24" s="99" t="s">
        <v>33</v>
      </c>
      <c r="F24" s="99" t="s">
        <v>34</v>
      </c>
      <c r="G24" s="99" t="s">
        <v>35</v>
      </c>
      <c r="H24" s="99" t="s">
        <v>36</v>
      </c>
      <c r="I24" s="170" t="s">
        <v>37</v>
      </c>
      <c r="J24" s="63"/>
      <c r="K24" s="3"/>
      <c r="R24" s="62"/>
    </row>
    <row r="25" spans="1:45" ht="15.75" thickBot="1" x14ac:dyDescent="0.3">
      <c r="A25" s="53" t="s">
        <v>38</v>
      </c>
      <c r="B25" s="214">
        <v>0</v>
      </c>
      <c r="C25" s="200">
        <v>0</v>
      </c>
      <c r="D25" s="200">
        <v>0</v>
      </c>
      <c r="E25" s="200">
        <v>4</v>
      </c>
      <c r="F25" s="200">
        <v>5</v>
      </c>
      <c r="G25" s="200">
        <v>5</v>
      </c>
      <c r="H25" s="200">
        <v>8</v>
      </c>
      <c r="I25" s="201">
        <v>8</v>
      </c>
      <c r="J25" s="202"/>
      <c r="K25" s="695" t="s">
        <v>46</v>
      </c>
      <c r="L25" s="696"/>
      <c r="M25" s="696"/>
      <c r="N25" s="696"/>
      <c r="O25" s="696"/>
      <c r="P25" s="696"/>
      <c r="Q25" s="696"/>
      <c r="R25" s="697"/>
    </row>
    <row r="26" spans="1:45" ht="75" x14ac:dyDescent="0.25">
      <c r="A26" s="51" t="s">
        <v>47</v>
      </c>
      <c r="B26" s="678" t="s">
        <v>48</v>
      </c>
      <c r="C26" s="679"/>
      <c r="D26" s="679"/>
      <c r="E26" s="679"/>
      <c r="F26" s="679"/>
      <c r="G26" s="679"/>
      <c r="H26" s="679"/>
      <c r="I26" s="680"/>
      <c r="J26" s="65"/>
      <c r="K26" s="681" t="s">
        <v>49</v>
      </c>
      <c r="L26" s="674"/>
      <c r="M26" s="674"/>
      <c r="N26" s="674"/>
      <c r="O26" s="674"/>
      <c r="P26" s="674"/>
      <c r="Q26" s="674"/>
      <c r="R26" s="675"/>
    </row>
    <row r="27" spans="1:45" x14ac:dyDescent="0.25">
      <c r="A27" s="52" t="s">
        <v>29</v>
      </c>
      <c r="B27" s="98" t="s">
        <v>30</v>
      </c>
      <c r="C27" s="99" t="s">
        <v>31</v>
      </c>
      <c r="D27" s="99" t="s">
        <v>32</v>
      </c>
      <c r="E27" s="99" t="s">
        <v>33</v>
      </c>
      <c r="F27" s="99" t="s">
        <v>34</v>
      </c>
      <c r="G27" s="99" t="s">
        <v>35</v>
      </c>
      <c r="H27" s="99" t="s">
        <v>36</v>
      </c>
      <c r="I27" s="170" t="s">
        <v>37</v>
      </c>
      <c r="J27" s="63"/>
      <c r="K27" s="3"/>
      <c r="R27" s="62"/>
    </row>
    <row r="28" spans="1:45" ht="15.75" thickBot="1" x14ac:dyDescent="0.3">
      <c r="A28" s="53" t="s">
        <v>38</v>
      </c>
      <c r="B28" s="214">
        <v>0</v>
      </c>
      <c r="C28" s="200">
        <v>0</v>
      </c>
      <c r="D28" s="200"/>
      <c r="E28" s="200"/>
      <c r="F28" s="200"/>
      <c r="G28" s="200"/>
      <c r="H28" s="200"/>
      <c r="I28" s="201">
        <v>90</v>
      </c>
      <c r="J28" s="202"/>
      <c r="K28" s="695" t="s">
        <v>50</v>
      </c>
      <c r="L28" s="696"/>
      <c r="M28" s="696"/>
      <c r="N28" s="696"/>
      <c r="O28" s="696"/>
      <c r="P28" s="696"/>
      <c r="Q28" s="696"/>
      <c r="R28" s="697"/>
    </row>
    <row r="29" spans="1:45" x14ac:dyDescent="0.25">
      <c r="A29" s="3"/>
      <c r="B29" s="3"/>
    </row>
    <row r="31" spans="1:45" ht="15.75" thickBot="1" x14ac:dyDescent="0.3">
      <c r="C31" s="70"/>
      <c r="D31" s="70"/>
    </row>
    <row r="32" spans="1:45" ht="15.75" thickBot="1" x14ac:dyDescent="0.3">
      <c r="C32" s="70"/>
      <c r="D32" s="70"/>
      <c r="X32" s="672" t="s">
        <v>51</v>
      </c>
      <c r="Y32" s="673"/>
      <c r="Z32" s="673"/>
      <c r="AA32" s="673"/>
      <c r="AB32" s="673"/>
      <c r="AC32" s="673"/>
      <c r="AD32" s="673"/>
      <c r="AE32" s="673"/>
      <c r="AF32" s="673"/>
      <c r="AG32" s="673"/>
      <c r="AH32" s="673"/>
      <c r="AI32" s="673"/>
      <c r="AJ32" s="673"/>
      <c r="AK32" s="673"/>
      <c r="AL32" s="673"/>
      <c r="AM32" s="674"/>
      <c r="AN32" s="674"/>
      <c r="AO32" s="675"/>
      <c r="AS32" s="33"/>
    </row>
    <row r="33" spans="1:50" ht="75.75" thickBot="1" x14ac:dyDescent="0.3">
      <c r="A33" s="234" t="s">
        <v>52</v>
      </c>
      <c r="B33" s="235" t="s">
        <v>53</v>
      </c>
      <c r="C33" s="235" t="s">
        <v>54</v>
      </c>
      <c r="D33" s="236" t="s">
        <v>55</v>
      </c>
      <c r="E33" s="236" t="s">
        <v>56</v>
      </c>
      <c r="F33" s="236" t="s">
        <v>57</v>
      </c>
      <c r="G33" s="236" t="s">
        <v>58</v>
      </c>
      <c r="H33" s="236" t="s">
        <v>59</v>
      </c>
      <c r="I33" s="236" t="s">
        <v>60</v>
      </c>
      <c r="J33" s="236" t="s">
        <v>61</v>
      </c>
      <c r="K33" s="237" t="s">
        <v>62</v>
      </c>
      <c r="L33" s="238" t="s">
        <v>63</v>
      </c>
      <c r="M33" s="238" t="s">
        <v>64</v>
      </c>
      <c r="N33" s="236" t="s">
        <v>65</v>
      </c>
      <c r="O33" s="236" t="s">
        <v>66</v>
      </c>
      <c r="P33" s="236" t="s">
        <v>67</v>
      </c>
      <c r="Q33" s="239" t="s">
        <v>68</v>
      </c>
      <c r="R33" s="233">
        <v>2023</v>
      </c>
      <c r="S33" s="188">
        <v>2024</v>
      </c>
      <c r="T33" s="188">
        <v>2025</v>
      </c>
      <c r="U33" s="188">
        <v>2026</v>
      </c>
      <c r="V33" s="188">
        <v>2027</v>
      </c>
      <c r="W33" s="187">
        <v>2028</v>
      </c>
      <c r="X33" s="685" t="s">
        <v>69</v>
      </c>
      <c r="Y33" s="686"/>
      <c r="Z33" s="687"/>
      <c r="AA33" s="688">
        <v>2024</v>
      </c>
      <c r="AB33" s="686"/>
      <c r="AC33" s="687"/>
      <c r="AD33" s="688">
        <v>2025</v>
      </c>
      <c r="AE33" s="686"/>
      <c r="AF33" s="687"/>
      <c r="AG33" s="688">
        <v>2026</v>
      </c>
      <c r="AH33" s="686"/>
      <c r="AI33" s="687"/>
      <c r="AJ33" s="688">
        <v>2027</v>
      </c>
      <c r="AK33" s="686"/>
      <c r="AL33" s="686"/>
      <c r="AM33" s="682">
        <v>2028</v>
      </c>
      <c r="AN33" s="683"/>
      <c r="AO33" s="684"/>
      <c r="AP33" s="171" t="s">
        <v>70</v>
      </c>
      <c r="AQ33" s="22" t="s">
        <v>71</v>
      </c>
      <c r="AR33" s="21" t="s">
        <v>72</v>
      </c>
      <c r="AS33" s="21" t="s">
        <v>73</v>
      </c>
      <c r="AT33" s="22" t="s">
        <v>74</v>
      </c>
      <c r="AU33" s="1" t="s">
        <v>75</v>
      </c>
      <c r="AV33" s="1">
        <v>2024</v>
      </c>
      <c r="AW33" s="1">
        <v>2025</v>
      </c>
      <c r="AX33" s="1">
        <v>2026</v>
      </c>
    </row>
    <row r="34" spans="1:50" s="172" customFormat="1" ht="375.75" thickBot="1" x14ac:dyDescent="0.3">
      <c r="A34" s="442" t="s">
        <v>76</v>
      </c>
      <c r="B34" s="320" t="s">
        <v>77</v>
      </c>
      <c r="C34" s="320" t="s">
        <v>78</v>
      </c>
      <c r="D34" s="320" t="s">
        <v>79</v>
      </c>
      <c r="E34" s="321" t="s">
        <v>80</v>
      </c>
      <c r="F34" s="321" t="s">
        <v>80</v>
      </c>
      <c r="G34" s="321" t="s">
        <v>81</v>
      </c>
      <c r="H34" s="320" t="s">
        <v>82</v>
      </c>
      <c r="I34" s="320" t="s">
        <v>83</v>
      </c>
      <c r="J34" s="320" t="s">
        <v>84</v>
      </c>
      <c r="K34" s="240" t="s">
        <v>85</v>
      </c>
      <c r="L34" s="322" t="s">
        <v>86</v>
      </c>
      <c r="M34" s="322"/>
      <c r="N34" s="322" t="s">
        <v>87</v>
      </c>
      <c r="O34" s="323" t="s">
        <v>88</v>
      </c>
      <c r="P34" s="321" t="s">
        <v>80</v>
      </c>
      <c r="Q34" s="324"/>
      <c r="R34" s="692"/>
      <c r="S34" s="693"/>
      <c r="T34" s="693"/>
      <c r="U34" s="693"/>
      <c r="V34" s="693"/>
      <c r="W34" s="694"/>
      <c r="X34" s="275" t="s">
        <v>89</v>
      </c>
      <c r="Y34" s="276" t="s">
        <v>90</v>
      </c>
      <c r="Z34" s="277" t="s">
        <v>91</v>
      </c>
      <c r="AA34" s="278" t="s">
        <v>89</v>
      </c>
      <c r="AB34" s="276" t="s">
        <v>90</v>
      </c>
      <c r="AC34" s="279" t="s">
        <v>91</v>
      </c>
      <c r="AD34" s="275" t="s">
        <v>89</v>
      </c>
      <c r="AE34" s="276" t="s">
        <v>90</v>
      </c>
      <c r="AF34" s="277" t="s">
        <v>91</v>
      </c>
      <c r="AG34" s="27" t="s">
        <v>89</v>
      </c>
      <c r="AH34" s="24" t="s">
        <v>90</v>
      </c>
      <c r="AI34" s="25" t="s">
        <v>91</v>
      </c>
      <c r="AJ34" s="27" t="s">
        <v>89</v>
      </c>
      <c r="AK34" s="24" t="s">
        <v>90</v>
      </c>
      <c r="AL34" s="26" t="s">
        <v>91</v>
      </c>
      <c r="AM34" s="27" t="s">
        <v>89</v>
      </c>
      <c r="AN34" s="24" t="s">
        <v>90</v>
      </c>
      <c r="AO34" s="26" t="s">
        <v>91</v>
      </c>
      <c r="AP34" s="341" t="s">
        <v>92</v>
      </c>
      <c r="AQ34" s="250" t="s">
        <v>80</v>
      </c>
      <c r="AR34" s="259" t="s">
        <v>93</v>
      </c>
      <c r="AS34" s="259" t="s">
        <v>94</v>
      </c>
      <c r="AT34" s="250" t="s">
        <v>95</v>
      </c>
    </row>
    <row r="35" spans="1:50" s="542" customFormat="1" ht="14.45" customHeight="1" x14ac:dyDescent="0.25">
      <c r="A35" s="523" t="s">
        <v>2</v>
      </c>
      <c r="B35" s="513" t="s">
        <v>2</v>
      </c>
      <c r="C35" s="524" t="s">
        <v>2</v>
      </c>
      <c r="D35" s="525" t="s">
        <v>96</v>
      </c>
      <c r="E35" s="526" t="s">
        <v>97</v>
      </c>
      <c r="F35" s="525" t="s">
        <v>98</v>
      </c>
      <c r="G35" s="525" t="s">
        <v>99</v>
      </c>
      <c r="H35" s="525"/>
      <c r="I35" s="525" t="s">
        <v>100</v>
      </c>
      <c r="J35" s="524"/>
      <c r="K35" s="525" t="s">
        <v>101</v>
      </c>
      <c r="L35" s="525" t="s">
        <v>102</v>
      </c>
      <c r="M35" s="626" t="s">
        <v>103</v>
      </c>
      <c r="N35" s="525"/>
      <c r="O35" s="525" t="s">
        <v>104</v>
      </c>
      <c r="P35" s="526" t="s">
        <v>105</v>
      </c>
      <c r="Q35" s="527">
        <f t="shared" ref="Q35:Q148" si="1">SUM(R35:W35)</f>
        <v>247650</v>
      </c>
      <c r="R35" s="528">
        <f t="shared" ref="R35" si="2">SUM(X35:Z35)</f>
        <v>0</v>
      </c>
      <c r="S35" s="529">
        <f t="shared" ref="S35" si="3">SUM(AA35:AC35)</f>
        <v>31850</v>
      </c>
      <c r="T35" s="529">
        <f t="shared" ref="T35" si="4">SUM(AD35:AF35)</f>
        <v>52000</v>
      </c>
      <c r="U35" s="529">
        <f t="shared" ref="U35" si="5">SUM(AG35:AI35)</f>
        <v>54600</v>
      </c>
      <c r="V35" s="529">
        <f>SUM(AJ35:AL35)</f>
        <v>54600</v>
      </c>
      <c r="W35" s="530">
        <f>SUM(AM35:AO35)</f>
        <v>54600</v>
      </c>
      <c r="X35" s="300"/>
      <c r="Y35" s="301"/>
      <c r="Z35" s="302"/>
      <c r="AA35" s="300"/>
      <c r="AB35" s="301">
        <v>31850</v>
      </c>
      <c r="AC35" s="302"/>
      <c r="AD35" s="300"/>
      <c r="AE35" s="532">
        <v>52000</v>
      </c>
      <c r="AF35" s="302"/>
      <c r="AG35" s="534"/>
      <c r="AH35" s="535">
        <v>54600</v>
      </c>
      <c r="AI35" s="536"/>
      <c r="AJ35" s="537"/>
      <c r="AK35" s="535">
        <v>54600</v>
      </c>
      <c r="AL35" s="535"/>
      <c r="AM35" s="531"/>
      <c r="AN35" s="532">
        <v>54600</v>
      </c>
      <c r="AO35" s="533"/>
      <c r="AP35" s="538" t="s">
        <v>106</v>
      </c>
      <c r="AQ35" s="539"/>
      <c r="AR35" s="540"/>
      <c r="AS35" s="541"/>
      <c r="AT35" s="541"/>
      <c r="AU35" s="612">
        <f>SUM(Q35:Q36)</f>
        <v>466232</v>
      </c>
    </row>
    <row r="36" spans="1:50" s="173" customFormat="1" ht="14.45" customHeight="1" x14ac:dyDescent="0.25">
      <c r="A36" s="325" t="s">
        <v>2</v>
      </c>
      <c r="B36" s="190" t="s">
        <v>2</v>
      </c>
      <c r="C36" s="190"/>
      <c r="D36" s="189" t="s">
        <v>107</v>
      </c>
      <c r="E36" s="189" t="s">
        <v>97</v>
      </c>
      <c r="F36" s="189" t="s">
        <v>108</v>
      </c>
      <c r="G36" s="189" t="s">
        <v>99</v>
      </c>
      <c r="H36" s="189"/>
      <c r="I36" s="189" t="s">
        <v>109</v>
      </c>
      <c r="J36" s="190" t="s">
        <v>110</v>
      </c>
      <c r="K36" s="189" t="s">
        <v>111</v>
      </c>
      <c r="L36" s="189" t="s">
        <v>102</v>
      </c>
      <c r="M36" s="625" t="s">
        <v>103</v>
      </c>
      <c r="N36" s="189"/>
      <c r="O36" s="189" t="s">
        <v>104</v>
      </c>
      <c r="P36" s="189" t="s">
        <v>105</v>
      </c>
      <c r="Q36" s="499">
        <f t="shared" si="1"/>
        <v>218582</v>
      </c>
      <c r="R36" s="489">
        <f t="shared" ref="R36" si="6">SUM(X36:Z36)</f>
        <v>0</v>
      </c>
      <c r="S36" s="213">
        <f>SUM(AA36:AC36)</f>
        <v>28598</v>
      </c>
      <c r="T36" s="213">
        <f>SUM(AD36:AF36)</f>
        <v>44996</v>
      </c>
      <c r="U36" s="213">
        <f t="shared" ref="U36" si="7">SUM(AG36:AI36)</f>
        <v>47018</v>
      </c>
      <c r="V36" s="213">
        <f>SUM(AJ36:AL36)</f>
        <v>48985</v>
      </c>
      <c r="W36" s="222">
        <f t="shared" ref="W36:W148" si="8">SUM(AM36:AO36)</f>
        <v>48985</v>
      </c>
      <c r="X36" s="300"/>
      <c r="Y36" s="301"/>
      <c r="Z36" s="302"/>
      <c r="AA36" s="300"/>
      <c r="AB36" s="301">
        <v>28598</v>
      </c>
      <c r="AC36" s="302"/>
      <c r="AD36" s="339"/>
      <c r="AE36" s="301">
        <v>44996</v>
      </c>
      <c r="AF36" s="302"/>
      <c r="AG36" s="299"/>
      <c r="AH36" s="297">
        <v>47018</v>
      </c>
      <c r="AI36" s="298"/>
      <c r="AJ36" s="296"/>
      <c r="AK36" s="297">
        <v>48985</v>
      </c>
      <c r="AL36" s="297"/>
      <c r="AM36" s="300"/>
      <c r="AN36" s="297">
        <v>48985</v>
      </c>
      <c r="AO36" s="302"/>
      <c r="AP36" s="191" t="s">
        <v>112</v>
      </c>
      <c r="AQ36" s="192"/>
      <c r="AR36" s="194"/>
      <c r="AS36" s="342"/>
      <c r="AT36" s="343"/>
    </row>
    <row r="37" spans="1:50" s="173" customFormat="1" ht="45" x14ac:dyDescent="0.25">
      <c r="A37" s="326" t="s">
        <v>113</v>
      </c>
      <c r="B37" s="190"/>
      <c r="C37" s="190"/>
      <c r="D37" s="189"/>
      <c r="E37" s="189"/>
      <c r="F37" s="189"/>
      <c r="G37" s="189"/>
      <c r="H37" s="189"/>
      <c r="I37" s="189"/>
      <c r="J37" s="190"/>
      <c r="K37" s="189"/>
      <c r="L37" s="189">
        <v>1</v>
      </c>
      <c r="M37" s="625"/>
      <c r="N37" s="189"/>
      <c r="O37" s="189"/>
      <c r="P37" s="189"/>
      <c r="Q37" s="499"/>
      <c r="R37" s="489"/>
      <c r="S37" s="213">
        <f t="shared" ref="S37:S40" si="9">SUM(AA37:AC37)</f>
        <v>0</v>
      </c>
      <c r="T37" s="213">
        <f t="shared" ref="T37" si="10">SUM(AD37:AF37)</f>
        <v>0</v>
      </c>
      <c r="U37" s="213"/>
      <c r="V37" s="213"/>
      <c r="W37" s="222"/>
      <c r="X37" s="300"/>
      <c r="Y37" s="301"/>
      <c r="Z37" s="302"/>
      <c r="AA37" s="300"/>
      <c r="AB37" s="301"/>
      <c r="AC37" s="302"/>
      <c r="AD37" s="339"/>
      <c r="AE37" s="301"/>
      <c r="AF37" s="302"/>
      <c r="AG37" s="299"/>
      <c r="AH37" s="297"/>
      <c r="AI37" s="298"/>
      <c r="AJ37" s="296"/>
      <c r="AK37" s="297"/>
      <c r="AL37" s="297"/>
      <c r="AM37" s="300"/>
      <c r="AN37" s="301"/>
      <c r="AO37" s="302"/>
      <c r="AP37" s="191"/>
      <c r="AQ37" s="192"/>
      <c r="AR37" s="194"/>
      <c r="AS37" s="342"/>
      <c r="AT37" s="343"/>
      <c r="AU37" s="613">
        <f>SUM(Q38:Q51)</f>
        <v>6502034</v>
      </c>
    </row>
    <row r="38" spans="1:50" s="173" customFormat="1" ht="14.45" customHeight="1" x14ac:dyDescent="0.25">
      <c r="A38" s="325" t="s">
        <v>114</v>
      </c>
      <c r="B38" s="190" t="s">
        <v>2</v>
      </c>
      <c r="C38" s="190" t="s">
        <v>115</v>
      </c>
      <c r="D38" s="189" t="s">
        <v>116</v>
      </c>
      <c r="E38" s="189" t="s">
        <v>97</v>
      </c>
      <c r="F38" s="189" t="s">
        <v>108</v>
      </c>
      <c r="G38" s="189" t="s">
        <v>117</v>
      </c>
      <c r="H38" s="189" t="s">
        <v>118</v>
      </c>
      <c r="I38" s="189" t="s">
        <v>119</v>
      </c>
      <c r="J38" s="190" t="s">
        <v>746</v>
      </c>
      <c r="K38" s="189" t="s">
        <v>121</v>
      </c>
      <c r="L38" s="189">
        <v>1</v>
      </c>
      <c r="M38" s="625" t="s">
        <v>103</v>
      </c>
      <c r="N38" s="189" t="s">
        <v>122</v>
      </c>
      <c r="O38" s="189" t="s">
        <v>123</v>
      </c>
      <c r="P38" s="189" t="s">
        <v>105</v>
      </c>
      <c r="Q38" s="499">
        <f t="shared" si="1"/>
        <v>280000</v>
      </c>
      <c r="R38" s="489">
        <f t="shared" ref="R38:R148" si="11">SUM(X38:Z38)</f>
        <v>0</v>
      </c>
      <c r="S38" s="213">
        <f t="shared" si="9"/>
        <v>93333</v>
      </c>
      <c r="T38" s="213">
        <f>SUM(AD38:AF38)</f>
        <v>186667</v>
      </c>
      <c r="U38" s="213">
        <f t="shared" ref="U38:U148" si="12">SUM(AG38:AI38)</f>
        <v>0</v>
      </c>
      <c r="V38" s="213">
        <f t="shared" ref="V38:V148" si="13">SUM(AJ38:AL38)</f>
        <v>0</v>
      </c>
      <c r="W38" s="222">
        <f t="shared" si="8"/>
        <v>0</v>
      </c>
      <c r="X38" s="300">
        <v>0</v>
      </c>
      <c r="Y38" s="301"/>
      <c r="Z38" s="302"/>
      <c r="AA38" s="300">
        <v>93333</v>
      </c>
      <c r="AB38" s="301"/>
      <c r="AC38" s="302"/>
      <c r="AD38" s="339">
        <v>186667</v>
      </c>
      <c r="AE38" s="301"/>
      <c r="AF38" s="302"/>
      <c r="AG38" s="299"/>
      <c r="AH38" s="297"/>
      <c r="AI38" s="298"/>
      <c r="AJ38" s="296"/>
      <c r="AK38" s="297"/>
      <c r="AL38" s="297"/>
      <c r="AM38" s="300"/>
      <c r="AN38" s="301"/>
      <c r="AO38" s="302"/>
      <c r="AP38" s="191"/>
      <c r="AQ38" s="192" t="s">
        <v>124</v>
      </c>
      <c r="AR38" s="194"/>
      <c r="AS38" s="343"/>
      <c r="AT38" s="343"/>
    </row>
    <row r="39" spans="1:50" s="173" customFormat="1" ht="14.45" customHeight="1" x14ac:dyDescent="0.25">
      <c r="A39" s="325" t="s">
        <v>114</v>
      </c>
      <c r="B39" s="190" t="s">
        <v>2</v>
      </c>
      <c r="C39" s="190" t="s">
        <v>115</v>
      </c>
      <c r="D39" s="189" t="s">
        <v>116</v>
      </c>
      <c r="E39" s="189" t="s">
        <v>97</v>
      </c>
      <c r="F39" s="189" t="s">
        <v>108</v>
      </c>
      <c r="G39" s="189" t="s">
        <v>117</v>
      </c>
      <c r="H39" s="189" t="s">
        <v>118</v>
      </c>
      <c r="I39" s="189" t="s">
        <v>125</v>
      </c>
      <c r="J39" s="190" t="s">
        <v>126</v>
      </c>
      <c r="K39" s="189" t="s">
        <v>127</v>
      </c>
      <c r="L39" s="189">
        <v>1</v>
      </c>
      <c r="M39" s="625" t="s">
        <v>128</v>
      </c>
      <c r="N39" s="189" t="s">
        <v>122</v>
      </c>
      <c r="O39" s="189" t="s">
        <v>129</v>
      </c>
      <c r="P39" s="189" t="s">
        <v>105</v>
      </c>
      <c r="Q39" s="499">
        <f t="shared" ref="Q39" si="14">SUM(R39:W39)</f>
        <v>140000</v>
      </c>
      <c r="R39" s="489">
        <f t="shared" ref="R39:R40" si="15">SUM(X39:Z39)</f>
        <v>0</v>
      </c>
      <c r="S39" s="213">
        <f t="shared" si="9"/>
        <v>0</v>
      </c>
      <c r="T39" s="213">
        <f>SUM(AD39:AF39)</f>
        <v>0</v>
      </c>
      <c r="U39" s="213">
        <f>SUM(AG39:AI39)</f>
        <v>140000</v>
      </c>
      <c r="V39" s="213">
        <f t="shared" ref="V39:V40" si="16">SUM(AJ39:AL39)</f>
        <v>0</v>
      </c>
      <c r="W39" s="222">
        <f t="shared" ref="W39:W40" si="17">SUM(AM39:AO39)</f>
        <v>0</v>
      </c>
      <c r="X39" s="300">
        <v>0</v>
      </c>
      <c r="Y39" s="301"/>
      <c r="Z39" s="302"/>
      <c r="AA39" s="300">
        <v>0</v>
      </c>
      <c r="AB39" s="301"/>
      <c r="AC39" s="302"/>
      <c r="AD39" s="627">
        <v>0</v>
      </c>
      <c r="AE39" s="301"/>
      <c r="AF39" s="302"/>
      <c r="AG39" s="299">
        <v>140000</v>
      </c>
      <c r="AH39" s="297"/>
      <c r="AI39" s="298"/>
      <c r="AJ39" s="296"/>
      <c r="AK39" s="297"/>
      <c r="AL39" s="297"/>
      <c r="AM39" s="300"/>
      <c r="AN39" s="301"/>
      <c r="AO39" s="302"/>
      <c r="AP39" s="191"/>
      <c r="AQ39" s="192" t="s">
        <v>124</v>
      </c>
      <c r="AR39" s="194"/>
      <c r="AS39" s="343"/>
      <c r="AT39" s="343"/>
    </row>
    <row r="40" spans="1:50" s="173" customFormat="1" ht="180" x14ac:dyDescent="0.25">
      <c r="A40" s="325" t="s">
        <v>114</v>
      </c>
      <c r="B40" s="190" t="s">
        <v>2</v>
      </c>
      <c r="C40" s="190" t="s">
        <v>115</v>
      </c>
      <c r="D40" s="189" t="s">
        <v>116</v>
      </c>
      <c r="E40" s="189" t="s">
        <v>97</v>
      </c>
      <c r="F40" s="189" t="s">
        <v>108</v>
      </c>
      <c r="G40" s="189" t="s">
        <v>117</v>
      </c>
      <c r="H40" s="189" t="s">
        <v>118</v>
      </c>
      <c r="I40" s="189" t="s">
        <v>130</v>
      </c>
      <c r="J40" s="282" t="s">
        <v>131</v>
      </c>
      <c r="K40" s="189" t="s">
        <v>132</v>
      </c>
      <c r="L40" s="189">
        <v>1</v>
      </c>
      <c r="M40" s="625"/>
      <c r="N40" s="189" t="s">
        <v>122</v>
      </c>
      <c r="O40" s="189"/>
      <c r="P40" s="189" t="s">
        <v>133</v>
      </c>
      <c r="Q40" s="499">
        <f t="shared" si="1"/>
        <v>328000</v>
      </c>
      <c r="R40" s="489">
        <f t="shared" si="15"/>
        <v>328000</v>
      </c>
      <c r="S40" s="213">
        <f t="shared" si="9"/>
        <v>0</v>
      </c>
      <c r="T40" s="213">
        <f>SUM(AD40:AF40)</f>
        <v>0</v>
      </c>
      <c r="U40" s="213">
        <f>SUM(AG40:AI40)</f>
        <v>0</v>
      </c>
      <c r="V40" s="213">
        <f t="shared" si="16"/>
        <v>0</v>
      </c>
      <c r="W40" s="222">
        <f t="shared" si="17"/>
        <v>0</v>
      </c>
      <c r="X40" s="300">
        <v>328000</v>
      </c>
      <c r="Y40" s="301"/>
      <c r="Z40" s="302"/>
      <c r="AA40" s="300">
        <v>0</v>
      </c>
      <c r="AB40" s="301"/>
      <c r="AC40" s="302"/>
      <c r="AD40" s="339"/>
      <c r="AE40" s="301"/>
      <c r="AF40" s="302"/>
      <c r="AG40" s="299"/>
      <c r="AH40" s="297"/>
      <c r="AI40" s="298"/>
      <c r="AJ40" s="296"/>
      <c r="AK40" s="297"/>
      <c r="AL40" s="297"/>
      <c r="AM40" s="300"/>
      <c r="AN40" s="301"/>
      <c r="AO40" s="302"/>
      <c r="AP40" s="191"/>
      <c r="AQ40" s="192" t="s">
        <v>124</v>
      </c>
      <c r="AR40" s="194"/>
      <c r="AS40" s="343"/>
      <c r="AT40" s="343"/>
    </row>
    <row r="41" spans="1:50" s="173" customFormat="1" ht="14.45" customHeight="1" x14ac:dyDescent="0.25">
      <c r="A41" s="325" t="s">
        <v>114</v>
      </c>
      <c r="B41" s="190" t="s">
        <v>2</v>
      </c>
      <c r="C41" s="190" t="s">
        <v>115</v>
      </c>
      <c r="D41" s="189" t="s">
        <v>116</v>
      </c>
      <c r="E41" s="189" t="s">
        <v>97</v>
      </c>
      <c r="F41" s="189" t="s">
        <v>108</v>
      </c>
      <c r="G41" s="189" t="s">
        <v>117</v>
      </c>
      <c r="H41" s="189" t="s">
        <v>118</v>
      </c>
      <c r="I41" s="189" t="s">
        <v>134</v>
      </c>
      <c r="J41" s="282" t="s">
        <v>135</v>
      </c>
      <c r="K41" s="189" t="s">
        <v>136</v>
      </c>
      <c r="L41" s="189">
        <v>1</v>
      </c>
      <c r="M41" s="625" t="s">
        <v>128</v>
      </c>
      <c r="N41" s="189" t="s">
        <v>122</v>
      </c>
      <c r="O41" s="189" t="s">
        <v>129</v>
      </c>
      <c r="P41" s="189" t="s">
        <v>105</v>
      </c>
      <c r="Q41" s="499">
        <f t="shared" si="1"/>
        <v>125000</v>
      </c>
      <c r="R41" s="489">
        <f t="shared" si="11"/>
        <v>0</v>
      </c>
      <c r="S41" s="213">
        <f>SUM(AA41:AC41)</f>
        <v>0</v>
      </c>
      <c r="T41" s="213">
        <f t="shared" ref="T41:T148" si="18">SUM(AD41:AF41)</f>
        <v>0</v>
      </c>
      <c r="U41" s="213">
        <f t="shared" si="12"/>
        <v>125000</v>
      </c>
      <c r="V41" s="213">
        <f t="shared" si="13"/>
        <v>0</v>
      </c>
      <c r="W41" s="222">
        <f t="shared" si="8"/>
        <v>0</v>
      </c>
      <c r="X41" s="300"/>
      <c r="Y41" s="301"/>
      <c r="Z41" s="302"/>
      <c r="AA41" s="300">
        <v>0</v>
      </c>
      <c r="AB41" s="301"/>
      <c r="AC41" s="302"/>
      <c r="AD41" s="627">
        <v>0</v>
      </c>
      <c r="AE41" s="301"/>
      <c r="AF41" s="302"/>
      <c r="AG41" s="299">
        <v>125000</v>
      </c>
      <c r="AH41" s="303"/>
      <c r="AI41" s="298"/>
      <c r="AJ41" s="296"/>
      <c r="AK41" s="297"/>
      <c r="AL41" s="297"/>
      <c r="AM41" s="300"/>
      <c r="AN41" s="301"/>
      <c r="AO41" s="302"/>
      <c r="AP41" s="191"/>
      <c r="AQ41" s="192" t="s">
        <v>124</v>
      </c>
      <c r="AR41" s="194"/>
      <c r="AS41" s="343"/>
      <c r="AT41" s="343"/>
    </row>
    <row r="42" spans="1:50" s="128" customFormat="1" ht="14.45" customHeight="1" x14ac:dyDescent="0.25">
      <c r="A42" s="325" t="s">
        <v>114</v>
      </c>
      <c r="B42" s="190" t="s">
        <v>2</v>
      </c>
      <c r="C42" s="190" t="s">
        <v>115</v>
      </c>
      <c r="D42" s="189" t="s">
        <v>116</v>
      </c>
      <c r="E42" s="189" t="s">
        <v>97</v>
      </c>
      <c r="F42" s="189" t="s">
        <v>98</v>
      </c>
      <c r="G42" s="189" t="s">
        <v>117</v>
      </c>
      <c r="H42" s="189" t="s">
        <v>118</v>
      </c>
      <c r="I42" s="189" t="s">
        <v>137</v>
      </c>
      <c r="J42" s="190" t="s">
        <v>747</v>
      </c>
      <c r="K42" s="189" t="s">
        <v>139</v>
      </c>
      <c r="L42" s="189">
        <v>1</v>
      </c>
      <c r="M42" s="625" t="s">
        <v>103</v>
      </c>
      <c r="N42" s="189" t="s">
        <v>122</v>
      </c>
      <c r="O42" s="189" t="s">
        <v>129</v>
      </c>
      <c r="P42" s="189" t="s">
        <v>105</v>
      </c>
      <c r="Q42" s="499">
        <f t="shared" si="1"/>
        <v>752000</v>
      </c>
      <c r="R42" s="489">
        <f t="shared" si="11"/>
        <v>0</v>
      </c>
      <c r="S42" s="213">
        <f>SUM(AA42:AC42)</f>
        <v>94000</v>
      </c>
      <c r="T42" s="213">
        <f t="shared" si="18"/>
        <v>376000</v>
      </c>
      <c r="U42" s="213">
        <f t="shared" si="12"/>
        <v>282000</v>
      </c>
      <c r="V42" s="213">
        <f t="shared" si="13"/>
        <v>0</v>
      </c>
      <c r="W42" s="222">
        <f t="shared" si="8"/>
        <v>0</v>
      </c>
      <c r="X42" s="300"/>
      <c r="Y42" s="301"/>
      <c r="Z42" s="302"/>
      <c r="AA42" s="300">
        <v>94000</v>
      </c>
      <c r="AB42" s="301"/>
      <c r="AC42" s="302"/>
      <c r="AD42" s="339">
        <v>376000</v>
      </c>
      <c r="AE42" s="301"/>
      <c r="AF42" s="302"/>
      <c r="AG42" s="299">
        <v>282000</v>
      </c>
      <c r="AH42" s="297"/>
      <c r="AI42" s="298"/>
      <c r="AJ42" s="296"/>
      <c r="AK42" s="297"/>
      <c r="AL42" s="297"/>
      <c r="AM42" s="300"/>
      <c r="AN42" s="301"/>
      <c r="AO42" s="302"/>
      <c r="AP42" s="191"/>
      <c r="AQ42" s="192" t="s">
        <v>124</v>
      </c>
      <c r="AR42" s="194"/>
      <c r="AS42" s="264"/>
      <c r="AT42" s="264"/>
    </row>
    <row r="43" spans="1:50" s="173" customFormat="1" ht="14.45" customHeight="1" x14ac:dyDescent="0.25">
      <c r="A43" s="325" t="s">
        <v>114</v>
      </c>
      <c r="B43" s="190" t="s">
        <v>2</v>
      </c>
      <c r="C43" s="190" t="s">
        <v>115</v>
      </c>
      <c r="D43" s="189" t="s">
        <v>116</v>
      </c>
      <c r="E43" s="189" t="s">
        <v>97</v>
      </c>
      <c r="F43" s="189" t="s">
        <v>98</v>
      </c>
      <c r="G43" s="189" t="s">
        <v>117</v>
      </c>
      <c r="H43" s="189" t="s">
        <v>118</v>
      </c>
      <c r="I43" s="189" t="s">
        <v>140</v>
      </c>
      <c r="J43" s="190" t="s">
        <v>748</v>
      </c>
      <c r="K43" s="189" t="s">
        <v>142</v>
      </c>
      <c r="L43" s="189">
        <v>1</v>
      </c>
      <c r="M43" s="625" t="s">
        <v>103</v>
      </c>
      <c r="N43" s="189" t="s">
        <v>122</v>
      </c>
      <c r="O43" s="189" t="s">
        <v>129</v>
      </c>
      <c r="P43" s="189" t="s">
        <v>105</v>
      </c>
      <c r="Q43" s="499">
        <f t="shared" si="1"/>
        <v>1680000</v>
      </c>
      <c r="R43" s="489">
        <f t="shared" si="11"/>
        <v>0</v>
      </c>
      <c r="S43" s="213">
        <f>SUM(AA43:AC43)</f>
        <v>249000</v>
      </c>
      <c r="T43" s="213">
        <f t="shared" si="18"/>
        <v>420000</v>
      </c>
      <c r="U43" s="213">
        <f t="shared" si="12"/>
        <v>762000</v>
      </c>
      <c r="V43" s="213">
        <f t="shared" si="13"/>
        <v>249000</v>
      </c>
      <c r="W43" s="222">
        <f t="shared" si="8"/>
        <v>0</v>
      </c>
      <c r="X43" s="300"/>
      <c r="Y43" s="301"/>
      <c r="Z43" s="302"/>
      <c r="AA43" s="300">
        <v>249000</v>
      </c>
      <c r="AB43" s="301"/>
      <c r="AC43" s="302"/>
      <c r="AD43" s="339">
        <v>420000</v>
      </c>
      <c r="AE43" s="301"/>
      <c r="AF43" s="302"/>
      <c r="AG43" s="299">
        <v>762000</v>
      </c>
      <c r="AH43" s="297"/>
      <c r="AI43" s="298"/>
      <c r="AJ43" s="296">
        <v>249000</v>
      </c>
      <c r="AK43" s="297"/>
      <c r="AL43" s="297"/>
      <c r="AM43" s="300"/>
      <c r="AN43" s="301"/>
      <c r="AO43" s="302"/>
      <c r="AP43" s="191"/>
      <c r="AQ43" s="192" t="s">
        <v>124</v>
      </c>
      <c r="AR43" s="194"/>
      <c r="AS43" s="343"/>
      <c r="AT43" s="343"/>
    </row>
    <row r="44" spans="1:50" s="173" customFormat="1" ht="14.45" customHeight="1" x14ac:dyDescent="0.25">
      <c r="A44" s="325" t="s">
        <v>114</v>
      </c>
      <c r="B44" s="190" t="s">
        <v>2</v>
      </c>
      <c r="C44" s="190" t="s">
        <v>115</v>
      </c>
      <c r="D44" s="189" t="s">
        <v>116</v>
      </c>
      <c r="E44" s="189" t="s">
        <v>97</v>
      </c>
      <c r="F44" s="189" t="s">
        <v>98</v>
      </c>
      <c r="G44" s="189" t="s">
        <v>117</v>
      </c>
      <c r="H44" s="189" t="s">
        <v>118</v>
      </c>
      <c r="I44" s="189" t="s">
        <v>143</v>
      </c>
      <c r="J44" s="190" t="s">
        <v>144</v>
      </c>
      <c r="K44" s="189" t="s">
        <v>145</v>
      </c>
      <c r="L44" s="189">
        <v>1</v>
      </c>
      <c r="M44" s="625" t="s">
        <v>128</v>
      </c>
      <c r="N44" s="189" t="s">
        <v>122</v>
      </c>
      <c r="O44" s="189" t="s">
        <v>129</v>
      </c>
      <c r="P44" s="189" t="s">
        <v>105</v>
      </c>
      <c r="Q44" s="499">
        <f t="shared" si="1"/>
        <v>0</v>
      </c>
      <c r="R44" s="489">
        <f t="shared" ref="R44" si="19">SUM(X44:Z44)</f>
        <v>0</v>
      </c>
      <c r="S44" s="213">
        <f t="shared" ref="S44:S47" si="20">SUM(AA44:AC44)</f>
        <v>0</v>
      </c>
      <c r="T44" s="213">
        <f t="shared" si="18"/>
        <v>0</v>
      </c>
      <c r="U44" s="213">
        <f t="shared" ref="U44" si="21">SUM(AG44:AI44)</f>
        <v>0</v>
      </c>
      <c r="V44" s="213">
        <f t="shared" ref="V44" si="22">SUM(AJ44:AL44)</f>
        <v>0</v>
      </c>
      <c r="W44" s="222">
        <f t="shared" ref="W44" si="23">SUM(AM44:AO44)</f>
        <v>0</v>
      </c>
      <c r="X44" s="300"/>
      <c r="Y44" s="301"/>
      <c r="Z44" s="302"/>
      <c r="AA44" s="300"/>
      <c r="AB44" s="301"/>
      <c r="AC44" s="302"/>
      <c r="AD44" s="339"/>
      <c r="AE44" s="301"/>
      <c r="AF44" s="302"/>
      <c r="AG44" s="299"/>
      <c r="AH44" s="297"/>
      <c r="AI44" s="298"/>
      <c r="AJ44" s="296"/>
      <c r="AK44" s="297"/>
      <c r="AL44" s="297"/>
      <c r="AM44" s="300"/>
      <c r="AN44" s="301"/>
      <c r="AO44" s="302"/>
      <c r="AP44" s="191"/>
      <c r="AQ44" s="192" t="s">
        <v>124</v>
      </c>
      <c r="AR44" s="194"/>
      <c r="AS44" s="343"/>
      <c r="AT44" s="343"/>
    </row>
    <row r="45" spans="1:50" s="173" customFormat="1" ht="105" x14ac:dyDescent="0.25">
      <c r="A45" s="325" t="s">
        <v>146</v>
      </c>
      <c r="B45" s="190" t="s">
        <v>2</v>
      </c>
      <c r="C45" s="190" t="s">
        <v>115</v>
      </c>
      <c r="D45" s="189" t="s">
        <v>116</v>
      </c>
      <c r="E45" s="189" t="s">
        <v>97</v>
      </c>
      <c r="F45" s="189" t="s">
        <v>147</v>
      </c>
      <c r="G45" s="189" t="s">
        <v>117</v>
      </c>
      <c r="H45" s="189" t="s">
        <v>118</v>
      </c>
      <c r="I45" s="189" t="s">
        <v>148</v>
      </c>
      <c r="J45" s="282" t="s">
        <v>149</v>
      </c>
      <c r="K45" s="189" t="s">
        <v>150</v>
      </c>
      <c r="L45" s="189">
        <v>1</v>
      </c>
      <c r="M45" s="625"/>
      <c r="N45" s="189" t="s">
        <v>122</v>
      </c>
      <c r="O45" s="189"/>
      <c r="P45" s="189" t="s">
        <v>133</v>
      </c>
      <c r="Q45" s="499">
        <f t="shared" si="1"/>
        <v>304200</v>
      </c>
      <c r="R45" s="489">
        <f t="shared" si="11"/>
        <v>0</v>
      </c>
      <c r="S45" s="213">
        <f t="shared" si="20"/>
        <v>76250</v>
      </c>
      <c r="T45" s="213">
        <f t="shared" si="18"/>
        <v>227950</v>
      </c>
      <c r="U45" s="213">
        <f t="shared" si="12"/>
        <v>0</v>
      </c>
      <c r="V45" s="213">
        <f t="shared" si="13"/>
        <v>0</v>
      </c>
      <c r="W45" s="222">
        <f t="shared" si="8"/>
        <v>0</v>
      </c>
      <c r="X45" s="300"/>
      <c r="Y45" s="301"/>
      <c r="Z45" s="302"/>
      <c r="AA45" s="300">
        <v>76250</v>
      </c>
      <c r="AB45" s="301"/>
      <c r="AC45" s="302"/>
      <c r="AD45" s="339">
        <v>227950</v>
      </c>
      <c r="AE45" s="301"/>
      <c r="AF45" s="302"/>
      <c r="AG45" s="299"/>
      <c r="AH45" s="297"/>
      <c r="AI45" s="298"/>
      <c r="AJ45" s="296"/>
      <c r="AK45" s="297"/>
      <c r="AL45" s="297"/>
      <c r="AM45" s="300"/>
      <c r="AN45" s="301"/>
      <c r="AO45" s="302"/>
      <c r="AP45" s="191"/>
      <c r="AQ45" s="192" t="s">
        <v>124</v>
      </c>
      <c r="AR45" s="194"/>
      <c r="AS45" s="343"/>
      <c r="AT45" s="343"/>
    </row>
    <row r="46" spans="1:50" s="173" customFormat="1" ht="14.45" customHeight="1" x14ac:dyDescent="0.25">
      <c r="A46" s="325" t="s">
        <v>114</v>
      </c>
      <c r="B46" s="190" t="s">
        <v>2</v>
      </c>
      <c r="C46" s="190" t="s">
        <v>115</v>
      </c>
      <c r="D46" s="189" t="s">
        <v>116</v>
      </c>
      <c r="E46" s="189" t="s">
        <v>97</v>
      </c>
      <c r="F46" s="189" t="s">
        <v>151</v>
      </c>
      <c r="G46" s="189" t="s">
        <v>117</v>
      </c>
      <c r="H46" s="189" t="s">
        <v>118</v>
      </c>
      <c r="I46" s="189" t="s">
        <v>152</v>
      </c>
      <c r="J46" s="190" t="s">
        <v>749</v>
      </c>
      <c r="K46" s="189" t="s">
        <v>154</v>
      </c>
      <c r="L46" s="189">
        <v>1</v>
      </c>
      <c r="M46" s="625" t="s">
        <v>103</v>
      </c>
      <c r="N46" s="189" t="s">
        <v>122</v>
      </c>
      <c r="O46" s="189" t="s">
        <v>129</v>
      </c>
      <c r="P46" s="189" t="s">
        <v>105</v>
      </c>
      <c r="Q46" s="499">
        <f t="shared" si="1"/>
        <v>658000</v>
      </c>
      <c r="R46" s="489">
        <f t="shared" si="11"/>
        <v>0</v>
      </c>
      <c r="S46" s="213">
        <f t="shared" si="20"/>
        <v>188000</v>
      </c>
      <c r="T46" s="213">
        <f t="shared" si="18"/>
        <v>376000</v>
      </c>
      <c r="U46" s="213">
        <f t="shared" si="12"/>
        <v>94000</v>
      </c>
      <c r="V46" s="213">
        <f t="shared" si="13"/>
        <v>0</v>
      </c>
      <c r="W46" s="222">
        <f t="shared" si="8"/>
        <v>0</v>
      </c>
      <c r="X46" s="300">
        <v>0</v>
      </c>
      <c r="Y46" s="301"/>
      <c r="Z46" s="302"/>
      <c r="AA46" s="300">
        <v>188000</v>
      </c>
      <c r="AB46" s="301"/>
      <c r="AC46" s="302"/>
      <c r="AD46" s="339">
        <v>376000</v>
      </c>
      <c r="AE46" s="301"/>
      <c r="AF46" s="302"/>
      <c r="AG46" s="299">
        <v>94000</v>
      </c>
      <c r="AH46" s="297"/>
      <c r="AI46" s="298"/>
      <c r="AJ46" s="296"/>
      <c r="AK46" s="297"/>
      <c r="AL46" s="297"/>
      <c r="AM46" s="300"/>
      <c r="AN46" s="301"/>
      <c r="AO46" s="302"/>
      <c r="AP46" s="191"/>
      <c r="AQ46" s="192" t="s">
        <v>124</v>
      </c>
      <c r="AR46" s="194"/>
      <c r="AS46" s="343"/>
      <c r="AT46" s="343"/>
    </row>
    <row r="47" spans="1:50" s="173" customFormat="1" ht="105" x14ac:dyDescent="0.25">
      <c r="A47" s="325" t="s">
        <v>114</v>
      </c>
      <c r="B47" s="190" t="s">
        <v>2</v>
      </c>
      <c r="C47" s="190" t="s">
        <v>115</v>
      </c>
      <c r="D47" s="189" t="s">
        <v>116</v>
      </c>
      <c r="E47" s="189" t="s">
        <v>97</v>
      </c>
      <c r="F47" s="189" t="s">
        <v>155</v>
      </c>
      <c r="G47" s="189" t="s">
        <v>117</v>
      </c>
      <c r="H47" s="189" t="s">
        <v>118</v>
      </c>
      <c r="I47" s="189" t="s">
        <v>156</v>
      </c>
      <c r="J47" s="282" t="s">
        <v>157</v>
      </c>
      <c r="K47" s="189" t="s">
        <v>158</v>
      </c>
      <c r="L47" s="189">
        <v>1</v>
      </c>
      <c r="M47" s="625"/>
      <c r="N47" s="189" t="s">
        <v>122</v>
      </c>
      <c r="O47" s="189"/>
      <c r="P47" s="189" t="s">
        <v>18</v>
      </c>
      <c r="Q47" s="499">
        <f t="shared" si="1"/>
        <v>1154000</v>
      </c>
      <c r="R47" s="489">
        <f t="shared" si="11"/>
        <v>0</v>
      </c>
      <c r="S47" s="213">
        <f t="shared" si="20"/>
        <v>804000</v>
      </c>
      <c r="T47" s="213">
        <f t="shared" si="18"/>
        <v>350000</v>
      </c>
      <c r="U47" s="213">
        <f t="shared" si="12"/>
        <v>0</v>
      </c>
      <c r="V47" s="213">
        <f t="shared" si="13"/>
        <v>0</v>
      </c>
      <c r="W47" s="222">
        <f t="shared" si="8"/>
        <v>0</v>
      </c>
      <c r="X47" s="300">
        <v>0</v>
      </c>
      <c r="Y47" s="301"/>
      <c r="Z47" s="302"/>
      <c r="AA47" s="300">
        <v>804000</v>
      </c>
      <c r="AB47" s="301"/>
      <c r="AC47" s="302"/>
      <c r="AD47" s="339">
        <v>350000</v>
      </c>
      <c r="AE47" s="301"/>
      <c r="AF47" s="302"/>
      <c r="AG47" s="299"/>
      <c r="AH47" s="297"/>
      <c r="AI47" s="298"/>
      <c r="AJ47" s="296"/>
      <c r="AK47" s="297"/>
      <c r="AL47" s="297"/>
      <c r="AM47" s="300"/>
      <c r="AN47" s="301"/>
      <c r="AO47" s="302"/>
      <c r="AP47" s="191"/>
      <c r="AQ47" s="192" t="s">
        <v>124</v>
      </c>
      <c r="AR47" s="194"/>
      <c r="AS47" s="343"/>
      <c r="AT47" s="343"/>
    </row>
    <row r="48" spans="1:50" s="128" customFormat="1" ht="150" x14ac:dyDescent="0.25">
      <c r="A48" s="325" t="s">
        <v>114</v>
      </c>
      <c r="B48" s="190" t="s">
        <v>2</v>
      </c>
      <c r="C48" s="190" t="s">
        <v>115</v>
      </c>
      <c r="D48" s="189" t="s">
        <v>116</v>
      </c>
      <c r="E48" s="189" t="s">
        <v>97</v>
      </c>
      <c r="F48" s="189" t="s">
        <v>147</v>
      </c>
      <c r="G48" s="189" t="s">
        <v>117</v>
      </c>
      <c r="H48" s="189" t="s">
        <v>118</v>
      </c>
      <c r="I48" s="189" t="s">
        <v>159</v>
      </c>
      <c r="J48" s="282" t="s">
        <v>160</v>
      </c>
      <c r="K48" s="189" t="s">
        <v>161</v>
      </c>
      <c r="L48" s="189">
        <v>1</v>
      </c>
      <c r="M48" s="625"/>
      <c r="N48" s="189" t="s">
        <v>122</v>
      </c>
      <c r="O48" s="189"/>
      <c r="P48" s="189" t="s">
        <v>133</v>
      </c>
      <c r="Q48" s="499">
        <f t="shared" si="1"/>
        <v>150000</v>
      </c>
      <c r="R48" s="489">
        <f t="shared" si="11"/>
        <v>150000</v>
      </c>
      <c r="S48" s="213">
        <f t="shared" ref="S48:S148" si="24">SUM(AA48:AC48)</f>
        <v>0</v>
      </c>
      <c r="T48" s="213">
        <f t="shared" si="18"/>
        <v>0</v>
      </c>
      <c r="U48" s="213">
        <f t="shared" si="12"/>
        <v>0</v>
      </c>
      <c r="V48" s="213">
        <f t="shared" si="13"/>
        <v>0</v>
      </c>
      <c r="W48" s="222">
        <f t="shared" si="8"/>
        <v>0</v>
      </c>
      <c r="X48" s="300">
        <v>150000</v>
      </c>
      <c r="Y48" s="301"/>
      <c r="Z48" s="302"/>
      <c r="AA48" s="300"/>
      <c r="AB48" s="301"/>
      <c r="AC48" s="302"/>
      <c r="AD48" s="339"/>
      <c r="AE48" s="301"/>
      <c r="AF48" s="302"/>
      <c r="AG48" s="299"/>
      <c r="AH48" s="297"/>
      <c r="AI48" s="298"/>
      <c r="AJ48" s="296"/>
      <c r="AK48" s="297"/>
      <c r="AL48" s="297"/>
      <c r="AM48" s="300"/>
      <c r="AN48" s="301"/>
      <c r="AO48" s="302"/>
      <c r="AP48" s="191"/>
      <c r="AQ48" s="192" t="s">
        <v>124</v>
      </c>
      <c r="AR48" s="194"/>
      <c r="AS48" s="264"/>
      <c r="AT48" s="264"/>
    </row>
    <row r="49" spans="1:46" s="173" customFormat="1" ht="14.45" customHeight="1" x14ac:dyDescent="0.25">
      <c r="A49" s="325" t="s">
        <v>146</v>
      </c>
      <c r="B49" s="190" t="s">
        <v>2</v>
      </c>
      <c r="C49" s="190" t="s">
        <v>115</v>
      </c>
      <c r="D49" s="189" t="s">
        <v>116</v>
      </c>
      <c r="E49" s="189" t="s">
        <v>97</v>
      </c>
      <c r="F49" s="189" t="s">
        <v>98</v>
      </c>
      <c r="G49" s="189" t="s">
        <v>117</v>
      </c>
      <c r="H49" s="189" t="s">
        <v>118</v>
      </c>
      <c r="I49" s="189" t="s">
        <v>162</v>
      </c>
      <c r="J49" s="282" t="s">
        <v>163</v>
      </c>
      <c r="K49" s="189" t="s">
        <v>164</v>
      </c>
      <c r="L49" s="189">
        <v>1</v>
      </c>
      <c r="M49" s="625" t="s">
        <v>128</v>
      </c>
      <c r="N49" s="189" t="s">
        <v>122</v>
      </c>
      <c r="O49" s="189" t="s">
        <v>129</v>
      </c>
      <c r="P49" s="189" t="s">
        <v>105</v>
      </c>
      <c r="Q49" s="499">
        <f t="shared" ref="Q49" si="25">SUM(R49:W49)</f>
        <v>456000</v>
      </c>
      <c r="R49" s="489">
        <f t="shared" ref="R49" si="26">SUM(X49:Z49)</f>
        <v>0</v>
      </c>
      <c r="S49" s="213">
        <f t="shared" si="24"/>
        <v>0</v>
      </c>
      <c r="T49" s="213">
        <f t="shared" si="18"/>
        <v>0</v>
      </c>
      <c r="U49" s="213">
        <f t="shared" si="12"/>
        <v>456000</v>
      </c>
      <c r="V49" s="213">
        <f t="shared" ref="V49" si="27">SUM(AJ49:AL49)</f>
        <v>0</v>
      </c>
      <c r="W49" s="222">
        <f t="shared" ref="W49" si="28">SUM(AM49:AO49)</f>
        <v>0</v>
      </c>
      <c r="X49" s="300"/>
      <c r="Y49" s="301"/>
      <c r="Z49" s="302"/>
      <c r="AA49" s="300">
        <v>0</v>
      </c>
      <c r="AB49" s="301"/>
      <c r="AC49" s="302"/>
      <c r="AD49" s="627">
        <v>0</v>
      </c>
      <c r="AE49" s="301">
        <v>0</v>
      </c>
      <c r="AF49" s="302"/>
      <c r="AG49" s="299">
        <v>456000</v>
      </c>
      <c r="AH49" s="297">
        <v>0</v>
      </c>
      <c r="AI49" s="298"/>
      <c r="AJ49" s="296"/>
      <c r="AK49" s="297"/>
      <c r="AL49" s="297"/>
      <c r="AM49" s="300"/>
      <c r="AN49" s="301"/>
      <c r="AO49" s="302"/>
      <c r="AP49" s="191"/>
      <c r="AQ49" s="192" t="s">
        <v>124</v>
      </c>
      <c r="AR49" s="194"/>
      <c r="AS49" s="343"/>
      <c r="AT49" s="343"/>
    </row>
    <row r="50" spans="1:46" s="542" customFormat="1" ht="14.45" customHeight="1" x14ac:dyDescent="0.25">
      <c r="A50" s="523" t="s">
        <v>114</v>
      </c>
      <c r="B50" s="513" t="s">
        <v>2</v>
      </c>
      <c r="C50" s="513" t="s">
        <v>165</v>
      </c>
      <c r="D50" s="516" t="s">
        <v>116</v>
      </c>
      <c r="E50" s="516" t="s">
        <v>97</v>
      </c>
      <c r="F50" s="516" t="s">
        <v>147</v>
      </c>
      <c r="G50" s="516" t="s">
        <v>99</v>
      </c>
      <c r="H50" s="516" t="s">
        <v>118</v>
      </c>
      <c r="I50" s="516" t="s">
        <v>166</v>
      </c>
      <c r="J50" s="513" t="s">
        <v>167</v>
      </c>
      <c r="K50" s="516" t="s">
        <v>168</v>
      </c>
      <c r="L50" s="516">
        <v>1</v>
      </c>
      <c r="M50" s="514" t="s">
        <v>103</v>
      </c>
      <c r="N50" s="516" t="s">
        <v>122</v>
      </c>
      <c r="O50" s="516"/>
      <c r="P50" s="516" t="s">
        <v>105</v>
      </c>
      <c r="Q50" s="543">
        <f t="shared" ref="Q50:Q59" si="29">SUM(R50:W50)</f>
        <v>144504</v>
      </c>
      <c r="R50" s="544">
        <f t="shared" ref="R50:R59" si="30">SUM(X50:Z50)</f>
        <v>0</v>
      </c>
      <c r="S50" s="505">
        <f t="shared" ref="S50:S59" si="31">SUM(AA50:AC50)</f>
        <v>0</v>
      </c>
      <c r="T50" s="505">
        <f t="shared" ref="T50:T59" si="32">SUM(AD50:AF50)</f>
        <v>48168</v>
      </c>
      <c r="U50" s="505">
        <f t="shared" ref="U50:U59" si="33">SUM(AG50:AI50)</f>
        <v>48168</v>
      </c>
      <c r="V50" s="505">
        <f t="shared" ref="V50:V59" si="34">SUM(AJ50:AL50)</f>
        <v>48168</v>
      </c>
      <c r="W50" s="501">
        <f t="shared" ref="W50:W59" si="35">SUM(AM50:AO50)</f>
        <v>0</v>
      </c>
      <c r="X50" s="300"/>
      <c r="Y50" s="301"/>
      <c r="Z50" s="302"/>
      <c r="AA50" s="300"/>
      <c r="AB50" s="301"/>
      <c r="AC50" s="302"/>
      <c r="AD50" s="300"/>
      <c r="AE50" s="301">
        <v>48168</v>
      </c>
      <c r="AF50" s="302"/>
      <c r="AG50" s="534"/>
      <c r="AH50" s="517">
        <v>48168</v>
      </c>
      <c r="AI50" s="536"/>
      <c r="AJ50" s="537"/>
      <c r="AK50" s="517">
        <v>48168</v>
      </c>
      <c r="AL50" s="535"/>
      <c r="AM50" s="504"/>
      <c r="AN50" s="517"/>
      <c r="AO50" s="518"/>
      <c r="AP50" s="538"/>
      <c r="AQ50" s="545"/>
      <c r="AR50" s="540"/>
      <c r="AS50" s="546"/>
      <c r="AT50" s="546"/>
    </row>
    <row r="51" spans="1:46" s="542" customFormat="1" ht="14.45" customHeight="1" x14ac:dyDescent="0.25">
      <c r="A51" s="523" t="s">
        <v>114</v>
      </c>
      <c r="B51" s="513" t="s">
        <v>115</v>
      </c>
      <c r="C51" s="513" t="s">
        <v>115</v>
      </c>
      <c r="D51" s="516" t="s">
        <v>169</v>
      </c>
      <c r="E51" s="516" t="s">
        <v>97</v>
      </c>
      <c r="F51" s="516" t="s">
        <v>98</v>
      </c>
      <c r="G51" s="516" t="s">
        <v>117</v>
      </c>
      <c r="H51" s="516" t="s">
        <v>118</v>
      </c>
      <c r="I51" s="516" t="s">
        <v>170</v>
      </c>
      <c r="J51" s="513" t="s">
        <v>171</v>
      </c>
      <c r="K51" s="516" t="s">
        <v>172</v>
      </c>
      <c r="L51" s="516">
        <v>1</v>
      </c>
      <c r="M51" s="514" t="s">
        <v>103</v>
      </c>
      <c r="N51" s="516" t="s">
        <v>122</v>
      </c>
      <c r="O51" s="516"/>
      <c r="P51" s="516" t="s">
        <v>105</v>
      </c>
      <c r="Q51" s="543">
        <f t="shared" si="29"/>
        <v>330330</v>
      </c>
      <c r="R51" s="544">
        <f t="shared" si="30"/>
        <v>0</v>
      </c>
      <c r="S51" s="505">
        <f t="shared" si="31"/>
        <v>0</v>
      </c>
      <c r="T51" s="505">
        <f t="shared" si="32"/>
        <v>96000</v>
      </c>
      <c r="U51" s="505">
        <f t="shared" si="33"/>
        <v>117165</v>
      </c>
      <c r="V51" s="505">
        <f t="shared" si="34"/>
        <v>117165</v>
      </c>
      <c r="W51" s="501">
        <f t="shared" si="35"/>
        <v>0</v>
      </c>
      <c r="X51" s="300"/>
      <c r="Y51" s="301"/>
      <c r="Z51" s="302"/>
      <c r="AA51" s="300"/>
      <c r="AB51" s="301"/>
      <c r="AC51" s="302"/>
      <c r="AD51" s="300"/>
      <c r="AE51" s="517">
        <v>96000</v>
      </c>
      <c r="AF51" s="302"/>
      <c r="AG51" s="534"/>
      <c r="AH51" s="517">
        <v>117165</v>
      </c>
      <c r="AI51" s="536"/>
      <c r="AJ51" s="537"/>
      <c r="AK51" s="517">
        <v>117165</v>
      </c>
      <c r="AL51" s="535"/>
      <c r="AM51" s="504"/>
      <c r="AN51" s="517"/>
      <c r="AO51" s="518"/>
      <c r="AP51" s="538"/>
      <c r="AQ51" s="545"/>
      <c r="AR51" s="540"/>
      <c r="AS51" s="546"/>
      <c r="AT51" s="546"/>
    </row>
    <row r="52" spans="1:46" s="128" customFormat="1" ht="15.75" x14ac:dyDescent="0.25">
      <c r="A52" s="325"/>
      <c r="B52" s="190"/>
      <c r="C52" s="190"/>
      <c r="D52" s="189"/>
      <c r="E52" s="189"/>
      <c r="F52" s="189"/>
      <c r="G52" s="189"/>
      <c r="H52" s="189"/>
      <c r="I52" s="189"/>
      <c r="J52" s="190"/>
      <c r="K52" s="189"/>
      <c r="L52" s="189"/>
      <c r="M52" s="625"/>
      <c r="N52" s="189"/>
      <c r="O52" s="189"/>
      <c r="P52" s="189"/>
      <c r="Q52" s="499">
        <f t="shared" si="29"/>
        <v>0</v>
      </c>
      <c r="R52" s="489">
        <f t="shared" si="30"/>
        <v>0</v>
      </c>
      <c r="S52" s="213">
        <f t="shared" si="31"/>
        <v>0</v>
      </c>
      <c r="T52" s="213">
        <f t="shared" si="32"/>
        <v>0</v>
      </c>
      <c r="U52" s="213">
        <f t="shared" si="33"/>
        <v>0</v>
      </c>
      <c r="V52" s="213">
        <f t="shared" si="34"/>
        <v>0</v>
      </c>
      <c r="W52" s="222">
        <f t="shared" si="35"/>
        <v>0</v>
      </c>
      <c r="X52" s="300"/>
      <c r="Y52" s="301"/>
      <c r="Z52" s="302"/>
      <c r="AA52" s="300"/>
      <c r="AB52" s="301"/>
      <c r="AC52" s="302"/>
      <c r="AD52" s="339"/>
      <c r="AE52" s="301"/>
      <c r="AF52" s="302"/>
      <c r="AG52" s="299"/>
      <c r="AH52" s="297"/>
      <c r="AI52" s="298"/>
      <c r="AJ52" s="296"/>
      <c r="AK52" s="297"/>
      <c r="AL52" s="297"/>
      <c r="AM52" s="300"/>
      <c r="AN52" s="301"/>
      <c r="AO52" s="302"/>
      <c r="AP52" s="191"/>
      <c r="AQ52" s="192"/>
      <c r="AR52" s="194"/>
      <c r="AS52" s="264"/>
      <c r="AT52" s="264"/>
    </row>
    <row r="53" spans="1:46" s="128" customFormat="1" ht="15.75" x14ac:dyDescent="0.25">
      <c r="A53" s="325"/>
      <c r="B53" s="190"/>
      <c r="C53" s="190"/>
      <c r="D53" s="189"/>
      <c r="E53" s="189"/>
      <c r="F53" s="189"/>
      <c r="G53" s="189"/>
      <c r="H53" s="189"/>
      <c r="I53" s="189"/>
      <c r="J53" s="190"/>
      <c r="K53" s="189"/>
      <c r="L53" s="189"/>
      <c r="M53" s="625"/>
      <c r="N53" s="189"/>
      <c r="O53" s="189"/>
      <c r="P53" s="189"/>
      <c r="Q53" s="499">
        <f t="shared" si="29"/>
        <v>0</v>
      </c>
      <c r="R53" s="489">
        <f t="shared" si="30"/>
        <v>0</v>
      </c>
      <c r="S53" s="213">
        <f t="shared" si="31"/>
        <v>0</v>
      </c>
      <c r="T53" s="213">
        <f t="shared" si="32"/>
        <v>0</v>
      </c>
      <c r="U53" s="213">
        <f t="shared" si="33"/>
        <v>0</v>
      </c>
      <c r="V53" s="213">
        <f t="shared" si="34"/>
        <v>0</v>
      </c>
      <c r="W53" s="222">
        <f t="shared" si="35"/>
        <v>0</v>
      </c>
      <c r="X53" s="300"/>
      <c r="Y53" s="301"/>
      <c r="Z53" s="302"/>
      <c r="AA53" s="300"/>
      <c r="AB53" s="301"/>
      <c r="AC53" s="302"/>
      <c r="AD53" s="339"/>
      <c r="AE53" s="301"/>
      <c r="AF53" s="302"/>
      <c r="AG53" s="299"/>
      <c r="AH53" s="297"/>
      <c r="AI53" s="298"/>
      <c r="AJ53" s="296"/>
      <c r="AK53" s="297"/>
      <c r="AL53" s="297"/>
      <c r="AM53" s="300"/>
      <c r="AN53" s="301"/>
      <c r="AO53" s="302"/>
      <c r="AP53" s="191"/>
      <c r="AQ53" s="192"/>
      <c r="AR53" s="194"/>
      <c r="AS53" s="264"/>
      <c r="AT53" s="264"/>
    </row>
    <row r="54" spans="1:46" s="128" customFormat="1" ht="15.75" x14ac:dyDescent="0.25">
      <c r="A54" s="325"/>
      <c r="B54" s="190"/>
      <c r="C54" s="190"/>
      <c r="D54" s="189"/>
      <c r="E54" s="189"/>
      <c r="F54" s="189"/>
      <c r="G54" s="189"/>
      <c r="H54" s="189"/>
      <c r="I54" s="189"/>
      <c r="J54" s="190"/>
      <c r="K54" s="189"/>
      <c r="L54" s="189"/>
      <c r="M54" s="625"/>
      <c r="N54" s="189"/>
      <c r="O54" s="189"/>
      <c r="P54" s="189"/>
      <c r="Q54" s="499">
        <f t="shared" si="29"/>
        <v>0</v>
      </c>
      <c r="R54" s="489">
        <f t="shared" si="30"/>
        <v>0</v>
      </c>
      <c r="S54" s="213">
        <f t="shared" si="31"/>
        <v>0</v>
      </c>
      <c r="T54" s="213">
        <f t="shared" si="32"/>
        <v>0</v>
      </c>
      <c r="U54" s="213">
        <f t="shared" si="33"/>
        <v>0</v>
      </c>
      <c r="V54" s="213">
        <f t="shared" si="34"/>
        <v>0</v>
      </c>
      <c r="W54" s="222">
        <f t="shared" si="35"/>
        <v>0</v>
      </c>
      <c r="X54" s="300"/>
      <c r="Y54" s="301"/>
      <c r="Z54" s="302"/>
      <c r="AA54" s="300"/>
      <c r="AB54" s="301"/>
      <c r="AC54" s="302"/>
      <c r="AD54" s="339"/>
      <c r="AE54" s="301"/>
      <c r="AF54" s="302"/>
      <c r="AG54" s="299"/>
      <c r="AH54" s="297"/>
      <c r="AI54" s="298"/>
      <c r="AJ54" s="296"/>
      <c r="AK54" s="297"/>
      <c r="AL54" s="297"/>
      <c r="AM54" s="300"/>
      <c r="AN54" s="301"/>
      <c r="AO54" s="302"/>
      <c r="AP54" s="191"/>
      <c r="AQ54" s="192"/>
      <c r="AR54" s="194"/>
      <c r="AS54" s="264"/>
      <c r="AT54" s="264"/>
    </row>
    <row r="55" spans="1:46" s="128" customFormat="1" ht="15.75" x14ac:dyDescent="0.25">
      <c r="A55" s="325"/>
      <c r="B55" s="190"/>
      <c r="C55" s="190"/>
      <c r="D55" s="189"/>
      <c r="E55" s="189"/>
      <c r="F55" s="189"/>
      <c r="G55" s="189"/>
      <c r="H55" s="189"/>
      <c r="I55" s="189"/>
      <c r="J55" s="190"/>
      <c r="K55" s="189"/>
      <c r="L55" s="189"/>
      <c r="M55" s="625"/>
      <c r="N55" s="189"/>
      <c r="O55" s="189"/>
      <c r="P55" s="189"/>
      <c r="Q55" s="499">
        <f t="shared" si="29"/>
        <v>0</v>
      </c>
      <c r="R55" s="489">
        <f t="shared" si="30"/>
        <v>0</v>
      </c>
      <c r="S55" s="213">
        <f t="shared" si="31"/>
        <v>0</v>
      </c>
      <c r="T55" s="213">
        <f t="shared" si="32"/>
        <v>0</v>
      </c>
      <c r="U55" s="213">
        <f t="shared" si="33"/>
        <v>0</v>
      </c>
      <c r="V55" s="213">
        <f t="shared" si="34"/>
        <v>0</v>
      </c>
      <c r="W55" s="222">
        <f t="shared" si="35"/>
        <v>0</v>
      </c>
      <c r="X55" s="300"/>
      <c r="Y55" s="301"/>
      <c r="Z55" s="302"/>
      <c r="AA55" s="300"/>
      <c r="AB55" s="301"/>
      <c r="AC55" s="302"/>
      <c r="AD55" s="339"/>
      <c r="AE55" s="301"/>
      <c r="AF55" s="302"/>
      <c r="AG55" s="299"/>
      <c r="AH55" s="297"/>
      <c r="AI55" s="298"/>
      <c r="AJ55" s="296"/>
      <c r="AK55" s="297"/>
      <c r="AL55" s="297"/>
      <c r="AM55" s="300"/>
      <c r="AN55" s="301"/>
      <c r="AO55" s="302"/>
      <c r="AP55" s="191"/>
      <c r="AQ55" s="192"/>
      <c r="AR55" s="194"/>
      <c r="AS55" s="264"/>
      <c r="AT55" s="264"/>
    </row>
    <row r="56" spans="1:46" s="128" customFormat="1" ht="15.75" x14ac:dyDescent="0.25">
      <c r="A56" s="325"/>
      <c r="B56" s="190"/>
      <c r="C56" s="190"/>
      <c r="D56" s="189"/>
      <c r="E56" s="189"/>
      <c r="F56" s="189"/>
      <c r="G56" s="189"/>
      <c r="H56" s="189"/>
      <c r="I56" s="189"/>
      <c r="J56" s="190"/>
      <c r="K56" s="189"/>
      <c r="L56" s="189"/>
      <c r="M56" s="625"/>
      <c r="N56" s="189"/>
      <c r="O56" s="189"/>
      <c r="P56" s="189"/>
      <c r="Q56" s="499">
        <f t="shared" si="29"/>
        <v>0</v>
      </c>
      <c r="R56" s="489">
        <f t="shared" si="30"/>
        <v>0</v>
      </c>
      <c r="S56" s="213">
        <f t="shared" si="31"/>
        <v>0</v>
      </c>
      <c r="T56" s="213">
        <f t="shared" si="32"/>
        <v>0</v>
      </c>
      <c r="U56" s="213">
        <f t="shared" si="33"/>
        <v>0</v>
      </c>
      <c r="V56" s="213">
        <f t="shared" si="34"/>
        <v>0</v>
      </c>
      <c r="W56" s="222">
        <f t="shared" si="35"/>
        <v>0</v>
      </c>
      <c r="X56" s="300"/>
      <c r="Y56" s="301"/>
      <c r="Z56" s="302"/>
      <c r="AA56" s="300"/>
      <c r="AB56" s="301"/>
      <c r="AC56" s="302"/>
      <c r="AD56" s="339"/>
      <c r="AE56" s="301"/>
      <c r="AF56" s="302"/>
      <c r="AG56" s="299"/>
      <c r="AH56" s="297"/>
      <c r="AI56" s="298"/>
      <c r="AJ56" s="296"/>
      <c r="AK56" s="297"/>
      <c r="AL56" s="297"/>
      <c r="AM56" s="300"/>
      <c r="AN56" s="301"/>
      <c r="AO56" s="302"/>
      <c r="AP56" s="191"/>
      <c r="AQ56" s="192"/>
      <c r="AR56" s="194"/>
      <c r="AS56" s="264"/>
      <c r="AT56" s="264"/>
    </row>
    <row r="57" spans="1:46" s="128" customFormat="1" ht="15.75" x14ac:dyDescent="0.25">
      <c r="A57" s="325"/>
      <c r="B57" s="190"/>
      <c r="C57" s="190"/>
      <c r="D57" s="189"/>
      <c r="E57" s="189"/>
      <c r="F57" s="189"/>
      <c r="G57" s="189"/>
      <c r="H57" s="189"/>
      <c r="I57" s="189"/>
      <c r="J57" s="190"/>
      <c r="K57" s="189"/>
      <c r="L57" s="189"/>
      <c r="M57" s="625"/>
      <c r="N57" s="189"/>
      <c r="O57" s="189"/>
      <c r="P57" s="189"/>
      <c r="Q57" s="499">
        <f t="shared" si="29"/>
        <v>0</v>
      </c>
      <c r="R57" s="489">
        <f t="shared" si="30"/>
        <v>0</v>
      </c>
      <c r="S57" s="213">
        <f t="shared" si="31"/>
        <v>0</v>
      </c>
      <c r="T57" s="213">
        <f t="shared" si="32"/>
        <v>0</v>
      </c>
      <c r="U57" s="213">
        <f t="shared" si="33"/>
        <v>0</v>
      </c>
      <c r="V57" s="213">
        <f t="shared" si="34"/>
        <v>0</v>
      </c>
      <c r="W57" s="222">
        <f t="shared" si="35"/>
        <v>0</v>
      </c>
      <c r="X57" s="300"/>
      <c r="Y57" s="301"/>
      <c r="Z57" s="302"/>
      <c r="AA57" s="300"/>
      <c r="AB57" s="301"/>
      <c r="AC57" s="302"/>
      <c r="AD57" s="339"/>
      <c r="AE57" s="301"/>
      <c r="AF57" s="302"/>
      <c r="AG57" s="299"/>
      <c r="AH57" s="297"/>
      <c r="AI57" s="298"/>
      <c r="AJ57" s="296"/>
      <c r="AK57" s="297"/>
      <c r="AL57" s="297"/>
      <c r="AM57" s="300"/>
      <c r="AN57" s="301"/>
      <c r="AO57" s="302"/>
      <c r="AP57" s="191"/>
      <c r="AQ57" s="192"/>
      <c r="AR57" s="194"/>
      <c r="AS57" s="264"/>
      <c r="AT57" s="264"/>
    </row>
    <row r="58" spans="1:46" s="128" customFormat="1" ht="15.75" x14ac:dyDescent="0.25">
      <c r="A58" s="325"/>
      <c r="B58" s="190"/>
      <c r="C58" s="190"/>
      <c r="D58" s="189"/>
      <c r="E58" s="189"/>
      <c r="F58" s="189"/>
      <c r="G58" s="189"/>
      <c r="H58" s="189"/>
      <c r="I58" s="189"/>
      <c r="J58" s="190"/>
      <c r="K58" s="189"/>
      <c r="L58" s="189"/>
      <c r="M58" s="625"/>
      <c r="N58" s="189"/>
      <c r="O58" s="189"/>
      <c r="P58" s="189"/>
      <c r="Q58" s="499">
        <f t="shared" si="29"/>
        <v>0</v>
      </c>
      <c r="R58" s="489">
        <f t="shared" si="30"/>
        <v>0</v>
      </c>
      <c r="S58" s="213">
        <f t="shared" si="31"/>
        <v>0</v>
      </c>
      <c r="T58" s="213">
        <f t="shared" si="32"/>
        <v>0</v>
      </c>
      <c r="U58" s="213">
        <f t="shared" si="33"/>
        <v>0</v>
      </c>
      <c r="V58" s="213">
        <f t="shared" si="34"/>
        <v>0</v>
      </c>
      <c r="W58" s="222">
        <f t="shared" si="35"/>
        <v>0</v>
      </c>
      <c r="X58" s="300"/>
      <c r="Y58" s="301"/>
      <c r="Z58" s="302"/>
      <c r="AA58" s="300"/>
      <c r="AB58" s="301"/>
      <c r="AC58" s="302"/>
      <c r="AD58" s="339"/>
      <c r="AE58" s="301"/>
      <c r="AF58" s="302"/>
      <c r="AG58" s="299"/>
      <c r="AH58" s="297"/>
      <c r="AI58" s="298"/>
      <c r="AJ58" s="296"/>
      <c r="AK58" s="297"/>
      <c r="AL58" s="297"/>
      <c r="AM58" s="300"/>
      <c r="AN58" s="301"/>
      <c r="AO58" s="302"/>
      <c r="AP58" s="191"/>
      <c r="AQ58" s="192"/>
      <c r="AR58" s="194"/>
      <c r="AS58" s="264"/>
      <c r="AT58" s="264"/>
    </row>
    <row r="59" spans="1:46" s="128" customFormat="1" ht="15.75" x14ac:dyDescent="0.25">
      <c r="A59" s="325"/>
      <c r="B59" s="190"/>
      <c r="C59" s="190"/>
      <c r="D59" s="189"/>
      <c r="E59" s="189"/>
      <c r="F59" s="189"/>
      <c r="G59" s="189"/>
      <c r="H59" s="189"/>
      <c r="I59" s="189"/>
      <c r="J59" s="190"/>
      <c r="K59" s="189"/>
      <c r="L59" s="189"/>
      <c r="M59" s="625"/>
      <c r="N59" s="189"/>
      <c r="O59" s="189"/>
      <c r="P59" s="189"/>
      <c r="Q59" s="499">
        <f t="shared" si="29"/>
        <v>0</v>
      </c>
      <c r="R59" s="489">
        <f t="shared" si="30"/>
        <v>0</v>
      </c>
      <c r="S59" s="213">
        <f t="shared" si="31"/>
        <v>0</v>
      </c>
      <c r="T59" s="213">
        <f t="shared" si="32"/>
        <v>0</v>
      </c>
      <c r="U59" s="213">
        <f t="shared" si="33"/>
        <v>0</v>
      </c>
      <c r="V59" s="213">
        <f t="shared" si="34"/>
        <v>0</v>
      </c>
      <c r="W59" s="222">
        <f t="shared" si="35"/>
        <v>0</v>
      </c>
      <c r="X59" s="300"/>
      <c r="Y59" s="301"/>
      <c r="Z59" s="302"/>
      <c r="AA59" s="300"/>
      <c r="AB59" s="301"/>
      <c r="AC59" s="302"/>
      <c r="AD59" s="339"/>
      <c r="AE59" s="301"/>
      <c r="AF59" s="302"/>
      <c r="AG59" s="299"/>
      <c r="AH59" s="297"/>
      <c r="AI59" s="298"/>
      <c r="AJ59" s="296"/>
      <c r="AK59" s="297"/>
      <c r="AL59" s="297"/>
      <c r="AM59" s="300"/>
      <c r="AN59" s="301"/>
      <c r="AO59" s="302"/>
      <c r="AP59" s="191"/>
      <c r="AQ59" s="192"/>
      <c r="AR59" s="194"/>
      <c r="AS59" s="264"/>
      <c r="AT59" s="264"/>
    </row>
    <row r="60" spans="1:46" s="128" customFormat="1" ht="30" x14ac:dyDescent="0.25">
      <c r="A60" s="326" t="s">
        <v>173</v>
      </c>
      <c r="B60" s="190"/>
      <c r="C60" s="190"/>
      <c r="D60" s="189"/>
      <c r="E60" s="189"/>
      <c r="F60" s="189"/>
      <c r="G60" s="189"/>
      <c r="H60" s="189"/>
      <c r="I60" s="189"/>
      <c r="J60" s="190"/>
      <c r="K60" s="189"/>
      <c r="L60" s="189">
        <v>2</v>
      </c>
      <c r="M60" s="625"/>
      <c r="N60" s="189"/>
      <c r="O60" s="189"/>
      <c r="P60" s="189"/>
      <c r="Q60" s="499">
        <f t="shared" si="1"/>
        <v>0</v>
      </c>
      <c r="R60" s="489">
        <f t="shared" si="11"/>
        <v>0</v>
      </c>
      <c r="S60" s="213">
        <f t="shared" si="24"/>
        <v>0</v>
      </c>
      <c r="T60" s="213">
        <f t="shared" si="18"/>
        <v>0</v>
      </c>
      <c r="U60" s="213">
        <f t="shared" si="12"/>
        <v>0</v>
      </c>
      <c r="V60" s="213">
        <f t="shared" si="13"/>
        <v>0</v>
      </c>
      <c r="W60" s="222">
        <f t="shared" si="8"/>
        <v>0</v>
      </c>
      <c r="X60" s="300"/>
      <c r="Y60" s="301"/>
      <c r="Z60" s="302"/>
      <c r="AA60" s="300"/>
      <c r="AB60" s="301"/>
      <c r="AC60" s="302"/>
      <c r="AD60" s="339"/>
      <c r="AE60" s="301"/>
      <c r="AF60" s="302"/>
      <c r="AG60" s="299"/>
      <c r="AH60" s="297"/>
      <c r="AI60" s="298"/>
      <c r="AJ60" s="296"/>
      <c r="AK60" s="297"/>
      <c r="AL60" s="297"/>
      <c r="AM60" s="300"/>
      <c r="AN60" s="301"/>
      <c r="AO60" s="302"/>
      <c r="AP60" s="191"/>
      <c r="AQ60" s="192"/>
      <c r="AR60" s="194"/>
      <c r="AS60" s="264"/>
      <c r="AT60" s="264"/>
    </row>
    <row r="61" spans="1:46" s="173" customFormat="1" ht="14.45" customHeight="1" x14ac:dyDescent="0.25">
      <c r="A61" s="325" t="s">
        <v>114</v>
      </c>
      <c r="B61" s="190" t="s">
        <v>174</v>
      </c>
      <c r="C61" s="190" t="s">
        <v>750</v>
      </c>
      <c r="D61" s="189" t="s">
        <v>175</v>
      </c>
      <c r="E61" s="189" t="s">
        <v>97</v>
      </c>
      <c r="F61" s="189" t="s">
        <v>108</v>
      </c>
      <c r="G61" s="189" t="s">
        <v>117</v>
      </c>
      <c r="H61" s="190" t="s">
        <v>176</v>
      </c>
      <c r="I61" s="189" t="s">
        <v>177</v>
      </c>
      <c r="J61" s="190" t="s">
        <v>178</v>
      </c>
      <c r="K61" s="189" t="s">
        <v>179</v>
      </c>
      <c r="L61" s="189">
        <v>2</v>
      </c>
      <c r="M61" s="625" t="s">
        <v>103</v>
      </c>
      <c r="N61" s="189" t="s">
        <v>180</v>
      </c>
      <c r="O61" s="189" t="s">
        <v>181</v>
      </c>
      <c r="P61" s="189" t="s">
        <v>105</v>
      </c>
      <c r="Q61" s="499">
        <f t="shared" si="1"/>
        <v>710780</v>
      </c>
      <c r="R61" s="489">
        <f t="shared" si="11"/>
        <v>0</v>
      </c>
      <c r="S61" s="213">
        <f t="shared" si="24"/>
        <v>230000</v>
      </c>
      <c r="T61" s="213">
        <f t="shared" si="18"/>
        <v>480780</v>
      </c>
      <c r="U61" s="213">
        <f t="shared" si="12"/>
        <v>0</v>
      </c>
      <c r="V61" s="213">
        <f t="shared" si="13"/>
        <v>0</v>
      </c>
      <c r="W61" s="222">
        <f t="shared" si="8"/>
        <v>0</v>
      </c>
      <c r="X61" s="300">
        <v>0</v>
      </c>
      <c r="Y61" s="301"/>
      <c r="Z61" s="302"/>
      <c r="AA61" s="300">
        <v>230000</v>
      </c>
      <c r="AB61" s="301"/>
      <c r="AC61" s="302"/>
      <c r="AD61" s="339">
        <v>480780</v>
      </c>
      <c r="AE61" s="301"/>
      <c r="AF61" s="302"/>
      <c r="AG61" s="299"/>
      <c r="AH61" s="297"/>
      <c r="AI61" s="298"/>
      <c r="AJ61" s="296"/>
      <c r="AK61" s="297"/>
      <c r="AL61" s="297"/>
      <c r="AM61" s="300"/>
      <c r="AN61" s="301"/>
      <c r="AO61" s="302"/>
      <c r="AP61" s="194" t="s">
        <v>182</v>
      </c>
      <c r="AQ61" s="192" t="s">
        <v>183</v>
      </c>
      <c r="AR61" s="194"/>
      <c r="AS61" s="343"/>
      <c r="AT61" s="343"/>
    </row>
    <row r="62" spans="1:46" s="128" customFormat="1" ht="105" x14ac:dyDescent="0.25">
      <c r="A62" s="325" t="s">
        <v>114</v>
      </c>
      <c r="B62" s="190" t="s">
        <v>174</v>
      </c>
      <c r="C62" s="190" t="s">
        <v>750</v>
      </c>
      <c r="D62" s="189" t="s">
        <v>184</v>
      </c>
      <c r="E62" s="189"/>
      <c r="F62" s="189" t="s">
        <v>185</v>
      </c>
      <c r="G62" s="189" t="s">
        <v>99</v>
      </c>
      <c r="H62" s="190" t="s">
        <v>186</v>
      </c>
      <c r="I62" s="189" t="s">
        <v>187</v>
      </c>
      <c r="J62" s="190" t="s">
        <v>188</v>
      </c>
      <c r="K62" s="189" t="s">
        <v>189</v>
      </c>
      <c r="L62" s="189">
        <v>2</v>
      </c>
      <c r="M62" s="625"/>
      <c r="N62" s="189" t="s">
        <v>180</v>
      </c>
      <c r="O62" s="189" t="s">
        <v>190</v>
      </c>
      <c r="P62" s="189" t="s">
        <v>191</v>
      </c>
      <c r="Q62" s="499">
        <f>SUM(R62:W62)</f>
        <v>1095746</v>
      </c>
      <c r="R62" s="489">
        <f t="shared" si="11"/>
        <v>0</v>
      </c>
      <c r="S62" s="213">
        <f t="shared" si="24"/>
        <v>0</v>
      </c>
      <c r="T62" s="213">
        <f t="shared" si="18"/>
        <v>232447</v>
      </c>
      <c r="U62" s="213">
        <f t="shared" si="12"/>
        <v>425122</v>
      </c>
      <c r="V62" s="213">
        <f t="shared" si="13"/>
        <v>40168</v>
      </c>
      <c r="W62" s="222">
        <f t="shared" si="8"/>
        <v>398009</v>
      </c>
      <c r="X62" s="300"/>
      <c r="Y62" s="301"/>
      <c r="Z62" s="302"/>
      <c r="AA62" s="300"/>
      <c r="AB62" s="301"/>
      <c r="AC62" s="302">
        <v>0</v>
      </c>
      <c r="AD62" s="339"/>
      <c r="AE62" s="301"/>
      <c r="AF62" s="302">
        <v>232447</v>
      </c>
      <c r="AG62" s="299"/>
      <c r="AH62" s="297"/>
      <c r="AI62" s="298">
        <v>425122</v>
      </c>
      <c r="AJ62" s="296"/>
      <c r="AK62" s="297"/>
      <c r="AL62" s="297">
        <v>40168</v>
      </c>
      <c r="AM62" s="300"/>
      <c r="AN62" s="301"/>
      <c r="AO62" s="302">
        <v>398009</v>
      </c>
      <c r="AP62" s="191"/>
      <c r="AQ62" s="192"/>
      <c r="AR62" s="194" t="s">
        <v>192</v>
      </c>
      <c r="AS62" s="264" t="s">
        <v>193</v>
      </c>
      <c r="AT62" s="264" t="s">
        <v>194</v>
      </c>
    </row>
    <row r="63" spans="1:46" s="173" customFormat="1" ht="14.45" customHeight="1" x14ac:dyDescent="0.25">
      <c r="A63" s="325" t="s">
        <v>114</v>
      </c>
      <c r="B63" s="190" t="s">
        <v>174</v>
      </c>
      <c r="C63" s="190" t="s">
        <v>750</v>
      </c>
      <c r="D63" s="189" t="s">
        <v>175</v>
      </c>
      <c r="E63" s="189" t="s">
        <v>97</v>
      </c>
      <c r="F63" s="189" t="s">
        <v>185</v>
      </c>
      <c r="G63" s="189" t="s">
        <v>117</v>
      </c>
      <c r="H63" s="190" t="s">
        <v>176</v>
      </c>
      <c r="I63" s="189" t="s">
        <v>195</v>
      </c>
      <c r="J63" s="282" t="s">
        <v>196</v>
      </c>
      <c r="K63" s="189" t="s">
        <v>197</v>
      </c>
      <c r="L63" s="189">
        <v>2</v>
      </c>
      <c r="M63" s="625" t="s">
        <v>103</v>
      </c>
      <c r="N63" s="189" t="s">
        <v>180</v>
      </c>
      <c r="O63" s="189" t="s">
        <v>198</v>
      </c>
      <c r="P63" s="189" t="s">
        <v>105</v>
      </c>
      <c r="Q63" s="499">
        <f t="shared" si="1"/>
        <v>99726</v>
      </c>
      <c r="R63" s="489">
        <f t="shared" si="11"/>
        <v>0</v>
      </c>
      <c r="S63" s="213">
        <f t="shared" si="24"/>
        <v>66484</v>
      </c>
      <c r="T63" s="213">
        <f t="shared" si="18"/>
        <v>33242</v>
      </c>
      <c r="U63" s="213">
        <f t="shared" si="12"/>
        <v>0</v>
      </c>
      <c r="V63" s="213">
        <f t="shared" si="13"/>
        <v>0</v>
      </c>
      <c r="W63" s="222">
        <f t="shared" si="8"/>
        <v>0</v>
      </c>
      <c r="X63" s="300">
        <v>0</v>
      </c>
      <c r="Y63" s="301"/>
      <c r="Z63" s="302"/>
      <c r="AA63" s="300">
        <f>99726-33242</f>
        <v>66484</v>
      </c>
      <c r="AB63" s="301"/>
      <c r="AC63" s="302"/>
      <c r="AD63" s="339">
        <v>33242</v>
      </c>
      <c r="AE63" s="301"/>
      <c r="AF63" s="302"/>
      <c r="AG63" s="299"/>
      <c r="AH63" s="297"/>
      <c r="AI63" s="298"/>
      <c r="AJ63" s="296"/>
      <c r="AK63" s="297"/>
      <c r="AL63" s="297"/>
      <c r="AM63" s="300"/>
      <c r="AN63" s="301"/>
      <c r="AO63" s="302"/>
      <c r="AP63" s="194" t="s">
        <v>199</v>
      </c>
      <c r="AQ63" s="192" t="s">
        <v>200</v>
      </c>
      <c r="AR63" s="194"/>
      <c r="AS63" s="343"/>
      <c r="AT63" s="343"/>
    </row>
    <row r="64" spans="1:46" s="173" customFormat="1" ht="14.45" customHeight="1" x14ac:dyDescent="0.25">
      <c r="A64" s="325" t="s">
        <v>114</v>
      </c>
      <c r="B64" s="190" t="s">
        <v>174</v>
      </c>
      <c r="C64" s="190" t="s">
        <v>750</v>
      </c>
      <c r="D64" s="189" t="s">
        <v>175</v>
      </c>
      <c r="E64" s="189" t="s">
        <v>97</v>
      </c>
      <c r="F64" s="189" t="s">
        <v>185</v>
      </c>
      <c r="G64" s="189" t="s">
        <v>117</v>
      </c>
      <c r="H64" s="190" t="s">
        <v>176</v>
      </c>
      <c r="I64" s="189" t="s">
        <v>195</v>
      </c>
      <c r="J64" s="282" t="s">
        <v>201</v>
      </c>
      <c r="K64" s="189" t="s">
        <v>202</v>
      </c>
      <c r="L64" s="189">
        <v>2</v>
      </c>
      <c r="M64" s="625" t="s">
        <v>128</v>
      </c>
      <c r="N64" s="189" t="s">
        <v>180</v>
      </c>
      <c r="O64" s="189" t="s">
        <v>198</v>
      </c>
      <c r="P64" s="189" t="s">
        <v>105</v>
      </c>
      <c r="Q64" s="499">
        <f t="shared" ref="Q64" si="36">SUM(R64:W64)</f>
        <v>2278778</v>
      </c>
      <c r="R64" s="489">
        <f t="shared" ref="R64" si="37">SUM(X64:Z64)</f>
        <v>0</v>
      </c>
      <c r="S64" s="213">
        <f t="shared" ref="S64" si="38">SUM(AA64:AC64)</f>
        <v>0</v>
      </c>
      <c r="T64" s="213">
        <f t="shared" ref="T64" si="39">SUM(AD64:AF64)</f>
        <v>0</v>
      </c>
      <c r="U64" s="213">
        <f t="shared" ref="U64" si="40">SUM(AG64:AI64)</f>
        <v>759592</v>
      </c>
      <c r="V64" s="213">
        <f t="shared" ref="V64" si="41">SUM(AJ64:AL64)</f>
        <v>759593</v>
      </c>
      <c r="W64" s="222">
        <f t="shared" ref="W64" si="42">SUM(AM64:AO64)</f>
        <v>759593</v>
      </c>
      <c r="X64" s="300"/>
      <c r="Y64" s="301"/>
      <c r="Z64" s="302"/>
      <c r="AA64" s="300">
        <v>0</v>
      </c>
      <c r="AB64" s="301"/>
      <c r="AC64" s="302"/>
      <c r="AD64" s="627">
        <v>0</v>
      </c>
      <c r="AE64" s="301"/>
      <c r="AF64" s="302"/>
      <c r="AG64" s="299">
        <f>256362+503230</f>
        <v>759592</v>
      </c>
      <c r="AH64" s="297"/>
      <c r="AI64" s="298"/>
      <c r="AJ64" s="296">
        <v>759593</v>
      </c>
      <c r="AK64" s="297"/>
      <c r="AL64" s="297"/>
      <c r="AM64" s="300">
        <v>759593</v>
      </c>
      <c r="AN64" s="301"/>
      <c r="AO64" s="302"/>
      <c r="AP64" s="194" t="s">
        <v>199</v>
      </c>
      <c r="AQ64" s="192" t="s">
        <v>200</v>
      </c>
      <c r="AR64" s="194"/>
      <c r="AS64" s="343"/>
      <c r="AT64" s="343"/>
    </row>
    <row r="65" spans="1:46" s="128" customFormat="1" ht="14.45" customHeight="1" x14ac:dyDescent="0.25">
      <c r="A65" s="325" t="s">
        <v>114</v>
      </c>
      <c r="B65" s="190" t="s">
        <v>174</v>
      </c>
      <c r="C65" s="190" t="s">
        <v>750</v>
      </c>
      <c r="D65" s="189" t="s">
        <v>175</v>
      </c>
      <c r="E65" s="189" t="s">
        <v>97</v>
      </c>
      <c r="F65" s="189" t="s">
        <v>185</v>
      </c>
      <c r="G65" s="189" t="s">
        <v>117</v>
      </c>
      <c r="H65" s="190" t="s">
        <v>176</v>
      </c>
      <c r="I65" s="189" t="s">
        <v>203</v>
      </c>
      <c r="J65" s="190" t="s">
        <v>204</v>
      </c>
      <c r="K65" s="189" t="s">
        <v>205</v>
      </c>
      <c r="L65" s="189">
        <v>2</v>
      </c>
      <c r="M65" s="625" t="s">
        <v>103</v>
      </c>
      <c r="N65" s="189" t="s">
        <v>206</v>
      </c>
      <c r="O65" s="189" t="s">
        <v>198</v>
      </c>
      <c r="P65" s="189" t="s">
        <v>105</v>
      </c>
      <c r="Q65" s="499">
        <f t="shared" si="1"/>
        <v>96960</v>
      </c>
      <c r="R65" s="489">
        <f t="shared" si="11"/>
        <v>0</v>
      </c>
      <c r="S65" s="213">
        <f t="shared" si="24"/>
        <v>32320</v>
      </c>
      <c r="T65" s="213">
        <f t="shared" si="18"/>
        <v>64640</v>
      </c>
      <c r="U65" s="213">
        <f t="shared" si="12"/>
        <v>0</v>
      </c>
      <c r="V65" s="213">
        <f t="shared" si="13"/>
        <v>0</v>
      </c>
      <c r="W65" s="222">
        <f t="shared" si="8"/>
        <v>0</v>
      </c>
      <c r="X65" s="300"/>
      <c r="Y65" s="301"/>
      <c r="Z65" s="302"/>
      <c r="AA65" s="300">
        <f>96960/3</f>
        <v>32320</v>
      </c>
      <c r="AB65" s="301"/>
      <c r="AC65" s="302"/>
      <c r="AD65" s="339">
        <f>96960/3*2</f>
        <v>64640</v>
      </c>
      <c r="AE65" s="301"/>
      <c r="AF65" s="302"/>
      <c r="AG65" s="299"/>
      <c r="AH65" s="297"/>
      <c r="AI65" s="298"/>
      <c r="AJ65" s="296"/>
      <c r="AK65" s="297"/>
      <c r="AL65" s="297"/>
      <c r="AM65" s="300"/>
      <c r="AN65" s="301"/>
      <c r="AO65" s="302"/>
      <c r="AP65" s="194" t="s">
        <v>199</v>
      </c>
      <c r="AQ65" s="192" t="s">
        <v>200</v>
      </c>
      <c r="AR65" s="194"/>
      <c r="AS65" s="264"/>
      <c r="AT65" s="264"/>
    </row>
    <row r="66" spans="1:46" s="173" customFormat="1" ht="14.45" customHeight="1" x14ac:dyDescent="0.25">
      <c r="A66" s="325" t="s">
        <v>114</v>
      </c>
      <c r="B66" s="190" t="s">
        <v>174</v>
      </c>
      <c r="C66" s="190" t="s">
        <v>750</v>
      </c>
      <c r="D66" s="189" t="s">
        <v>175</v>
      </c>
      <c r="E66" s="189" t="s">
        <v>97</v>
      </c>
      <c r="F66" s="189" t="s">
        <v>185</v>
      </c>
      <c r="G66" s="189" t="s">
        <v>117</v>
      </c>
      <c r="H66" s="190" t="s">
        <v>176</v>
      </c>
      <c r="I66" s="189" t="s">
        <v>207</v>
      </c>
      <c r="J66" s="190" t="s">
        <v>208</v>
      </c>
      <c r="K66" s="189" t="s">
        <v>209</v>
      </c>
      <c r="L66" s="189">
        <v>2</v>
      </c>
      <c r="M66" s="625" t="s">
        <v>128</v>
      </c>
      <c r="N66" s="189" t="s">
        <v>180</v>
      </c>
      <c r="O66" s="189" t="s">
        <v>198</v>
      </c>
      <c r="P66" s="189" t="s">
        <v>105</v>
      </c>
      <c r="Q66" s="499">
        <f t="shared" si="1"/>
        <v>1275802</v>
      </c>
      <c r="R66" s="489">
        <f t="shared" si="11"/>
        <v>0</v>
      </c>
      <c r="S66" s="213">
        <f t="shared" si="24"/>
        <v>0</v>
      </c>
      <c r="T66" s="213">
        <f t="shared" si="18"/>
        <v>0</v>
      </c>
      <c r="U66" s="213">
        <f t="shared" si="12"/>
        <v>451936</v>
      </c>
      <c r="V66" s="213">
        <f t="shared" si="13"/>
        <v>422666</v>
      </c>
      <c r="W66" s="222">
        <f t="shared" si="8"/>
        <v>401200</v>
      </c>
      <c r="X66" s="300"/>
      <c r="Y66" s="301"/>
      <c r="Z66" s="302"/>
      <c r="AA66" s="300">
        <v>0</v>
      </c>
      <c r="AB66" s="301"/>
      <c r="AC66" s="302"/>
      <c r="AD66" s="627">
        <v>0</v>
      </c>
      <c r="AE66" s="301"/>
      <c r="AF66" s="302"/>
      <c r="AG66" s="299">
        <f>361936+90000</f>
        <v>451936</v>
      </c>
      <c r="AH66" s="297"/>
      <c r="AI66" s="298"/>
      <c r="AJ66" s="296">
        <v>422666</v>
      </c>
      <c r="AK66" s="297"/>
      <c r="AL66" s="297"/>
      <c r="AM66" s="300">
        <v>401200</v>
      </c>
      <c r="AN66" s="301"/>
      <c r="AO66" s="302"/>
      <c r="AP66" s="194" t="s">
        <v>199</v>
      </c>
      <c r="AQ66" s="192" t="s">
        <v>200</v>
      </c>
      <c r="AR66" s="194"/>
      <c r="AS66" s="343"/>
      <c r="AT66" s="343"/>
    </row>
    <row r="67" spans="1:46" s="173" customFormat="1" ht="14.45" customHeight="1" x14ac:dyDescent="0.25">
      <c r="A67" s="325" t="s">
        <v>210</v>
      </c>
      <c r="B67" s="190" t="s">
        <v>174</v>
      </c>
      <c r="C67" s="190" t="s">
        <v>750</v>
      </c>
      <c r="D67" s="189" t="s">
        <v>175</v>
      </c>
      <c r="E67" s="189" t="s">
        <v>97</v>
      </c>
      <c r="F67" s="189" t="s">
        <v>211</v>
      </c>
      <c r="G67" s="189" t="s">
        <v>117</v>
      </c>
      <c r="H67" s="190" t="s">
        <v>176</v>
      </c>
      <c r="I67" s="189" t="s">
        <v>212</v>
      </c>
      <c r="J67" s="190" t="s">
        <v>213</v>
      </c>
      <c r="K67" s="189" t="s">
        <v>214</v>
      </c>
      <c r="L67" s="189">
        <v>2</v>
      </c>
      <c r="M67" s="625" t="s">
        <v>103</v>
      </c>
      <c r="N67" s="189" t="s">
        <v>180</v>
      </c>
      <c r="O67" s="189" t="s">
        <v>198</v>
      </c>
      <c r="P67" s="189" t="s">
        <v>105</v>
      </c>
      <c r="Q67" s="499">
        <f t="shared" si="1"/>
        <v>100000</v>
      </c>
      <c r="R67" s="489">
        <f t="shared" si="11"/>
        <v>0</v>
      </c>
      <c r="S67" s="213">
        <f t="shared" si="24"/>
        <v>66666.666666666672</v>
      </c>
      <c r="T67" s="213">
        <f t="shared" si="18"/>
        <v>33333.333333333336</v>
      </c>
      <c r="U67" s="213">
        <f t="shared" si="12"/>
        <v>0</v>
      </c>
      <c r="V67" s="213">
        <f t="shared" si="13"/>
        <v>0</v>
      </c>
      <c r="W67" s="222">
        <f t="shared" si="8"/>
        <v>0</v>
      </c>
      <c r="X67" s="300"/>
      <c r="Y67" s="301"/>
      <c r="Z67" s="302"/>
      <c r="AA67" s="300">
        <f>100000/3*2</f>
        <v>66666.666666666672</v>
      </c>
      <c r="AB67" s="301"/>
      <c r="AC67" s="302"/>
      <c r="AD67" s="339">
        <f>100000/3*1</f>
        <v>33333.333333333336</v>
      </c>
      <c r="AE67" s="301"/>
      <c r="AF67" s="302"/>
      <c r="AG67" s="299"/>
      <c r="AH67" s="297"/>
      <c r="AI67" s="298"/>
      <c r="AJ67" s="296"/>
      <c r="AK67" s="297"/>
      <c r="AL67" s="297"/>
      <c r="AM67" s="300"/>
      <c r="AN67" s="301"/>
      <c r="AO67" s="302"/>
      <c r="AP67" s="194" t="s">
        <v>199</v>
      </c>
      <c r="AQ67" s="192" t="s">
        <v>200</v>
      </c>
      <c r="AR67" s="194"/>
      <c r="AS67" s="343"/>
      <c r="AT67" s="343"/>
    </row>
    <row r="68" spans="1:46" s="128" customFormat="1" ht="14.45" customHeight="1" x14ac:dyDescent="0.25">
      <c r="A68" s="325" t="s">
        <v>114</v>
      </c>
      <c r="B68" s="190" t="s">
        <v>174</v>
      </c>
      <c r="C68" s="190" t="s">
        <v>750</v>
      </c>
      <c r="D68" s="189" t="s">
        <v>175</v>
      </c>
      <c r="E68" s="189" t="s">
        <v>97</v>
      </c>
      <c r="F68" s="189" t="s">
        <v>211</v>
      </c>
      <c r="G68" s="189" t="s">
        <v>117</v>
      </c>
      <c r="H68" s="189" t="s">
        <v>176</v>
      </c>
      <c r="I68" s="189" t="s">
        <v>212</v>
      </c>
      <c r="J68" s="190" t="s">
        <v>215</v>
      </c>
      <c r="K68" s="189" t="s">
        <v>216</v>
      </c>
      <c r="L68" s="189">
        <v>2</v>
      </c>
      <c r="M68" s="625" t="s">
        <v>128</v>
      </c>
      <c r="N68" s="189" t="s">
        <v>180</v>
      </c>
      <c r="O68" s="189" t="s">
        <v>198</v>
      </c>
      <c r="P68" s="189" t="s">
        <v>105</v>
      </c>
      <c r="Q68" s="499">
        <f t="shared" si="1"/>
        <v>306741</v>
      </c>
      <c r="R68" s="489">
        <f t="shared" si="11"/>
        <v>0</v>
      </c>
      <c r="S68" s="213">
        <f t="shared" si="24"/>
        <v>0</v>
      </c>
      <c r="T68" s="213">
        <f t="shared" si="18"/>
        <v>0</v>
      </c>
      <c r="U68" s="213">
        <f t="shared" si="12"/>
        <v>306741</v>
      </c>
      <c r="V68" s="213">
        <f t="shared" si="13"/>
        <v>0</v>
      </c>
      <c r="W68" s="222">
        <f t="shared" si="8"/>
        <v>0</v>
      </c>
      <c r="X68" s="300"/>
      <c r="Y68" s="301"/>
      <c r="Z68" s="302"/>
      <c r="AA68" s="300"/>
      <c r="AB68" s="301"/>
      <c r="AC68" s="302"/>
      <c r="AD68" s="627">
        <v>0</v>
      </c>
      <c r="AE68" s="301"/>
      <c r="AF68" s="302"/>
      <c r="AG68" s="299">
        <f>206741+100000</f>
        <v>306741</v>
      </c>
      <c r="AH68" s="297"/>
      <c r="AI68" s="298"/>
      <c r="AJ68" s="296"/>
      <c r="AK68" s="297"/>
      <c r="AL68" s="297"/>
      <c r="AM68" s="300"/>
      <c r="AN68" s="301"/>
      <c r="AO68" s="302"/>
      <c r="AP68" s="194" t="s">
        <v>199</v>
      </c>
      <c r="AQ68" s="192" t="s">
        <v>200</v>
      </c>
      <c r="AR68" s="194"/>
      <c r="AS68" s="264"/>
      <c r="AT68" s="264"/>
    </row>
    <row r="69" spans="1:46" s="173" customFormat="1" ht="14.45" customHeight="1" x14ac:dyDescent="0.25">
      <c r="A69" s="325" t="s">
        <v>114</v>
      </c>
      <c r="B69" s="190" t="s">
        <v>174</v>
      </c>
      <c r="C69" s="190" t="s">
        <v>750</v>
      </c>
      <c r="D69" s="189" t="s">
        <v>217</v>
      </c>
      <c r="E69" s="189" t="s">
        <v>97</v>
      </c>
      <c r="F69" s="189" t="s">
        <v>185</v>
      </c>
      <c r="G69" s="189" t="s">
        <v>117</v>
      </c>
      <c r="H69" s="189" t="s">
        <v>186</v>
      </c>
      <c r="I69" s="189" t="s">
        <v>218</v>
      </c>
      <c r="J69" s="282" t="s">
        <v>219</v>
      </c>
      <c r="K69" s="189" t="s">
        <v>220</v>
      </c>
      <c r="L69" s="189">
        <v>2</v>
      </c>
      <c r="M69" s="625" t="s">
        <v>103</v>
      </c>
      <c r="N69" s="189" t="s">
        <v>180</v>
      </c>
      <c r="O69" s="189" t="s">
        <v>221</v>
      </c>
      <c r="P69" s="189" t="s">
        <v>105</v>
      </c>
      <c r="Q69" s="499">
        <f t="shared" si="1"/>
        <v>327800</v>
      </c>
      <c r="R69" s="489">
        <f t="shared" si="11"/>
        <v>0</v>
      </c>
      <c r="S69" s="213">
        <f t="shared" si="24"/>
        <v>196680</v>
      </c>
      <c r="T69" s="213">
        <f t="shared" si="18"/>
        <v>131120</v>
      </c>
      <c r="U69" s="213">
        <f t="shared" si="12"/>
        <v>0</v>
      </c>
      <c r="V69" s="213">
        <f t="shared" si="13"/>
        <v>0</v>
      </c>
      <c r="W69" s="222">
        <f t="shared" si="8"/>
        <v>0</v>
      </c>
      <c r="X69" s="300"/>
      <c r="Y69" s="301"/>
      <c r="Z69" s="302"/>
      <c r="AA69" s="300">
        <v>196680</v>
      </c>
      <c r="AB69" s="301"/>
      <c r="AC69" s="302"/>
      <c r="AD69" s="339">
        <v>131120</v>
      </c>
      <c r="AE69" s="301"/>
      <c r="AF69" s="302"/>
      <c r="AG69" s="299"/>
      <c r="AH69" s="297"/>
      <c r="AI69" s="298"/>
      <c r="AJ69" s="296"/>
      <c r="AK69" s="297"/>
      <c r="AL69" s="297"/>
      <c r="AM69" s="300"/>
      <c r="AN69" s="301"/>
      <c r="AO69" s="302"/>
      <c r="AP69" s="194" t="s">
        <v>199</v>
      </c>
      <c r="AQ69" s="192" t="s">
        <v>200</v>
      </c>
      <c r="AR69" s="194"/>
      <c r="AS69" s="343"/>
      <c r="AT69" s="343"/>
    </row>
    <row r="70" spans="1:46" s="128" customFormat="1" ht="14.45" customHeight="1" x14ac:dyDescent="0.25">
      <c r="A70" s="325" t="s">
        <v>114</v>
      </c>
      <c r="B70" s="190" t="s">
        <v>174</v>
      </c>
      <c r="C70" s="190" t="s">
        <v>750</v>
      </c>
      <c r="D70" s="189" t="s">
        <v>175</v>
      </c>
      <c r="E70" s="189" t="s">
        <v>97</v>
      </c>
      <c r="F70" s="189" t="s">
        <v>185</v>
      </c>
      <c r="G70" s="189" t="s">
        <v>117</v>
      </c>
      <c r="H70" s="189" t="s">
        <v>176</v>
      </c>
      <c r="I70" s="189" t="s">
        <v>222</v>
      </c>
      <c r="J70" s="190" t="s">
        <v>223</v>
      </c>
      <c r="K70" s="189" t="s">
        <v>224</v>
      </c>
      <c r="L70" s="189">
        <v>2</v>
      </c>
      <c r="M70" s="625" t="s">
        <v>103</v>
      </c>
      <c r="N70" s="189" t="s">
        <v>180</v>
      </c>
      <c r="O70" s="189" t="s">
        <v>181</v>
      </c>
      <c r="P70" s="189" t="s">
        <v>105</v>
      </c>
      <c r="Q70" s="499">
        <f t="shared" si="1"/>
        <v>1249420</v>
      </c>
      <c r="R70" s="489">
        <f t="shared" si="11"/>
        <v>0</v>
      </c>
      <c r="S70" s="213">
        <f t="shared" si="24"/>
        <v>336960</v>
      </c>
      <c r="T70" s="213">
        <f t="shared" si="18"/>
        <v>449984</v>
      </c>
      <c r="U70" s="213">
        <f t="shared" si="12"/>
        <v>462476</v>
      </c>
      <c r="V70" s="213">
        <f t="shared" si="13"/>
        <v>0</v>
      </c>
      <c r="W70" s="222">
        <f t="shared" si="8"/>
        <v>0</v>
      </c>
      <c r="X70" s="300"/>
      <c r="Y70" s="301"/>
      <c r="Z70" s="302"/>
      <c r="AA70" s="300">
        <f>583296-246336</f>
        <v>336960</v>
      </c>
      <c r="AB70" s="301"/>
      <c r="AC70" s="302"/>
      <c r="AD70" s="339">
        <f>249984+200000</f>
        <v>449984</v>
      </c>
      <c r="AE70" s="301"/>
      <c r="AF70" s="302"/>
      <c r="AG70" s="299">
        <v>462476</v>
      </c>
      <c r="AH70" s="297"/>
      <c r="AI70" s="298"/>
      <c r="AJ70" s="296"/>
      <c r="AK70" s="297"/>
      <c r="AL70" s="297"/>
      <c r="AM70" s="300"/>
      <c r="AN70" s="301"/>
      <c r="AO70" s="302"/>
      <c r="AP70" s="194" t="s">
        <v>199</v>
      </c>
      <c r="AQ70" s="192" t="s">
        <v>200</v>
      </c>
      <c r="AR70" s="194"/>
      <c r="AS70" s="264"/>
      <c r="AT70" s="264"/>
    </row>
    <row r="71" spans="1:46" s="173" customFormat="1" ht="14.45" customHeight="1" x14ac:dyDescent="0.25">
      <c r="A71" s="325" t="s">
        <v>114</v>
      </c>
      <c r="B71" s="190" t="s">
        <v>174</v>
      </c>
      <c r="C71" s="190" t="s">
        <v>750</v>
      </c>
      <c r="D71" s="189" t="s">
        <v>175</v>
      </c>
      <c r="E71" s="189" t="s">
        <v>97</v>
      </c>
      <c r="F71" s="189" t="s">
        <v>108</v>
      </c>
      <c r="G71" s="189" t="s">
        <v>117</v>
      </c>
      <c r="H71" s="189" t="s">
        <v>176</v>
      </c>
      <c r="I71" s="189" t="s">
        <v>225</v>
      </c>
      <c r="J71" s="190" t="s">
        <v>226</v>
      </c>
      <c r="K71" s="189" t="s">
        <v>227</v>
      </c>
      <c r="L71" s="189">
        <v>2</v>
      </c>
      <c r="M71" s="625" t="s">
        <v>103</v>
      </c>
      <c r="N71" s="189" t="s">
        <v>228</v>
      </c>
      <c r="O71" s="189" t="s">
        <v>198</v>
      </c>
      <c r="P71" s="189" t="s">
        <v>105</v>
      </c>
      <c r="Q71" s="499">
        <f t="shared" si="1"/>
        <v>1787810</v>
      </c>
      <c r="R71" s="489">
        <f t="shared" si="11"/>
        <v>0</v>
      </c>
      <c r="S71" s="213">
        <f t="shared" si="24"/>
        <v>0</v>
      </c>
      <c r="T71" s="213">
        <f t="shared" si="18"/>
        <v>285353</v>
      </c>
      <c r="U71" s="213">
        <f t="shared" si="12"/>
        <v>621906</v>
      </c>
      <c r="V71" s="213">
        <f t="shared" si="13"/>
        <v>680551</v>
      </c>
      <c r="W71" s="222">
        <f t="shared" si="8"/>
        <v>200000</v>
      </c>
      <c r="X71" s="300">
        <v>0</v>
      </c>
      <c r="Y71" s="301"/>
      <c r="Z71" s="302"/>
      <c r="AA71" s="300">
        <v>0</v>
      </c>
      <c r="AB71" s="301"/>
      <c r="AC71" s="302"/>
      <c r="AD71" s="339">
        <v>285353</v>
      </c>
      <c r="AE71" s="301"/>
      <c r="AF71" s="302"/>
      <c r="AG71" s="299">
        <f>372000+249906</f>
        <v>621906</v>
      </c>
      <c r="AH71" s="297"/>
      <c r="AI71" s="298"/>
      <c r="AJ71" s="296">
        <v>680551</v>
      </c>
      <c r="AK71" s="297"/>
      <c r="AL71" s="297"/>
      <c r="AM71" s="300">
        <v>200000</v>
      </c>
      <c r="AN71" s="301"/>
      <c r="AO71" s="302"/>
      <c r="AP71" s="194" t="s">
        <v>199</v>
      </c>
      <c r="AQ71" s="192" t="s">
        <v>200</v>
      </c>
      <c r="AR71" s="194"/>
      <c r="AS71" s="343"/>
      <c r="AT71" s="343"/>
    </row>
    <row r="72" spans="1:46" s="173" customFormat="1" ht="345" x14ac:dyDescent="0.25">
      <c r="A72" s="325" t="s">
        <v>114</v>
      </c>
      <c r="B72" s="190" t="s">
        <v>174</v>
      </c>
      <c r="C72" s="190" t="s">
        <v>115</v>
      </c>
      <c r="D72" s="189" t="s">
        <v>175</v>
      </c>
      <c r="E72" s="189" t="s">
        <v>97</v>
      </c>
      <c r="F72" s="189" t="s">
        <v>151</v>
      </c>
      <c r="G72" s="189" t="s">
        <v>117</v>
      </c>
      <c r="H72" s="189" t="s">
        <v>176</v>
      </c>
      <c r="I72" s="189" t="s">
        <v>229</v>
      </c>
      <c r="J72" s="190" t="s">
        <v>230</v>
      </c>
      <c r="K72" s="189" t="s">
        <v>231</v>
      </c>
      <c r="L72" s="189">
        <v>2</v>
      </c>
      <c r="M72" s="625"/>
      <c r="N72" s="189" t="s">
        <v>180</v>
      </c>
      <c r="O72" s="189"/>
      <c r="P72" s="189" t="s">
        <v>133</v>
      </c>
      <c r="Q72" s="499">
        <f t="shared" si="1"/>
        <v>1578877.5</v>
      </c>
      <c r="R72" s="489">
        <f t="shared" si="11"/>
        <v>0</v>
      </c>
      <c r="S72" s="213">
        <f t="shared" si="24"/>
        <v>388016</v>
      </c>
      <c r="T72" s="213">
        <f t="shared" si="18"/>
        <v>595430.5</v>
      </c>
      <c r="U72" s="213">
        <f t="shared" si="12"/>
        <v>595431</v>
      </c>
      <c r="V72" s="213">
        <f t="shared" si="13"/>
        <v>0</v>
      </c>
      <c r="W72" s="222">
        <f t="shared" si="8"/>
        <v>0</v>
      </c>
      <c r="X72" s="300">
        <v>0</v>
      </c>
      <c r="Y72" s="301"/>
      <c r="Z72" s="302"/>
      <c r="AA72" s="300">
        <f>776032/2</f>
        <v>388016</v>
      </c>
      <c r="AB72" s="301"/>
      <c r="AC72" s="302"/>
      <c r="AD72" s="339">
        <f>(802845+388016)/2</f>
        <v>595430.5</v>
      </c>
      <c r="AE72" s="301"/>
      <c r="AF72" s="302"/>
      <c r="AG72" s="299">
        <v>595431</v>
      </c>
      <c r="AH72" s="297"/>
      <c r="AI72" s="298"/>
      <c r="AJ72" s="296"/>
      <c r="AK72" s="297"/>
      <c r="AL72" s="297"/>
      <c r="AM72" s="300"/>
      <c r="AN72" s="301"/>
      <c r="AO72" s="302"/>
      <c r="AP72" s="191" t="s">
        <v>199</v>
      </c>
      <c r="AQ72" s="192" t="s">
        <v>200</v>
      </c>
      <c r="AR72" s="194"/>
      <c r="AS72" s="343"/>
      <c r="AT72" s="343"/>
    </row>
    <row r="73" spans="1:46" s="173" customFormat="1" ht="14.45" customHeight="1" x14ac:dyDescent="0.25">
      <c r="A73" s="325" t="s">
        <v>114</v>
      </c>
      <c r="B73" s="190" t="s">
        <v>174</v>
      </c>
      <c r="C73" s="190" t="s">
        <v>750</v>
      </c>
      <c r="D73" s="189" t="s">
        <v>175</v>
      </c>
      <c r="E73" s="189" t="s">
        <v>97</v>
      </c>
      <c r="F73" s="189" t="s">
        <v>151</v>
      </c>
      <c r="G73" s="189" t="s">
        <v>117</v>
      </c>
      <c r="H73" s="189" t="s">
        <v>176</v>
      </c>
      <c r="I73" s="189" t="s">
        <v>232</v>
      </c>
      <c r="J73" s="189" t="s">
        <v>233</v>
      </c>
      <c r="K73" s="189" t="s">
        <v>234</v>
      </c>
      <c r="L73" s="189">
        <v>2</v>
      </c>
      <c r="M73" s="625" t="s">
        <v>128</v>
      </c>
      <c r="N73" s="189" t="s">
        <v>180</v>
      </c>
      <c r="O73" s="189" t="s">
        <v>198</v>
      </c>
      <c r="P73" s="189" t="s">
        <v>105</v>
      </c>
      <c r="Q73" s="499">
        <f t="shared" si="1"/>
        <v>1141781</v>
      </c>
      <c r="R73" s="489">
        <f t="shared" si="11"/>
        <v>0</v>
      </c>
      <c r="S73" s="213">
        <f t="shared" si="24"/>
        <v>0</v>
      </c>
      <c r="T73" s="213">
        <f t="shared" si="18"/>
        <v>0</v>
      </c>
      <c r="U73" s="213">
        <f t="shared" si="12"/>
        <v>414893</v>
      </c>
      <c r="V73" s="213">
        <f t="shared" si="13"/>
        <v>363444</v>
      </c>
      <c r="W73" s="222">
        <f t="shared" si="8"/>
        <v>363444</v>
      </c>
      <c r="X73" s="300"/>
      <c r="Y73" s="301"/>
      <c r="Z73" s="302"/>
      <c r="AA73" s="300"/>
      <c r="AB73" s="301"/>
      <c r="AC73" s="302"/>
      <c r="AD73" s="627">
        <v>0</v>
      </c>
      <c r="AE73" s="301"/>
      <c r="AF73" s="302"/>
      <c r="AG73" s="299">
        <v>414893</v>
      </c>
      <c r="AH73" s="297"/>
      <c r="AI73" s="298"/>
      <c r="AJ73" s="296">
        <v>363444</v>
      </c>
      <c r="AK73" s="297"/>
      <c r="AL73" s="297"/>
      <c r="AM73" s="300">
        <v>363444</v>
      </c>
      <c r="AN73" s="301"/>
      <c r="AO73" s="302"/>
      <c r="AP73" s="194" t="s">
        <v>199</v>
      </c>
      <c r="AQ73" s="192" t="s">
        <v>200</v>
      </c>
      <c r="AR73" s="194"/>
      <c r="AS73" s="343"/>
      <c r="AT73" s="343"/>
    </row>
    <row r="74" spans="1:46" s="128" customFormat="1" ht="14.45" customHeight="1" x14ac:dyDescent="0.25">
      <c r="A74" s="325" t="s">
        <v>114</v>
      </c>
      <c r="B74" s="190" t="s">
        <v>174</v>
      </c>
      <c r="C74" s="190" t="s">
        <v>235</v>
      </c>
      <c r="D74" s="189" t="s">
        <v>175</v>
      </c>
      <c r="E74" s="189" t="s">
        <v>97</v>
      </c>
      <c r="F74" s="189" t="s">
        <v>151</v>
      </c>
      <c r="G74" s="189" t="s">
        <v>117</v>
      </c>
      <c r="H74" s="189" t="s">
        <v>176</v>
      </c>
      <c r="I74" s="189" t="s">
        <v>236</v>
      </c>
      <c r="J74" s="189" t="s">
        <v>237</v>
      </c>
      <c r="K74" s="189" t="s">
        <v>238</v>
      </c>
      <c r="L74" s="189">
        <v>2</v>
      </c>
      <c r="M74" s="625" t="s">
        <v>103</v>
      </c>
      <c r="N74" s="189" t="s">
        <v>180</v>
      </c>
      <c r="O74" s="189" t="s">
        <v>239</v>
      </c>
      <c r="P74" s="189" t="s">
        <v>105</v>
      </c>
      <c r="Q74" s="499">
        <f t="shared" si="1"/>
        <v>159164</v>
      </c>
      <c r="R74" s="489">
        <f t="shared" si="11"/>
        <v>0</v>
      </c>
      <c r="S74" s="213">
        <f t="shared" si="24"/>
        <v>25755</v>
      </c>
      <c r="T74" s="213">
        <f t="shared" si="18"/>
        <v>51510</v>
      </c>
      <c r="U74" s="213">
        <f t="shared" si="12"/>
        <v>56144</v>
      </c>
      <c r="V74" s="213">
        <f t="shared" si="13"/>
        <v>25755</v>
      </c>
      <c r="W74" s="222">
        <f t="shared" si="8"/>
        <v>0</v>
      </c>
      <c r="X74" s="300"/>
      <c r="Y74" s="301"/>
      <c r="Z74" s="302"/>
      <c r="AA74" s="300"/>
      <c r="AB74" s="301">
        <f>51510/2</f>
        <v>25755</v>
      </c>
      <c r="AC74" s="302">
        <v>0</v>
      </c>
      <c r="AD74" s="339"/>
      <c r="AE74" s="517">
        <v>51510</v>
      </c>
      <c r="AF74" s="302">
        <v>0</v>
      </c>
      <c r="AG74" s="299"/>
      <c r="AH74" s="297">
        <v>56144</v>
      </c>
      <c r="AI74" s="298"/>
      <c r="AJ74" s="296"/>
      <c r="AK74" s="297">
        <f>51510/2</f>
        <v>25755</v>
      </c>
      <c r="AL74" s="297"/>
      <c r="AM74" s="300"/>
      <c r="AN74" s="301"/>
      <c r="AO74" s="302"/>
      <c r="AP74" s="194" t="s">
        <v>240</v>
      </c>
      <c r="AQ74" s="192" t="s">
        <v>241</v>
      </c>
      <c r="AR74" s="194"/>
      <c r="AS74" s="264"/>
      <c r="AT74" s="264"/>
    </row>
    <row r="75" spans="1:46" s="128" customFormat="1" ht="14.45" customHeight="1" x14ac:dyDescent="0.25">
      <c r="A75" s="325" t="s">
        <v>114</v>
      </c>
      <c r="B75" s="190" t="s">
        <v>115</v>
      </c>
      <c r="C75" s="190" t="s">
        <v>115</v>
      </c>
      <c r="D75" s="189" t="s">
        <v>242</v>
      </c>
      <c r="E75" s="189" t="s">
        <v>97</v>
      </c>
      <c r="F75" s="189" t="s">
        <v>151</v>
      </c>
      <c r="G75" s="189" t="s">
        <v>117</v>
      </c>
      <c r="H75" s="189" t="s">
        <v>176</v>
      </c>
      <c r="I75" s="189" t="s">
        <v>243</v>
      </c>
      <c r="J75" s="190" t="s">
        <v>244</v>
      </c>
      <c r="K75" s="189" t="s">
        <v>245</v>
      </c>
      <c r="L75" s="189">
        <v>2</v>
      </c>
      <c r="M75" s="625" t="s">
        <v>103</v>
      </c>
      <c r="N75" s="189" t="s">
        <v>180</v>
      </c>
      <c r="O75" s="189"/>
      <c r="P75" s="189" t="s">
        <v>105</v>
      </c>
      <c r="Q75" s="499">
        <f t="shared" si="1"/>
        <v>243742</v>
      </c>
      <c r="R75" s="489">
        <f t="shared" si="11"/>
        <v>0</v>
      </c>
      <c r="S75" s="213">
        <f t="shared" si="24"/>
        <v>55000</v>
      </c>
      <c r="T75" s="213">
        <f t="shared" si="18"/>
        <v>79500</v>
      </c>
      <c r="U75" s="213">
        <f t="shared" si="12"/>
        <v>85658</v>
      </c>
      <c r="V75" s="213">
        <f t="shared" si="13"/>
        <v>23584</v>
      </c>
      <c r="W75" s="222">
        <f t="shared" si="8"/>
        <v>0</v>
      </c>
      <c r="X75" s="300"/>
      <c r="Y75" s="301"/>
      <c r="Z75" s="302"/>
      <c r="AA75" s="300"/>
      <c r="AB75" s="300">
        <v>55000</v>
      </c>
      <c r="AC75" s="302">
        <v>0</v>
      </c>
      <c r="AD75" s="339"/>
      <c r="AE75" s="517">
        <v>79500</v>
      </c>
      <c r="AF75" s="302">
        <v>0</v>
      </c>
      <c r="AG75" s="299"/>
      <c r="AH75" s="297">
        <v>85658</v>
      </c>
      <c r="AI75" s="298">
        <v>0</v>
      </c>
      <c r="AJ75" s="296"/>
      <c r="AK75" s="535">
        <v>23584</v>
      </c>
      <c r="AL75" s="297"/>
      <c r="AM75" s="300"/>
      <c r="AN75" s="301"/>
      <c r="AO75" s="302"/>
      <c r="AP75" s="191"/>
      <c r="AQ75" s="192"/>
      <c r="AR75" s="194"/>
      <c r="AS75" s="264"/>
      <c r="AT75" s="264"/>
    </row>
    <row r="76" spans="1:46" s="128" customFormat="1" ht="255" x14ac:dyDescent="0.25">
      <c r="A76" s="325" t="s">
        <v>114</v>
      </c>
      <c r="B76" s="190" t="s">
        <v>174</v>
      </c>
      <c r="C76" s="190" t="s">
        <v>115</v>
      </c>
      <c r="D76" s="189" t="s">
        <v>175</v>
      </c>
      <c r="E76" s="189" t="s">
        <v>97</v>
      </c>
      <c r="F76" s="189" t="s">
        <v>185</v>
      </c>
      <c r="G76" s="189" t="s">
        <v>117</v>
      </c>
      <c r="H76" s="189" t="s">
        <v>176</v>
      </c>
      <c r="I76" s="189" t="s">
        <v>246</v>
      </c>
      <c r="J76" s="190" t="s">
        <v>247</v>
      </c>
      <c r="K76" s="189" t="s">
        <v>248</v>
      </c>
      <c r="L76" s="189">
        <v>2</v>
      </c>
      <c r="M76" s="625"/>
      <c r="N76" s="189" t="s">
        <v>180</v>
      </c>
      <c r="O76" s="189" t="s">
        <v>239</v>
      </c>
      <c r="P76" s="189" t="s">
        <v>191</v>
      </c>
      <c r="Q76" s="499">
        <f t="shared" si="1"/>
        <v>2910846</v>
      </c>
      <c r="R76" s="489">
        <f t="shared" si="11"/>
        <v>0</v>
      </c>
      <c r="S76" s="213">
        <f t="shared" si="24"/>
        <v>0</v>
      </c>
      <c r="T76" s="213">
        <f t="shared" si="18"/>
        <v>726479</v>
      </c>
      <c r="U76" s="213">
        <f t="shared" si="12"/>
        <v>747596</v>
      </c>
      <c r="V76" s="213">
        <f t="shared" si="13"/>
        <v>768521</v>
      </c>
      <c r="W76" s="222">
        <f t="shared" si="8"/>
        <v>668250</v>
      </c>
      <c r="X76" s="300"/>
      <c r="Y76" s="301">
        <v>0</v>
      </c>
      <c r="Z76" s="302">
        <v>0</v>
      </c>
      <c r="AA76" s="300"/>
      <c r="AB76" s="301">
        <v>0</v>
      </c>
      <c r="AC76" s="302">
        <v>0</v>
      </c>
      <c r="AD76" s="339"/>
      <c r="AE76" s="301">
        <v>705311</v>
      </c>
      <c r="AF76" s="302">
        <v>21168</v>
      </c>
      <c r="AG76" s="299"/>
      <c r="AH76" s="301">
        <v>728230</v>
      </c>
      <c r="AI76" s="302">
        <v>19366</v>
      </c>
      <c r="AJ76" s="296"/>
      <c r="AK76" s="297">
        <v>745480</v>
      </c>
      <c r="AL76" s="298">
        <v>23041</v>
      </c>
      <c r="AM76" s="300"/>
      <c r="AN76" s="297">
        <v>653801</v>
      </c>
      <c r="AO76" s="297">
        <v>14449</v>
      </c>
      <c r="AP76" s="194" t="s">
        <v>249</v>
      </c>
      <c r="AQ76" s="192" t="s">
        <v>241</v>
      </c>
      <c r="AR76" s="590" t="s">
        <v>250</v>
      </c>
      <c r="AS76" s="264" t="s">
        <v>251</v>
      </c>
      <c r="AT76" s="264" t="s">
        <v>252</v>
      </c>
    </row>
    <row r="77" spans="1:46" s="128" customFormat="1" ht="15.75" x14ac:dyDescent="0.25">
      <c r="A77" s="325"/>
      <c r="B77" s="190"/>
      <c r="C77" s="190"/>
      <c r="D77" s="189"/>
      <c r="E77" s="189"/>
      <c r="F77" s="189"/>
      <c r="G77" s="189"/>
      <c r="H77" s="189"/>
      <c r="I77" s="189"/>
      <c r="J77" s="190"/>
      <c r="K77" s="189"/>
      <c r="L77" s="189"/>
      <c r="M77" s="625"/>
      <c r="N77" s="189"/>
      <c r="O77" s="189"/>
      <c r="P77" s="189"/>
      <c r="Q77" s="499">
        <f t="shared" ref="Q77:Q88" si="43">SUM(R77:W77)</f>
        <v>0</v>
      </c>
      <c r="R77" s="489">
        <f t="shared" ref="R77:R88" si="44">SUM(X77:Z77)</f>
        <v>0</v>
      </c>
      <c r="S77" s="213">
        <f t="shared" ref="S77:S88" si="45">SUM(AA77:AC77)</f>
        <v>0</v>
      </c>
      <c r="T77" s="213">
        <f t="shared" ref="T77:T88" si="46">SUM(AD77:AF77)</f>
        <v>0</v>
      </c>
      <c r="U77" s="213">
        <f t="shared" ref="U77:U88" si="47">SUM(AG77:AI77)</f>
        <v>0</v>
      </c>
      <c r="V77" s="213">
        <f t="shared" ref="V77:V88" si="48">SUM(AJ77:AL77)</f>
        <v>0</v>
      </c>
      <c r="W77" s="222">
        <f t="shared" ref="W77:W88" si="49">SUM(AM77:AO77)</f>
        <v>0</v>
      </c>
      <c r="X77" s="300"/>
      <c r="Y77" s="301"/>
      <c r="Z77" s="302"/>
      <c r="AA77" s="300"/>
      <c r="AB77" s="301"/>
      <c r="AC77" s="302"/>
      <c r="AD77" s="339"/>
      <c r="AE77" s="301"/>
      <c r="AF77" s="302"/>
      <c r="AG77" s="299"/>
      <c r="AH77" s="297"/>
      <c r="AI77" s="298"/>
      <c r="AJ77" s="296"/>
      <c r="AK77" s="297"/>
      <c r="AL77" s="297"/>
      <c r="AM77" s="300"/>
      <c r="AN77" s="301"/>
      <c r="AO77" s="302"/>
      <c r="AP77" s="191"/>
      <c r="AQ77" s="192"/>
      <c r="AR77" s="194"/>
      <c r="AS77" s="264"/>
      <c r="AT77" s="264"/>
    </row>
    <row r="78" spans="1:46" s="128" customFormat="1" ht="15.75" x14ac:dyDescent="0.25">
      <c r="A78" s="325"/>
      <c r="B78" s="190"/>
      <c r="C78" s="190"/>
      <c r="D78" s="189"/>
      <c r="E78" s="189"/>
      <c r="F78" s="189"/>
      <c r="G78" s="189"/>
      <c r="H78" s="189"/>
      <c r="I78" s="189"/>
      <c r="J78" s="190"/>
      <c r="K78" s="189"/>
      <c r="L78" s="189"/>
      <c r="M78" s="625"/>
      <c r="N78" s="189"/>
      <c r="O78" s="189"/>
      <c r="P78" s="189"/>
      <c r="Q78" s="499">
        <f t="shared" si="43"/>
        <v>0</v>
      </c>
      <c r="R78" s="489">
        <f t="shared" si="44"/>
        <v>0</v>
      </c>
      <c r="S78" s="213">
        <f t="shared" si="45"/>
        <v>0</v>
      </c>
      <c r="T78" s="213">
        <f t="shared" si="46"/>
        <v>0</v>
      </c>
      <c r="U78" s="213">
        <f t="shared" si="47"/>
        <v>0</v>
      </c>
      <c r="V78" s="213">
        <f t="shared" si="48"/>
        <v>0</v>
      </c>
      <c r="W78" s="222">
        <f t="shared" si="49"/>
        <v>0</v>
      </c>
      <c r="X78" s="300"/>
      <c r="Y78" s="301"/>
      <c r="Z78" s="302"/>
      <c r="AA78" s="300"/>
      <c r="AB78" s="301"/>
      <c r="AC78" s="302"/>
      <c r="AD78" s="339"/>
      <c r="AE78" s="301"/>
      <c r="AF78" s="302"/>
      <c r="AG78" s="299"/>
      <c r="AH78" s="297"/>
      <c r="AI78" s="298"/>
      <c r="AJ78" s="296"/>
      <c r="AK78" s="297"/>
      <c r="AL78" s="297"/>
      <c r="AM78" s="300"/>
      <c r="AN78" s="301"/>
      <c r="AO78" s="302"/>
      <c r="AP78" s="191"/>
      <c r="AQ78" s="192"/>
      <c r="AR78" s="194"/>
      <c r="AS78" s="264"/>
      <c r="AT78" s="264"/>
    </row>
    <row r="79" spans="1:46" s="128" customFormat="1" ht="15.75" x14ac:dyDescent="0.25">
      <c r="A79" s="325"/>
      <c r="B79" s="190"/>
      <c r="C79" s="190"/>
      <c r="D79" s="189"/>
      <c r="E79" s="189"/>
      <c r="F79" s="189"/>
      <c r="G79" s="189"/>
      <c r="H79" s="189"/>
      <c r="I79" s="189"/>
      <c r="J79" s="190"/>
      <c r="K79" s="189"/>
      <c r="L79" s="189"/>
      <c r="M79" s="189"/>
      <c r="N79" s="189"/>
      <c r="O79" s="189"/>
      <c r="P79" s="189"/>
      <c r="Q79" s="499">
        <f t="shared" si="43"/>
        <v>0</v>
      </c>
      <c r="R79" s="489">
        <f t="shared" si="44"/>
        <v>0</v>
      </c>
      <c r="S79" s="213">
        <f t="shared" si="45"/>
        <v>0</v>
      </c>
      <c r="T79" s="213">
        <f t="shared" si="46"/>
        <v>0</v>
      </c>
      <c r="U79" s="213">
        <f t="shared" si="47"/>
        <v>0</v>
      </c>
      <c r="V79" s="213">
        <f t="shared" si="48"/>
        <v>0</v>
      </c>
      <c r="W79" s="222">
        <f t="shared" si="49"/>
        <v>0</v>
      </c>
      <c r="X79" s="300"/>
      <c r="Y79" s="301"/>
      <c r="Z79" s="302"/>
      <c r="AA79" s="300"/>
      <c r="AB79" s="301"/>
      <c r="AC79" s="302"/>
      <c r="AD79" s="339"/>
      <c r="AE79" s="301"/>
      <c r="AF79" s="302"/>
      <c r="AG79" s="299"/>
      <c r="AH79" s="297"/>
      <c r="AI79" s="298"/>
      <c r="AJ79" s="296"/>
      <c r="AK79" s="297"/>
      <c r="AL79" s="297"/>
      <c r="AM79" s="300"/>
      <c r="AN79" s="301"/>
      <c r="AO79" s="302"/>
      <c r="AP79" s="191"/>
      <c r="AQ79" s="192"/>
      <c r="AR79" s="194"/>
      <c r="AS79" s="264"/>
      <c r="AT79" s="264"/>
    </row>
    <row r="80" spans="1:46" s="128" customFormat="1" ht="15.75" x14ac:dyDescent="0.25">
      <c r="A80" s="325"/>
      <c r="B80" s="190"/>
      <c r="C80" s="190"/>
      <c r="D80" s="189"/>
      <c r="E80" s="189"/>
      <c r="F80" s="189"/>
      <c r="G80" s="189"/>
      <c r="H80" s="189"/>
      <c r="I80" s="189"/>
      <c r="J80" s="190"/>
      <c r="K80" s="189"/>
      <c r="L80" s="189"/>
      <c r="M80" s="189"/>
      <c r="N80" s="189"/>
      <c r="O80" s="189"/>
      <c r="P80" s="189"/>
      <c r="Q80" s="499">
        <f t="shared" si="43"/>
        <v>0</v>
      </c>
      <c r="R80" s="489">
        <f t="shared" si="44"/>
        <v>0</v>
      </c>
      <c r="S80" s="213">
        <f t="shared" si="45"/>
        <v>0</v>
      </c>
      <c r="T80" s="213">
        <f t="shared" si="46"/>
        <v>0</v>
      </c>
      <c r="U80" s="213">
        <f t="shared" si="47"/>
        <v>0</v>
      </c>
      <c r="V80" s="213">
        <f t="shared" si="48"/>
        <v>0</v>
      </c>
      <c r="W80" s="222">
        <f t="shared" si="49"/>
        <v>0</v>
      </c>
      <c r="X80" s="300"/>
      <c r="Y80" s="301"/>
      <c r="Z80" s="302"/>
      <c r="AA80" s="300"/>
      <c r="AB80" s="301"/>
      <c r="AC80" s="302"/>
      <c r="AD80" s="339"/>
      <c r="AE80" s="301"/>
      <c r="AF80" s="302"/>
      <c r="AG80" s="299"/>
      <c r="AH80" s="297"/>
      <c r="AI80" s="298"/>
      <c r="AJ80" s="296"/>
      <c r="AK80" s="297"/>
      <c r="AL80" s="297"/>
      <c r="AM80" s="300"/>
      <c r="AN80" s="301"/>
      <c r="AO80" s="302"/>
      <c r="AP80" s="191"/>
      <c r="AQ80" s="192"/>
      <c r="AR80" s="194"/>
      <c r="AS80" s="264"/>
      <c r="AT80" s="264"/>
    </row>
    <row r="81" spans="1:46" s="128" customFormat="1" ht="15.75" x14ac:dyDescent="0.25">
      <c r="A81" s="325"/>
      <c r="B81" s="190"/>
      <c r="C81" s="190"/>
      <c r="D81" s="189"/>
      <c r="E81" s="189"/>
      <c r="F81" s="189"/>
      <c r="G81" s="189"/>
      <c r="H81" s="189"/>
      <c r="I81" s="189"/>
      <c r="J81" s="190"/>
      <c r="K81" s="189"/>
      <c r="L81" s="189"/>
      <c r="M81" s="189"/>
      <c r="N81" s="189"/>
      <c r="O81" s="189"/>
      <c r="P81" s="189"/>
      <c r="Q81" s="499">
        <f t="shared" si="43"/>
        <v>0</v>
      </c>
      <c r="R81" s="489">
        <f t="shared" si="44"/>
        <v>0</v>
      </c>
      <c r="S81" s="213">
        <f t="shared" si="45"/>
        <v>0</v>
      </c>
      <c r="T81" s="213">
        <f t="shared" si="46"/>
        <v>0</v>
      </c>
      <c r="U81" s="213">
        <f t="shared" si="47"/>
        <v>0</v>
      </c>
      <c r="V81" s="213">
        <f t="shared" si="48"/>
        <v>0</v>
      </c>
      <c r="W81" s="222">
        <f t="shared" si="49"/>
        <v>0</v>
      </c>
      <c r="X81" s="300"/>
      <c r="Y81" s="301"/>
      <c r="Z81" s="302"/>
      <c r="AA81" s="300"/>
      <c r="AB81" s="301"/>
      <c r="AC81" s="302"/>
      <c r="AD81" s="339"/>
      <c r="AE81" s="301"/>
      <c r="AF81" s="302"/>
      <c r="AG81" s="299"/>
      <c r="AH81" s="297"/>
      <c r="AI81" s="298"/>
      <c r="AJ81" s="296"/>
      <c r="AK81" s="297"/>
      <c r="AL81" s="297"/>
      <c r="AM81" s="300"/>
      <c r="AN81" s="301"/>
      <c r="AO81" s="302"/>
      <c r="AP81" s="191"/>
      <c r="AQ81" s="192"/>
      <c r="AR81" s="194"/>
      <c r="AS81" s="264"/>
      <c r="AT81" s="264"/>
    </row>
    <row r="82" spans="1:46" s="128" customFormat="1" ht="15.75" x14ac:dyDescent="0.25">
      <c r="A82" s="325"/>
      <c r="B82" s="190"/>
      <c r="C82" s="190"/>
      <c r="D82" s="189"/>
      <c r="E82" s="189"/>
      <c r="F82" s="189"/>
      <c r="G82" s="189"/>
      <c r="H82" s="189"/>
      <c r="I82" s="189"/>
      <c r="J82" s="190"/>
      <c r="K82" s="189"/>
      <c r="L82" s="189"/>
      <c r="M82" s="189"/>
      <c r="N82" s="189"/>
      <c r="O82" s="189"/>
      <c r="P82" s="189"/>
      <c r="Q82" s="499">
        <f t="shared" si="43"/>
        <v>0</v>
      </c>
      <c r="R82" s="489">
        <f t="shared" si="44"/>
        <v>0</v>
      </c>
      <c r="S82" s="213">
        <f t="shared" si="45"/>
        <v>0</v>
      </c>
      <c r="T82" s="213">
        <f t="shared" si="46"/>
        <v>0</v>
      </c>
      <c r="U82" s="213">
        <f t="shared" si="47"/>
        <v>0</v>
      </c>
      <c r="V82" s="213">
        <f t="shared" si="48"/>
        <v>0</v>
      </c>
      <c r="W82" s="222">
        <f t="shared" si="49"/>
        <v>0</v>
      </c>
      <c r="X82" s="300"/>
      <c r="Y82" s="301"/>
      <c r="Z82" s="302"/>
      <c r="AA82" s="300"/>
      <c r="AB82" s="301"/>
      <c r="AC82" s="302"/>
      <c r="AD82" s="339"/>
      <c r="AE82" s="301"/>
      <c r="AF82" s="302"/>
      <c r="AG82" s="299"/>
      <c r="AH82" s="297"/>
      <c r="AI82" s="298"/>
      <c r="AJ82" s="296"/>
      <c r="AK82" s="297"/>
      <c r="AL82" s="297"/>
      <c r="AM82" s="300"/>
      <c r="AN82" s="301"/>
      <c r="AO82" s="302"/>
      <c r="AP82" s="191"/>
      <c r="AQ82" s="192"/>
      <c r="AR82" s="194"/>
      <c r="AS82" s="264"/>
      <c r="AT82" s="264"/>
    </row>
    <row r="83" spans="1:46" s="128" customFormat="1" ht="15.75" x14ac:dyDescent="0.25">
      <c r="A83" s="325"/>
      <c r="B83" s="190"/>
      <c r="C83" s="190"/>
      <c r="D83" s="189"/>
      <c r="E83" s="189"/>
      <c r="F83" s="189"/>
      <c r="G83" s="189"/>
      <c r="H83" s="189"/>
      <c r="I83" s="189"/>
      <c r="J83" s="190"/>
      <c r="K83" s="189"/>
      <c r="L83" s="189"/>
      <c r="M83" s="189"/>
      <c r="N83" s="189"/>
      <c r="O83" s="189"/>
      <c r="P83" s="189"/>
      <c r="Q83" s="499">
        <f t="shared" si="43"/>
        <v>0</v>
      </c>
      <c r="R83" s="489">
        <f t="shared" si="44"/>
        <v>0</v>
      </c>
      <c r="S83" s="213">
        <f t="shared" si="45"/>
        <v>0</v>
      </c>
      <c r="T83" s="213">
        <f t="shared" si="46"/>
        <v>0</v>
      </c>
      <c r="U83" s="213">
        <f t="shared" si="47"/>
        <v>0</v>
      </c>
      <c r="V83" s="213">
        <f t="shared" si="48"/>
        <v>0</v>
      </c>
      <c r="W83" s="222">
        <f t="shared" si="49"/>
        <v>0</v>
      </c>
      <c r="X83" s="300"/>
      <c r="Y83" s="301"/>
      <c r="Z83" s="302"/>
      <c r="AA83" s="300"/>
      <c r="AB83" s="301"/>
      <c r="AC83" s="302"/>
      <c r="AD83" s="339"/>
      <c r="AE83" s="301"/>
      <c r="AF83" s="302"/>
      <c r="AG83" s="299"/>
      <c r="AH83" s="297"/>
      <c r="AI83" s="298"/>
      <c r="AJ83" s="296"/>
      <c r="AK83" s="297"/>
      <c r="AL83" s="297"/>
      <c r="AM83" s="300"/>
      <c r="AN83" s="301"/>
      <c r="AO83" s="302"/>
      <c r="AP83" s="191"/>
      <c r="AQ83" s="192"/>
      <c r="AR83" s="194"/>
      <c r="AS83" s="264"/>
      <c r="AT83" s="264"/>
    </row>
    <row r="84" spans="1:46" s="128" customFormat="1" ht="15.75" x14ac:dyDescent="0.25">
      <c r="A84" s="325"/>
      <c r="B84" s="190"/>
      <c r="C84" s="190"/>
      <c r="D84" s="189"/>
      <c r="E84" s="189"/>
      <c r="F84" s="189"/>
      <c r="G84" s="189"/>
      <c r="H84" s="189"/>
      <c r="I84" s="189"/>
      <c r="J84" s="190"/>
      <c r="K84" s="189"/>
      <c r="L84" s="189"/>
      <c r="M84" s="189"/>
      <c r="N84" s="189"/>
      <c r="O84" s="189"/>
      <c r="P84" s="189"/>
      <c r="Q84" s="499">
        <f t="shared" si="43"/>
        <v>0</v>
      </c>
      <c r="R84" s="489">
        <f t="shared" si="44"/>
        <v>0</v>
      </c>
      <c r="S84" s="213">
        <f t="shared" si="45"/>
        <v>0</v>
      </c>
      <c r="T84" s="213">
        <f t="shared" si="46"/>
        <v>0</v>
      </c>
      <c r="U84" s="213">
        <f t="shared" si="47"/>
        <v>0</v>
      </c>
      <c r="V84" s="213">
        <f t="shared" si="48"/>
        <v>0</v>
      </c>
      <c r="W84" s="222">
        <f t="shared" si="49"/>
        <v>0</v>
      </c>
      <c r="X84" s="300"/>
      <c r="Y84" s="301"/>
      <c r="Z84" s="302"/>
      <c r="AA84" s="300"/>
      <c r="AB84" s="301"/>
      <c r="AC84" s="302"/>
      <c r="AD84" s="339"/>
      <c r="AE84" s="301"/>
      <c r="AF84" s="302"/>
      <c r="AG84" s="299"/>
      <c r="AH84" s="297"/>
      <c r="AI84" s="298"/>
      <c r="AJ84" s="296"/>
      <c r="AK84" s="297"/>
      <c r="AL84" s="297"/>
      <c r="AM84" s="300"/>
      <c r="AN84" s="301"/>
      <c r="AO84" s="302"/>
      <c r="AP84" s="191"/>
      <c r="AQ84" s="192"/>
      <c r="AR84" s="194"/>
      <c r="AS84" s="264"/>
      <c r="AT84" s="264"/>
    </row>
    <row r="85" spans="1:46" s="128" customFormat="1" ht="15.75" x14ac:dyDescent="0.25">
      <c r="A85" s="325"/>
      <c r="B85" s="190"/>
      <c r="C85" s="190"/>
      <c r="D85" s="189"/>
      <c r="E85" s="189"/>
      <c r="F85" s="189"/>
      <c r="G85" s="189"/>
      <c r="H85" s="189"/>
      <c r="I85" s="189"/>
      <c r="J85" s="190"/>
      <c r="K85" s="189"/>
      <c r="L85" s="189"/>
      <c r="M85" s="189"/>
      <c r="N85" s="189"/>
      <c r="O85" s="189"/>
      <c r="P85" s="189"/>
      <c r="Q85" s="499">
        <f t="shared" si="43"/>
        <v>0</v>
      </c>
      <c r="R85" s="489">
        <f t="shared" si="44"/>
        <v>0</v>
      </c>
      <c r="S85" s="213">
        <f t="shared" si="45"/>
        <v>0</v>
      </c>
      <c r="T85" s="213">
        <f t="shared" si="46"/>
        <v>0</v>
      </c>
      <c r="U85" s="213">
        <f t="shared" si="47"/>
        <v>0</v>
      </c>
      <c r="V85" s="213">
        <f t="shared" si="48"/>
        <v>0</v>
      </c>
      <c r="W85" s="222">
        <f t="shared" si="49"/>
        <v>0</v>
      </c>
      <c r="X85" s="300"/>
      <c r="Y85" s="301"/>
      <c r="Z85" s="302"/>
      <c r="AA85" s="300"/>
      <c r="AB85" s="301"/>
      <c r="AC85" s="302"/>
      <c r="AD85" s="339"/>
      <c r="AE85" s="301"/>
      <c r="AF85" s="302"/>
      <c r="AG85" s="299"/>
      <c r="AH85" s="297"/>
      <c r="AI85" s="298"/>
      <c r="AJ85" s="296"/>
      <c r="AK85" s="297"/>
      <c r="AL85" s="297"/>
      <c r="AM85" s="300"/>
      <c r="AN85" s="301"/>
      <c r="AO85" s="302"/>
      <c r="AP85" s="191"/>
      <c r="AQ85" s="192"/>
      <c r="AR85" s="194"/>
      <c r="AS85" s="264"/>
      <c r="AT85" s="264"/>
    </row>
    <row r="86" spans="1:46" s="128" customFormat="1" ht="15.75" x14ac:dyDescent="0.25">
      <c r="A86" s="325"/>
      <c r="B86" s="190"/>
      <c r="C86" s="190"/>
      <c r="D86" s="189"/>
      <c r="E86" s="189"/>
      <c r="F86" s="189"/>
      <c r="G86" s="189"/>
      <c r="H86" s="189"/>
      <c r="I86" s="189"/>
      <c r="J86" s="190"/>
      <c r="K86" s="189"/>
      <c r="L86" s="189"/>
      <c r="M86" s="189"/>
      <c r="N86" s="189"/>
      <c r="O86" s="189"/>
      <c r="P86" s="189"/>
      <c r="Q86" s="499">
        <f t="shared" si="43"/>
        <v>0</v>
      </c>
      <c r="R86" s="489">
        <f t="shared" si="44"/>
        <v>0</v>
      </c>
      <c r="S86" s="213">
        <f t="shared" si="45"/>
        <v>0</v>
      </c>
      <c r="T86" s="213">
        <f t="shared" si="46"/>
        <v>0</v>
      </c>
      <c r="U86" s="213">
        <f t="shared" si="47"/>
        <v>0</v>
      </c>
      <c r="V86" s="213">
        <f t="shared" si="48"/>
        <v>0</v>
      </c>
      <c r="W86" s="222">
        <f t="shared" si="49"/>
        <v>0</v>
      </c>
      <c r="X86" s="300"/>
      <c r="Y86" s="301"/>
      <c r="Z86" s="302"/>
      <c r="AA86" s="300"/>
      <c r="AB86" s="301"/>
      <c r="AC86" s="302"/>
      <c r="AD86" s="339"/>
      <c r="AE86" s="301"/>
      <c r="AF86" s="302"/>
      <c r="AG86" s="299"/>
      <c r="AH86" s="297"/>
      <c r="AI86" s="298"/>
      <c r="AJ86" s="296"/>
      <c r="AK86" s="297"/>
      <c r="AL86" s="297"/>
      <c r="AM86" s="300"/>
      <c r="AN86" s="301"/>
      <c r="AO86" s="302"/>
      <c r="AP86" s="191"/>
      <c r="AQ86" s="192"/>
      <c r="AR86" s="194"/>
      <c r="AS86" s="264"/>
      <c r="AT86" s="264"/>
    </row>
    <row r="87" spans="1:46" s="128" customFormat="1" ht="15.75" x14ac:dyDescent="0.25">
      <c r="A87" s="325"/>
      <c r="B87" s="190"/>
      <c r="C87" s="190"/>
      <c r="D87" s="189"/>
      <c r="E87" s="189"/>
      <c r="F87" s="189"/>
      <c r="G87" s="189"/>
      <c r="H87" s="189"/>
      <c r="I87" s="189"/>
      <c r="J87" s="190"/>
      <c r="K87" s="189"/>
      <c r="L87" s="189"/>
      <c r="M87" s="189"/>
      <c r="N87" s="189"/>
      <c r="O87" s="189"/>
      <c r="P87" s="189"/>
      <c r="Q87" s="499">
        <f t="shared" si="43"/>
        <v>0</v>
      </c>
      <c r="R87" s="489">
        <f t="shared" si="44"/>
        <v>0</v>
      </c>
      <c r="S87" s="213">
        <f t="shared" si="45"/>
        <v>0</v>
      </c>
      <c r="T87" s="213">
        <f t="shared" si="46"/>
        <v>0</v>
      </c>
      <c r="U87" s="213">
        <f t="shared" si="47"/>
        <v>0</v>
      </c>
      <c r="V87" s="213">
        <f t="shared" si="48"/>
        <v>0</v>
      </c>
      <c r="W87" s="222">
        <f t="shared" si="49"/>
        <v>0</v>
      </c>
      <c r="X87" s="300"/>
      <c r="Y87" s="301"/>
      <c r="Z87" s="302"/>
      <c r="AA87" s="300"/>
      <c r="AB87" s="301"/>
      <c r="AC87" s="302"/>
      <c r="AD87" s="339"/>
      <c r="AE87" s="301"/>
      <c r="AF87" s="302"/>
      <c r="AG87" s="299"/>
      <c r="AH87" s="297"/>
      <c r="AI87" s="298"/>
      <c r="AJ87" s="296"/>
      <c r="AK87" s="297"/>
      <c r="AL87" s="297"/>
      <c r="AM87" s="300"/>
      <c r="AN87" s="301"/>
      <c r="AO87" s="302"/>
      <c r="AP87" s="191"/>
      <c r="AQ87" s="192"/>
      <c r="AR87" s="194"/>
      <c r="AS87" s="264"/>
      <c r="AT87" s="264"/>
    </row>
    <row r="88" spans="1:46" s="128" customFormat="1" ht="15.75" x14ac:dyDescent="0.25">
      <c r="A88" s="326" t="s">
        <v>253</v>
      </c>
      <c r="B88" s="190"/>
      <c r="C88" s="190"/>
      <c r="D88" s="189"/>
      <c r="E88" s="189"/>
      <c r="F88" s="189"/>
      <c r="G88" s="189"/>
      <c r="H88" s="189"/>
      <c r="I88" s="189"/>
      <c r="J88" s="190"/>
      <c r="K88" s="189"/>
      <c r="L88" s="189"/>
      <c r="M88" s="189"/>
      <c r="N88" s="189"/>
      <c r="O88" s="189"/>
      <c r="P88" s="189"/>
      <c r="Q88" s="499">
        <f t="shared" si="43"/>
        <v>0</v>
      </c>
      <c r="R88" s="489">
        <f t="shared" si="44"/>
        <v>0</v>
      </c>
      <c r="S88" s="213">
        <f t="shared" si="45"/>
        <v>0</v>
      </c>
      <c r="T88" s="213">
        <f t="shared" si="46"/>
        <v>0</v>
      </c>
      <c r="U88" s="213">
        <f t="shared" si="47"/>
        <v>0</v>
      </c>
      <c r="V88" s="213">
        <f t="shared" si="48"/>
        <v>0</v>
      </c>
      <c r="W88" s="222">
        <f t="shared" si="49"/>
        <v>0</v>
      </c>
      <c r="X88" s="300"/>
      <c r="Y88" s="301"/>
      <c r="Z88" s="302"/>
      <c r="AA88" s="300"/>
      <c r="AB88" s="301"/>
      <c r="AC88" s="302"/>
      <c r="AD88" s="339"/>
      <c r="AE88" s="301"/>
      <c r="AF88" s="302"/>
      <c r="AG88" s="299"/>
      <c r="AH88" s="297"/>
      <c r="AI88" s="298"/>
      <c r="AJ88" s="296"/>
      <c r="AK88" s="297"/>
      <c r="AL88" s="297"/>
      <c r="AM88" s="300"/>
      <c r="AN88" s="301"/>
      <c r="AO88" s="302"/>
      <c r="AP88" s="191"/>
      <c r="AQ88" s="192"/>
      <c r="AR88" s="345"/>
      <c r="AS88" s="264"/>
      <c r="AT88" s="264"/>
    </row>
    <row r="89" spans="1:46" s="128" customFormat="1" ht="14.45" customHeight="1" x14ac:dyDescent="0.25">
      <c r="A89" s="325" t="s">
        <v>114</v>
      </c>
      <c r="B89" s="190" t="s">
        <v>174</v>
      </c>
      <c r="C89" s="190" t="s">
        <v>750</v>
      </c>
      <c r="D89" s="189" t="s">
        <v>254</v>
      </c>
      <c r="E89" s="189" t="s">
        <v>255</v>
      </c>
      <c r="F89" s="189" t="s">
        <v>185</v>
      </c>
      <c r="G89" s="189" t="s">
        <v>117</v>
      </c>
      <c r="H89" s="189" t="s">
        <v>256</v>
      </c>
      <c r="I89" s="189" t="s">
        <v>257</v>
      </c>
      <c r="J89" s="190" t="s">
        <v>258</v>
      </c>
      <c r="K89" s="189" t="s">
        <v>259</v>
      </c>
      <c r="L89" s="189">
        <v>6</v>
      </c>
      <c r="M89" s="189" t="s">
        <v>103</v>
      </c>
      <c r="N89" s="189" t="s">
        <v>260</v>
      </c>
      <c r="O89" s="189" t="s">
        <v>261</v>
      </c>
      <c r="P89" s="189" t="s">
        <v>105</v>
      </c>
      <c r="Q89" s="499">
        <f t="shared" si="1"/>
        <v>236800</v>
      </c>
      <c r="R89" s="489">
        <f t="shared" si="11"/>
        <v>0</v>
      </c>
      <c r="S89" s="213">
        <f t="shared" si="24"/>
        <v>0</v>
      </c>
      <c r="T89" s="213">
        <f>SUM(AD89:AF89)</f>
        <v>236800</v>
      </c>
      <c r="U89" s="213">
        <f t="shared" si="12"/>
        <v>0</v>
      </c>
      <c r="V89" s="213">
        <f t="shared" si="13"/>
        <v>0</v>
      </c>
      <c r="W89" s="222">
        <f t="shared" si="8"/>
        <v>0</v>
      </c>
      <c r="X89" s="300"/>
      <c r="Y89" s="301"/>
      <c r="Z89" s="302"/>
      <c r="AA89" s="300">
        <v>0</v>
      </c>
      <c r="AB89" s="301"/>
      <c r="AC89" s="302"/>
      <c r="AD89" s="300">
        <v>236800</v>
      </c>
      <c r="AE89" s="301"/>
      <c r="AF89" s="302"/>
      <c r="AG89" s="306"/>
      <c r="AH89" s="305"/>
      <c r="AI89" s="302"/>
      <c r="AJ89" s="304"/>
      <c r="AK89" s="305"/>
      <c r="AL89" s="305"/>
      <c r="AM89" s="300"/>
      <c r="AN89" s="301"/>
      <c r="AO89" s="302"/>
      <c r="AP89" s="345" t="s">
        <v>262</v>
      </c>
      <c r="AQ89" s="192" t="s">
        <v>200</v>
      </c>
      <c r="AR89" s="345"/>
      <c r="AS89" s="264"/>
      <c r="AT89" s="264"/>
    </row>
    <row r="90" spans="1:46" s="128" customFormat="1" ht="14.45" customHeight="1" x14ac:dyDescent="0.25">
      <c r="A90" s="325" t="s">
        <v>114</v>
      </c>
      <c r="B90" s="190" t="s">
        <v>174</v>
      </c>
      <c r="C90" s="190" t="s">
        <v>750</v>
      </c>
      <c r="D90" s="189" t="s">
        <v>254</v>
      </c>
      <c r="E90" s="189" t="s">
        <v>97</v>
      </c>
      <c r="F90" s="189" t="s">
        <v>185</v>
      </c>
      <c r="G90" s="189" t="s">
        <v>117</v>
      </c>
      <c r="H90" s="189" t="s">
        <v>263</v>
      </c>
      <c r="I90" s="189" t="s">
        <v>264</v>
      </c>
      <c r="J90" s="190" t="s">
        <v>265</v>
      </c>
      <c r="K90" s="189" t="s">
        <v>266</v>
      </c>
      <c r="L90" s="189">
        <v>6</v>
      </c>
      <c r="M90" s="189" t="s">
        <v>103</v>
      </c>
      <c r="N90" s="189" t="s">
        <v>260</v>
      </c>
      <c r="O90" s="189" t="s">
        <v>267</v>
      </c>
      <c r="P90" s="189" t="s">
        <v>105</v>
      </c>
      <c r="Q90" s="499">
        <f t="shared" si="1"/>
        <v>493800</v>
      </c>
      <c r="R90" s="489">
        <f t="shared" si="11"/>
        <v>0</v>
      </c>
      <c r="S90" s="213">
        <f t="shared" si="24"/>
        <v>200000</v>
      </c>
      <c r="T90" s="213">
        <f>SUM(AD90:AF90)</f>
        <v>293800</v>
      </c>
      <c r="U90" s="213">
        <f t="shared" si="12"/>
        <v>0</v>
      </c>
      <c r="V90" s="213">
        <f t="shared" si="13"/>
        <v>0</v>
      </c>
      <c r="W90" s="222">
        <f t="shared" si="8"/>
        <v>0</v>
      </c>
      <c r="X90" s="300"/>
      <c r="Y90" s="301"/>
      <c r="Z90" s="302"/>
      <c r="AA90" s="300">
        <v>200000</v>
      </c>
      <c r="AB90" s="300">
        <v>0</v>
      </c>
      <c r="AC90" s="302"/>
      <c r="AD90" s="300">
        <v>293800</v>
      </c>
      <c r="AE90" s="301"/>
      <c r="AF90" s="302"/>
      <c r="AG90" s="306"/>
      <c r="AH90" s="305"/>
      <c r="AI90" s="302"/>
      <c r="AJ90" s="304"/>
      <c r="AK90" s="305"/>
      <c r="AL90" s="305"/>
      <c r="AM90" s="300"/>
      <c r="AN90" s="301"/>
      <c r="AO90" s="302"/>
      <c r="AP90" s="345" t="s">
        <v>268</v>
      </c>
      <c r="AQ90" s="192" t="s">
        <v>200</v>
      </c>
      <c r="AR90" s="345"/>
      <c r="AS90" s="264"/>
      <c r="AT90" s="264"/>
    </row>
    <row r="91" spans="1:46" s="173" customFormat="1" ht="14.45" customHeight="1" x14ac:dyDescent="0.25">
      <c r="A91" s="325" t="s">
        <v>114</v>
      </c>
      <c r="B91" s="190" t="s">
        <v>174</v>
      </c>
      <c r="C91" s="190" t="s">
        <v>174</v>
      </c>
      <c r="D91" s="189" t="s">
        <v>254</v>
      </c>
      <c r="E91" s="189"/>
      <c r="F91" s="189" t="s">
        <v>108</v>
      </c>
      <c r="G91" s="189" t="s">
        <v>117</v>
      </c>
      <c r="H91" s="189"/>
      <c r="I91" s="189" t="s">
        <v>269</v>
      </c>
      <c r="J91" s="282" t="s">
        <v>270</v>
      </c>
      <c r="K91" s="189" t="s">
        <v>271</v>
      </c>
      <c r="L91" s="189">
        <v>6</v>
      </c>
      <c r="M91" s="189" t="s">
        <v>103</v>
      </c>
      <c r="N91" s="189" t="s">
        <v>260</v>
      </c>
      <c r="O91" s="189"/>
      <c r="P91" s="189" t="s">
        <v>105</v>
      </c>
      <c r="Q91" s="499">
        <f t="shared" si="1"/>
        <v>61876</v>
      </c>
      <c r="R91" s="489">
        <f t="shared" si="11"/>
        <v>0</v>
      </c>
      <c r="S91" s="213">
        <f t="shared" si="24"/>
        <v>13000</v>
      </c>
      <c r="T91" s="213">
        <f t="shared" si="18"/>
        <v>25956</v>
      </c>
      <c r="U91" s="213">
        <f t="shared" si="12"/>
        <v>22920</v>
      </c>
      <c r="V91" s="213">
        <f t="shared" si="13"/>
        <v>0</v>
      </c>
      <c r="W91" s="222">
        <f t="shared" si="8"/>
        <v>0</v>
      </c>
      <c r="X91" s="300"/>
      <c r="Y91" s="301"/>
      <c r="Z91" s="302"/>
      <c r="AA91" s="300">
        <v>0</v>
      </c>
      <c r="AB91" s="301">
        <v>13000</v>
      </c>
      <c r="AC91" s="302">
        <v>0</v>
      </c>
      <c r="AD91" s="339">
        <v>0</v>
      </c>
      <c r="AE91" s="301">
        <v>25956</v>
      </c>
      <c r="AF91" s="302">
        <v>0</v>
      </c>
      <c r="AG91" s="299">
        <v>0</v>
      </c>
      <c r="AH91" s="297">
        <v>22920</v>
      </c>
      <c r="AI91" s="298">
        <v>0</v>
      </c>
      <c r="AJ91" s="296"/>
      <c r="AK91" s="297"/>
      <c r="AL91" s="297"/>
      <c r="AM91" s="300"/>
      <c r="AN91" s="301"/>
      <c r="AO91" s="302"/>
      <c r="AP91" s="194" t="s">
        <v>272</v>
      </c>
      <c r="AQ91" s="192"/>
      <c r="AR91" s="194"/>
      <c r="AS91" s="343"/>
      <c r="AT91" s="343"/>
    </row>
    <row r="92" spans="1:46" s="173" customFormat="1" ht="14.45" customHeight="1" x14ac:dyDescent="0.25">
      <c r="A92" s="325" t="s">
        <v>114</v>
      </c>
      <c r="B92" s="190" t="s">
        <v>174</v>
      </c>
      <c r="C92" s="190" t="s">
        <v>750</v>
      </c>
      <c r="D92" s="189" t="s">
        <v>254</v>
      </c>
      <c r="E92" s="189" t="s">
        <v>97</v>
      </c>
      <c r="F92" s="189" t="s">
        <v>98</v>
      </c>
      <c r="G92" s="198" t="s">
        <v>117</v>
      </c>
      <c r="H92" s="189" t="s">
        <v>273</v>
      </c>
      <c r="I92" s="189" t="s">
        <v>274</v>
      </c>
      <c r="J92" s="189" t="s">
        <v>275</v>
      </c>
      <c r="K92" s="189" t="s">
        <v>276</v>
      </c>
      <c r="L92" s="189">
        <v>6</v>
      </c>
      <c r="M92" s="189" t="s">
        <v>128</v>
      </c>
      <c r="N92" s="189" t="s">
        <v>260</v>
      </c>
      <c r="O92" s="189" t="s">
        <v>267</v>
      </c>
      <c r="P92" s="189" t="s">
        <v>105</v>
      </c>
      <c r="Q92" s="499">
        <f t="shared" si="1"/>
        <v>371200</v>
      </c>
      <c r="R92" s="489">
        <f t="shared" si="11"/>
        <v>0</v>
      </c>
      <c r="S92" s="213">
        <f t="shared" si="24"/>
        <v>0</v>
      </c>
      <c r="T92" s="213">
        <f t="shared" si="18"/>
        <v>0</v>
      </c>
      <c r="U92" s="213">
        <f t="shared" si="12"/>
        <v>115600</v>
      </c>
      <c r="V92" s="213">
        <f t="shared" si="13"/>
        <v>255600</v>
      </c>
      <c r="W92" s="222">
        <f t="shared" si="8"/>
        <v>0</v>
      </c>
      <c r="X92" s="300"/>
      <c r="Y92" s="301"/>
      <c r="Z92" s="302"/>
      <c r="AA92" s="300">
        <v>0</v>
      </c>
      <c r="AB92" s="301">
        <v>0</v>
      </c>
      <c r="AC92" s="302">
        <v>0</v>
      </c>
      <c r="AD92" s="627">
        <v>0</v>
      </c>
      <c r="AE92" s="301"/>
      <c r="AF92" s="302"/>
      <c r="AG92" s="299">
        <v>115600</v>
      </c>
      <c r="AH92" s="297"/>
      <c r="AI92" s="298"/>
      <c r="AJ92" s="296">
        <v>255600</v>
      </c>
      <c r="AK92" s="297"/>
      <c r="AL92" s="297"/>
      <c r="AM92" s="300"/>
      <c r="AN92" s="301"/>
      <c r="AO92" s="302"/>
      <c r="AP92" s="345" t="s">
        <v>268</v>
      </c>
      <c r="AQ92" s="192" t="s">
        <v>200</v>
      </c>
      <c r="AR92" s="194"/>
      <c r="AS92" s="343"/>
      <c r="AT92" s="343"/>
    </row>
    <row r="93" spans="1:46" s="128" customFormat="1" ht="14.45" customHeight="1" x14ac:dyDescent="0.25">
      <c r="A93" s="325" t="s">
        <v>114</v>
      </c>
      <c r="B93" s="190" t="s">
        <v>174</v>
      </c>
      <c r="C93" s="190" t="s">
        <v>750</v>
      </c>
      <c r="D93" s="189" t="s">
        <v>254</v>
      </c>
      <c r="E93" s="189" t="s">
        <v>97</v>
      </c>
      <c r="F93" s="189" t="s">
        <v>151</v>
      </c>
      <c r="G93" s="198" t="s">
        <v>117</v>
      </c>
      <c r="H93" s="189" t="s">
        <v>256</v>
      </c>
      <c r="I93" s="190" t="s">
        <v>277</v>
      </c>
      <c r="J93" s="190" t="s">
        <v>278</v>
      </c>
      <c r="K93" s="190" t="s">
        <v>279</v>
      </c>
      <c r="L93" s="189">
        <v>6</v>
      </c>
      <c r="M93" s="189" t="s">
        <v>128</v>
      </c>
      <c r="N93" s="189" t="s">
        <v>260</v>
      </c>
      <c r="O93" s="189" t="s">
        <v>267</v>
      </c>
      <c r="P93" s="189" t="s">
        <v>105</v>
      </c>
      <c r="Q93" s="499">
        <f t="shared" si="1"/>
        <v>0</v>
      </c>
      <c r="R93" s="489">
        <f t="shared" si="11"/>
        <v>0</v>
      </c>
      <c r="S93" s="213">
        <f t="shared" si="24"/>
        <v>0</v>
      </c>
      <c r="T93" s="213">
        <f t="shared" si="18"/>
        <v>0</v>
      </c>
      <c r="U93" s="213">
        <f t="shared" si="12"/>
        <v>0</v>
      </c>
      <c r="V93" s="213">
        <f t="shared" si="13"/>
        <v>0</v>
      </c>
      <c r="W93" s="222">
        <f t="shared" si="8"/>
        <v>0</v>
      </c>
      <c r="X93" s="300"/>
      <c r="Y93" s="301"/>
      <c r="Z93" s="302"/>
      <c r="AA93" s="300">
        <v>0</v>
      </c>
      <c r="AB93" s="301"/>
      <c r="AC93" s="302"/>
      <c r="AD93" s="627">
        <v>0</v>
      </c>
      <c r="AE93" s="309"/>
      <c r="AF93" s="310"/>
      <c r="AG93" s="308"/>
      <c r="AH93" s="309"/>
      <c r="AI93" s="310"/>
      <c r="AJ93" s="311"/>
      <c r="AK93" s="309"/>
      <c r="AL93" s="312"/>
      <c r="AM93" s="311"/>
      <c r="AN93" s="309"/>
      <c r="AO93" s="310"/>
      <c r="AP93" s="345" t="s">
        <v>268</v>
      </c>
      <c r="AQ93" s="192" t="s">
        <v>200</v>
      </c>
      <c r="AR93" s="345"/>
      <c r="AS93" s="264"/>
      <c r="AT93" s="264"/>
    </row>
    <row r="94" spans="1:46" s="128" customFormat="1" ht="14.45" customHeight="1" x14ac:dyDescent="0.25">
      <c r="A94" s="325" t="s">
        <v>114</v>
      </c>
      <c r="B94" s="190" t="s">
        <v>174</v>
      </c>
      <c r="C94" s="190" t="s">
        <v>750</v>
      </c>
      <c r="D94" s="189" t="s">
        <v>254</v>
      </c>
      <c r="E94" s="189" t="s">
        <v>97</v>
      </c>
      <c r="F94" s="189" t="s">
        <v>151</v>
      </c>
      <c r="G94" s="198" t="s">
        <v>117</v>
      </c>
      <c r="H94" s="189" t="s">
        <v>256</v>
      </c>
      <c r="I94" s="190" t="s">
        <v>280</v>
      </c>
      <c r="J94" s="190" t="s">
        <v>281</v>
      </c>
      <c r="K94" s="190" t="s">
        <v>282</v>
      </c>
      <c r="L94" s="189">
        <v>6</v>
      </c>
      <c r="M94" s="189" t="s">
        <v>103</v>
      </c>
      <c r="N94" s="189" t="s">
        <v>260</v>
      </c>
      <c r="O94" s="189" t="s">
        <v>267</v>
      </c>
      <c r="P94" s="189" t="s">
        <v>105</v>
      </c>
      <c r="Q94" s="499">
        <f t="shared" si="1"/>
        <v>183600</v>
      </c>
      <c r="R94" s="489">
        <f t="shared" si="11"/>
        <v>0</v>
      </c>
      <c r="S94" s="213">
        <f t="shared" si="24"/>
        <v>110000</v>
      </c>
      <c r="T94" s="213">
        <f t="shared" si="18"/>
        <v>73600</v>
      </c>
      <c r="U94" s="213">
        <f t="shared" si="12"/>
        <v>0</v>
      </c>
      <c r="V94" s="213">
        <f t="shared" si="13"/>
        <v>0</v>
      </c>
      <c r="W94" s="222">
        <f t="shared" si="8"/>
        <v>0</v>
      </c>
      <c r="X94" s="300"/>
      <c r="Y94" s="301"/>
      <c r="Z94" s="302"/>
      <c r="AA94" s="504">
        <v>110000</v>
      </c>
      <c r="AB94" s="301"/>
      <c r="AC94" s="302"/>
      <c r="AD94" s="339">
        <v>73600</v>
      </c>
      <c r="AE94" s="301"/>
      <c r="AF94" s="302"/>
      <c r="AG94" s="306"/>
      <c r="AH94" s="305"/>
      <c r="AI94" s="302"/>
      <c r="AJ94" s="306"/>
      <c r="AK94" s="305"/>
      <c r="AL94" s="305"/>
      <c r="AM94" s="300"/>
      <c r="AN94" s="301"/>
      <c r="AO94" s="302"/>
      <c r="AP94" s="345" t="s">
        <v>268</v>
      </c>
      <c r="AQ94" s="192" t="s">
        <v>200</v>
      </c>
      <c r="AR94" s="345"/>
      <c r="AS94" s="264"/>
      <c r="AT94" s="264"/>
    </row>
    <row r="95" spans="1:46" s="128" customFormat="1" ht="14.45" customHeight="1" x14ac:dyDescent="0.25">
      <c r="A95" s="325" t="s">
        <v>114</v>
      </c>
      <c r="B95" s="190" t="s">
        <v>174</v>
      </c>
      <c r="C95" s="190" t="s">
        <v>750</v>
      </c>
      <c r="D95" s="189" t="s">
        <v>254</v>
      </c>
      <c r="E95" s="189" t="s">
        <v>97</v>
      </c>
      <c r="F95" s="189" t="s">
        <v>151</v>
      </c>
      <c r="G95" s="198" t="s">
        <v>117</v>
      </c>
      <c r="H95" s="189" t="s">
        <v>256</v>
      </c>
      <c r="I95" s="190" t="s">
        <v>283</v>
      </c>
      <c r="J95" s="190" t="s">
        <v>284</v>
      </c>
      <c r="K95" s="190" t="s">
        <v>285</v>
      </c>
      <c r="L95" s="189">
        <v>6</v>
      </c>
      <c r="M95" s="189" t="s">
        <v>128</v>
      </c>
      <c r="N95" s="189" t="s">
        <v>260</v>
      </c>
      <c r="O95" s="189" t="s">
        <v>267</v>
      </c>
      <c r="P95" s="189" t="s">
        <v>105</v>
      </c>
      <c r="Q95" s="499">
        <f t="shared" si="1"/>
        <v>0</v>
      </c>
      <c r="R95" s="489">
        <f t="shared" si="11"/>
        <v>0</v>
      </c>
      <c r="S95" s="213">
        <f t="shared" si="24"/>
        <v>0</v>
      </c>
      <c r="T95" s="213">
        <f t="shared" si="18"/>
        <v>0</v>
      </c>
      <c r="U95" s="213">
        <f t="shared" si="12"/>
        <v>0</v>
      </c>
      <c r="V95" s="213">
        <f t="shared" si="13"/>
        <v>0</v>
      </c>
      <c r="W95" s="222">
        <f t="shared" si="8"/>
        <v>0</v>
      </c>
      <c r="X95" s="300"/>
      <c r="Y95" s="301"/>
      <c r="Z95" s="302"/>
      <c r="AA95" s="300">
        <v>0</v>
      </c>
      <c r="AB95" s="301"/>
      <c r="AC95" s="302"/>
      <c r="AD95" s="627">
        <v>0</v>
      </c>
      <c r="AE95" s="301"/>
      <c r="AF95" s="302"/>
      <c r="AG95" s="306"/>
      <c r="AH95" s="305"/>
      <c r="AI95" s="302"/>
      <c r="AJ95" s="306"/>
      <c r="AK95" s="305"/>
      <c r="AL95" s="305"/>
      <c r="AM95" s="300"/>
      <c r="AN95" s="301"/>
      <c r="AO95" s="302"/>
      <c r="AP95" s="345" t="s">
        <v>268</v>
      </c>
      <c r="AQ95" s="192" t="s">
        <v>200</v>
      </c>
      <c r="AR95" s="345"/>
      <c r="AS95" s="264"/>
      <c r="AT95" s="264"/>
    </row>
    <row r="96" spans="1:46" s="128" customFormat="1" ht="14.45" customHeight="1" x14ac:dyDescent="0.25">
      <c r="A96" s="325" t="s">
        <v>114</v>
      </c>
      <c r="B96" s="190" t="s">
        <v>174</v>
      </c>
      <c r="C96" s="190" t="s">
        <v>750</v>
      </c>
      <c r="D96" s="189" t="s">
        <v>254</v>
      </c>
      <c r="E96" s="189" t="s">
        <v>97</v>
      </c>
      <c r="F96" s="189" t="s">
        <v>98</v>
      </c>
      <c r="G96" s="198" t="s">
        <v>117</v>
      </c>
      <c r="H96" s="189" t="s">
        <v>256</v>
      </c>
      <c r="I96" s="190" t="s">
        <v>286</v>
      </c>
      <c r="J96" s="190" t="s">
        <v>287</v>
      </c>
      <c r="K96" s="190" t="s">
        <v>288</v>
      </c>
      <c r="L96" s="189">
        <v>6</v>
      </c>
      <c r="M96" s="189" t="s">
        <v>128</v>
      </c>
      <c r="N96" s="189" t="s">
        <v>260</v>
      </c>
      <c r="O96" s="189" t="s">
        <v>267</v>
      </c>
      <c r="P96" s="189" t="s">
        <v>105</v>
      </c>
      <c r="Q96" s="499">
        <f t="shared" si="1"/>
        <v>620000</v>
      </c>
      <c r="R96" s="489">
        <f t="shared" si="11"/>
        <v>0</v>
      </c>
      <c r="S96" s="213">
        <f t="shared" si="24"/>
        <v>0</v>
      </c>
      <c r="T96" s="213">
        <f t="shared" si="18"/>
        <v>0</v>
      </c>
      <c r="U96" s="213">
        <f t="shared" si="12"/>
        <v>345000</v>
      </c>
      <c r="V96" s="213">
        <f t="shared" si="13"/>
        <v>275000</v>
      </c>
      <c r="W96" s="222">
        <f t="shared" si="8"/>
        <v>0</v>
      </c>
      <c r="X96" s="300"/>
      <c r="Y96" s="301"/>
      <c r="Z96" s="302"/>
      <c r="AA96" s="300">
        <v>0</v>
      </c>
      <c r="AB96" s="301"/>
      <c r="AC96" s="302"/>
      <c r="AD96" s="627">
        <v>0</v>
      </c>
      <c r="AE96" s="301"/>
      <c r="AF96" s="302"/>
      <c r="AG96" s="306">
        <v>345000</v>
      </c>
      <c r="AH96" s="305"/>
      <c r="AI96" s="302"/>
      <c r="AJ96" s="306">
        <v>275000</v>
      </c>
      <c r="AK96" s="305"/>
      <c r="AL96" s="305"/>
      <c r="AM96" s="300"/>
      <c r="AN96" s="301"/>
      <c r="AO96" s="302"/>
      <c r="AP96" s="345" t="s">
        <v>268</v>
      </c>
      <c r="AQ96" s="192" t="s">
        <v>200</v>
      </c>
      <c r="AR96" s="345"/>
      <c r="AS96" s="264"/>
      <c r="AT96" s="264"/>
    </row>
    <row r="97" spans="1:46" s="128" customFormat="1" ht="14.45" customHeight="1" x14ac:dyDescent="0.25">
      <c r="A97" s="558" t="s">
        <v>114</v>
      </c>
      <c r="B97" s="559" t="s">
        <v>174</v>
      </c>
      <c r="C97" s="190" t="s">
        <v>750</v>
      </c>
      <c r="D97" s="560" t="s">
        <v>254</v>
      </c>
      <c r="E97" s="560" t="s">
        <v>97</v>
      </c>
      <c r="F97" s="560" t="s">
        <v>151</v>
      </c>
      <c r="G97" s="561" t="s">
        <v>117</v>
      </c>
      <c r="H97" s="560" t="s">
        <v>256</v>
      </c>
      <c r="I97" s="559" t="s">
        <v>289</v>
      </c>
      <c r="J97" s="559" t="s">
        <v>290</v>
      </c>
      <c r="K97" s="559" t="s">
        <v>291</v>
      </c>
      <c r="L97" s="560">
        <v>6</v>
      </c>
      <c r="M97" s="189" t="s">
        <v>128</v>
      </c>
      <c r="N97" s="560" t="s">
        <v>260</v>
      </c>
      <c r="O97" s="189" t="s">
        <v>267</v>
      </c>
      <c r="P97" s="560" t="s">
        <v>105</v>
      </c>
      <c r="Q97" s="562">
        <f t="shared" si="1"/>
        <v>225100</v>
      </c>
      <c r="R97" s="563">
        <f t="shared" si="11"/>
        <v>0</v>
      </c>
      <c r="S97" s="564">
        <f t="shared" si="24"/>
        <v>0</v>
      </c>
      <c r="T97" s="564">
        <f t="shared" si="18"/>
        <v>0</v>
      </c>
      <c r="U97" s="564">
        <f t="shared" si="12"/>
        <v>225100</v>
      </c>
      <c r="V97" s="564">
        <f t="shared" si="13"/>
        <v>0</v>
      </c>
      <c r="W97" s="565">
        <f>SUM(AM97:AO97)</f>
        <v>0</v>
      </c>
      <c r="X97" s="300"/>
      <c r="Y97" s="301"/>
      <c r="Z97" s="302"/>
      <c r="AA97" s="566">
        <v>0</v>
      </c>
      <c r="AB97" s="567"/>
      <c r="AC97" s="568"/>
      <c r="AD97" s="627">
        <v>0</v>
      </c>
      <c r="AE97" s="567"/>
      <c r="AF97" s="568"/>
      <c r="AG97" s="569">
        <v>225100</v>
      </c>
      <c r="AH97" s="570"/>
      <c r="AI97" s="568"/>
      <c r="AJ97" s="569"/>
      <c r="AK97" s="570"/>
      <c r="AL97" s="570"/>
      <c r="AM97" s="566"/>
      <c r="AN97" s="567"/>
      <c r="AO97" s="568"/>
      <c r="AP97" s="345" t="s">
        <v>268</v>
      </c>
      <c r="AQ97" s="571" t="s">
        <v>200</v>
      </c>
      <c r="AR97" s="283"/>
      <c r="AS97" s="572"/>
      <c r="AT97" s="572"/>
    </row>
    <row r="98" spans="1:46" s="591" customFormat="1" ht="165" x14ac:dyDescent="0.25">
      <c r="A98" s="189" t="s">
        <v>114</v>
      </c>
      <c r="B98" s="190" t="s">
        <v>174</v>
      </c>
      <c r="C98" s="190" t="s">
        <v>115</v>
      </c>
      <c r="D98" s="189" t="s">
        <v>254</v>
      </c>
      <c r="E98" s="189" t="s">
        <v>97</v>
      </c>
      <c r="F98" s="189" t="s">
        <v>185</v>
      </c>
      <c r="G98" s="198" t="s">
        <v>117</v>
      </c>
      <c r="H98" s="189" t="s">
        <v>256</v>
      </c>
      <c r="I98" s="190" t="s">
        <v>292</v>
      </c>
      <c r="J98" s="190" t="s">
        <v>293</v>
      </c>
      <c r="K98" s="190" t="s">
        <v>294</v>
      </c>
      <c r="L98" s="189">
        <v>6</v>
      </c>
      <c r="M98" s="189"/>
      <c r="N98" s="189" t="s">
        <v>260</v>
      </c>
      <c r="O98" s="189" t="s">
        <v>267</v>
      </c>
      <c r="P98" s="189" t="s">
        <v>191</v>
      </c>
      <c r="Q98" s="589">
        <f t="shared" si="1"/>
        <v>1120749</v>
      </c>
      <c r="R98" s="213">
        <f t="shared" si="11"/>
        <v>0</v>
      </c>
      <c r="S98" s="213">
        <f t="shared" si="24"/>
        <v>0</v>
      </c>
      <c r="T98" s="213">
        <f>SUM(AD98:AF98)</f>
        <v>278677</v>
      </c>
      <c r="U98" s="213">
        <f>SUM(AG98:AI98)</f>
        <v>279617</v>
      </c>
      <c r="V98" s="213">
        <f t="shared" si="13"/>
        <v>280667</v>
      </c>
      <c r="W98" s="213">
        <f t="shared" si="8"/>
        <v>281788</v>
      </c>
      <c r="X98" s="301">
        <v>0</v>
      </c>
      <c r="Y98" s="301">
        <v>0</v>
      </c>
      <c r="Z98" s="301">
        <v>0</v>
      </c>
      <c r="AA98" s="301">
        <v>0</v>
      </c>
      <c r="AB98" s="301">
        <v>0</v>
      </c>
      <c r="AC98" s="301">
        <v>0</v>
      </c>
      <c r="AD98" s="339">
        <v>0</v>
      </c>
      <c r="AE98" s="309">
        <v>224653</v>
      </c>
      <c r="AF98" s="309">
        <v>54024</v>
      </c>
      <c r="AG98" s="309">
        <v>0</v>
      </c>
      <c r="AH98" s="309">
        <v>224653</v>
      </c>
      <c r="AI98" s="309">
        <v>54964</v>
      </c>
      <c r="AJ98" s="309">
        <v>0</v>
      </c>
      <c r="AK98" s="309">
        <v>224653</v>
      </c>
      <c r="AL98" s="309">
        <v>56014</v>
      </c>
      <c r="AM98" s="309"/>
      <c r="AN98" s="309">
        <v>224653</v>
      </c>
      <c r="AO98" s="309">
        <v>57135</v>
      </c>
      <c r="AP98" s="345" t="s">
        <v>268</v>
      </c>
      <c r="AQ98" s="590" t="s">
        <v>295</v>
      </c>
      <c r="AR98" s="590" t="s">
        <v>296</v>
      </c>
      <c r="AS98" s="193" t="s">
        <v>297</v>
      </c>
      <c r="AT98" s="264" t="s">
        <v>252</v>
      </c>
    </row>
    <row r="99" spans="1:46" s="128" customFormat="1" ht="14.45" customHeight="1" x14ac:dyDescent="0.25">
      <c r="A99" s="573" t="s">
        <v>114</v>
      </c>
      <c r="B99" s="574" t="s">
        <v>298</v>
      </c>
      <c r="C99" s="574" t="s">
        <v>115</v>
      </c>
      <c r="D99" s="575" t="s">
        <v>299</v>
      </c>
      <c r="E99" s="575" t="s">
        <v>97</v>
      </c>
      <c r="F99" s="575" t="s">
        <v>185</v>
      </c>
      <c r="G99" s="576" t="s">
        <v>117</v>
      </c>
      <c r="H99" s="575" t="s">
        <v>300</v>
      </c>
      <c r="I99" s="574" t="s">
        <v>301</v>
      </c>
      <c r="J99" s="574" t="s">
        <v>302</v>
      </c>
      <c r="K99" s="574" t="s">
        <v>303</v>
      </c>
      <c r="L99" s="575">
        <v>3</v>
      </c>
      <c r="M99" s="189" t="s">
        <v>128</v>
      </c>
      <c r="N99" s="575" t="s">
        <v>304</v>
      </c>
      <c r="O99" s="575" t="s">
        <v>305</v>
      </c>
      <c r="P99" s="575" t="s">
        <v>105</v>
      </c>
      <c r="Q99" s="577">
        <f t="shared" si="1"/>
        <v>1850000</v>
      </c>
      <c r="R99" s="578">
        <f t="shared" si="11"/>
        <v>0</v>
      </c>
      <c r="S99" s="579">
        <f t="shared" si="24"/>
        <v>0</v>
      </c>
      <c r="T99" s="579">
        <f t="shared" si="18"/>
        <v>0</v>
      </c>
      <c r="U99" s="579">
        <f t="shared" si="12"/>
        <v>462500</v>
      </c>
      <c r="V99" s="579">
        <f t="shared" si="13"/>
        <v>925000</v>
      </c>
      <c r="W99" s="580">
        <f t="shared" si="8"/>
        <v>462500</v>
      </c>
      <c r="X99" s="300"/>
      <c r="Y99" s="301"/>
      <c r="Z99" s="302"/>
      <c r="AA99" s="581">
        <v>0</v>
      </c>
      <c r="AB99" s="582">
        <v>0</v>
      </c>
      <c r="AC99" s="298">
        <v>0</v>
      </c>
      <c r="AD99" s="627">
        <v>0</v>
      </c>
      <c r="AE99" s="584"/>
      <c r="AF99" s="585"/>
      <c r="AG99" s="583">
        <v>462500</v>
      </c>
      <c r="AH99" s="584"/>
      <c r="AI99" s="585"/>
      <c r="AJ99" s="586">
        <v>925000</v>
      </c>
      <c r="AK99" s="584"/>
      <c r="AL99" s="587"/>
      <c r="AM99" s="588">
        <v>462500</v>
      </c>
      <c r="AN99" s="584"/>
      <c r="AO99" s="585"/>
      <c r="AP99" s="191"/>
      <c r="AQ99" s="192" t="s">
        <v>306</v>
      </c>
      <c r="AR99" s="194"/>
      <c r="AS99" s="263"/>
      <c r="AT99" s="263"/>
    </row>
    <row r="100" spans="1:46" s="128" customFormat="1" ht="14.45" customHeight="1" x14ac:dyDescent="0.25">
      <c r="A100" s="325" t="s">
        <v>114</v>
      </c>
      <c r="B100" s="190" t="s">
        <v>298</v>
      </c>
      <c r="C100" s="190" t="s">
        <v>115</v>
      </c>
      <c r="D100" s="189" t="s">
        <v>299</v>
      </c>
      <c r="E100" s="189" t="s">
        <v>97</v>
      </c>
      <c r="F100" s="189" t="s">
        <v>185</v>
      </c>
      <c r="G100" s="198" t="s">
        <v>117</v>
      </c>
      <c r="H100" s="189" t="s">
        <v>300</v>
      </c>
      <c r="I100" s="190" t="s">
        <v>301</v>
      </c>
      <c r="J100" s="190" t="s">
        <v>307</v>
      </c>
      <c r="K100" s="190" t="s">
        <v>308</v>
      </c>
      <c r="L100" s="189">
        <v>3</v>
      </c>
      <c r="M100" s="189" t="s">
        <v>103</v>
      </c>
      <c r="N100" s="189" t="s">
        <v>304</v>
      </c>
      <c r="O100" s="189" t="s">
        <v>309</v>
      </c>
      <c r="P100" s="189" t="s">
        <v>105</v>
      </c>
      <c r="Q100" s="499">
        <f t="shared" si="1"/>
        <v>1500000</v>
      </c>
      <c r="R100" s="489">
        <f t="shared" si="11"/>
        <v>0</v>
      </c>
      <c r="S100" s="505">
        <f>SUM(AA100:AC100)</f>
        <v>147656</v>
      </c>
      <c r="T100" s="505">
        <f t="shared" si="18"/>
        <v>639844</v>
      </c>
      <c r="U100" s="505">
        <f t="shared" si="12"/>
        <v>712500</v>
      </c>
      <c r="V100" s="213">
        <f t="shared" si="13"/>
        <v>0</v>
      </c>
      <c r="W100" s="222">
        <f t="shared" si="8"/>
        <v>0</v>
      </c>
      <c r="X100" s="300"/>
      <c r="Y100" s="301"/>
      <c r="Z100" s="302"/>
      <c r="AA100" s="311">
        <v>147656</v>
      </c>
      <c r="AB100" s="309"/>
      <c r="AC100" s="310"/>
      <c r="AD100" s="308">
        <v>639844</v>
      </c>
      <c r="AE100" s="309"/>
      <c r="AF100" s="310"/>
      <c r="AG100" s="503">
        <v>712500</v>
      </c>
      <c r="AH100" s="309">
        <v>0</v>
      </c>
      <c r="AI100" s="310">
        <v>0</v>
      </c>
      <c r="AJ100" s="311"/>
      <c r="AK100" s="309"/>
      <c r="AL100" s="312"/>
      <c r="AM100" s="311"/>
      <c r="AN100" s="309"/>
      <c r="AO100" s="310"/>
      <c r="AP100" s="195"/>
      <c r="AQ100" s="192" t="s">
        <v>306</v>
      </c>
      <c r="AR100" s="345"/>
      <c r="AS100" s="264"/>
      <c r="AT100" s="264"/>
    </row>
    <row r="101" spans="1:46" s="128" customFormat="1" ht="195" x14ac:dyDescent="0.25">
      <c r="A101" s="325" t="s">
        <v>114</v>
      </c>
      <c r="B101" s="190" t="s">
        <v>298</v>
      </c>
      <c r="C101" s="190" t="s">
        <v>115</v>
      </c>
      <c r="D101" s="189" t="s">
        <v>299</v>
      </c>
      <c r="E101" s="189" t="s">
        <v>97</v>
      </c>
      <c r="F101" s="189" t="s">
        <v>185</v>
      </c>
      <c r="G101" s="198" t="s">
        <v>117</v>
      </c>
      <c r="H101" s="189" t="s">
        <v>300</v>
      </c>
      <c r="I101" s="190" t="s">
        <v>310</v>
      </c>
      <c r="J101" s="190" t="s">
        <v>311</v>
      </c>
      <c r="K101" s="190" t="s">
        <v>312</v>
      </c>
      <c r="L101" s="189">
        <v>3</v>
      </c>
      <c r="M101" s="189"/>
      <c r="N101" s="189" t="s">
        <v>304</v>
      </c>
      <c r="O101" s="189"/>
      <c r="P101" s="189" t="s">
        <v>133</v>
      </c>
      <c r="Q101" s="499">
        <f t="shared" si="1"/>
        <v>750000</v>
      </c>
      <c r="R101" s="489"/>
      <c r="S101" s="213">
        <f>SUM(AA101:AC101)</f>
        <v>250000</v>
      </c>
      <c r="T101" s="213">
        <f>SUM(AD101:AF101)</f>
        <v>500000</v>
      </c>
      <c r="U101" s="213"/>
      <c r="V101" s="213">
        <f t="shared" si="13"/>
        <v>0</v>
      </c>
      <c r="W101" s="222">
        <f t="shared" si="8"/>
        <v>0</v>
      </c>
      <c r="X101" s="300"/>
      <c r="Y101" s="301"/>
      <c r="Z101" s="302"/>
      <c r="AA101" s="300">
        <v>250000</v>
      </c>
      <c r="AB101" s="301"/>
      <c r="AC101" s="302"/>
      <c r="AD101" s="308">
        <v>500000</v>
      </c>
      <c r="AE101" s="309"/>
      <c r="AF101" s="310"/>
      <c r="AG101" s="308"/>
      <c r="AH101" s="309"/>
      <c r="AI101" s="310"/>
      <c r="AJ101" s="311"/>
      <c r="AK101" s="309"/>
      <c r="AL101" s="312"/>
      <c r="AM101" s="311"/>
      <c r="AN101" s="309"/>
      <c r="AO101" s="310"/>
      <c r="AP101" s="195"/>
      <c r="AQ101" s="192" t="s">
        <v>124</v>
      </c>
      <c r="AR101" s="345"/>
      <c r="AS101" s="264"/>
      <c r="AT101" s="264"/>
    </row>
    <row r="102" spans="1:46" s="542" customFormat="1" ht="14.45" customHeight="1" x14ac:dyDescent="0.25">
      <c r="A102" s="523" t="s">
        <v>114</v>
      </c>
      <c r="B102" s="513" t="s">
        <v>298</v>
      </c>
      <c r="C102" s="513" t="s">
        <v>115</v>
      </c>
      <c r="D102" s="516" t="s">
        <v>299</v>
      </c>
      <c r="E102" s="516" t="s">
        <v>97</v>
      </c>
      <c r="F102" s="516" t="s">
        <v>185</v>
      </c>
      <c r="G102" s="515" t="s">
        <v>117</v>
      </c>
      <c r="H102" s="516" t="s">
        <v>300</v>
      </c>
      <c r="I102" s="513" t="s">
        <v>301</v>
      </c>
      <c r="J102" s="513" t="s">
        <v>313</v>
      </c>
      <c r="K102" s="513" t="s">
        <v>314</v>
      </c>
      <c r="L102" s="516">
        <v>3</v>
      </c>
      <c r="M102" s="189" t="s">
        <v>103</v>
      </c>
      <c r="N102" s="516" t="s">
        <v>304</v>
      </c>
      <c r="O102" s="516"/>
      <c r="P102" s="516" t="s">
        <v>105</v>
      </c>
      <c r="Q102" s="543">
        <f t="shared" si="1"/>
        <v>960844</v>
      </c>
      <c r="R102" s="544">
        <f t="shared" si="11"/>
        <v>0</v>
      </c>
      <c r="S102" s="505">
        <f t="shared" si="24"/>
        <v>0</v>
      </c>
      <c r="T102" s="505">
        <f t="shared" si="18"/>
        <v>190156</v>
      </c>
      <c r="U102" s="505">
        <f t="shared" si="12"/>
        <v>256896</v>
      </c>
      <c r="V102" s="505">
        <f t="shared" si="13"/>
        <v>256896</v>
      </c>
      <c r="W102" s="501">
        <f t="shared" si="8"/>
        <v>256896</v>
      </c>
      <c r="X102" s="300"/>
      <c r="Y102" s="301"/>
      <c r="Z102" s="302"/>
      <c r="AA102" s="311">
        <v>0</v>
      </c>
      <c r="AB102" s="309"/>
      <c r="AC102" s="310"/>
      <c r="AD102" s="308"/>
      <c r="AE102" s="309">
        <v>190156</v>
      </c>
      <c r="AF102" s="310"/>
      <c r="AG102" s="503"/>
      <c r="AH102" s="519">
        <v>256896</v>
      </c>
      <c r="AI102" s="520"/>
      <c r="AJ102" s="502"/>
      <c r="AK102" s="519">
        <v>256896</v>
      </c>
      <c r="AL102" s="521"/>
      <c r="AM102" s="502"/>
      <c r="AN102" s="519">
        <v>256896</v>
      </c>
      <c r="AO102" s="520"/>
      <c r="AP102" s="550" t="s">
        <v>315</v>
      </c>
      <c r="AQ102" s="545" t="s">
        <v>295</v>
      </c>
      <c r="AR102" s="550"/>
      <c r="AS102" s="546"/>
      <c r="AT102" s="546"/>
    </row>
    <row r="103" spans="1:46" s="128" customFormat="1" ht="15.75" x14ac:dyDescent="0.25">
      <c r="A103" s="325"/>
      <c r="B103" s="190"/>
      <c r="C103" s="190"/>
      <c r="D103" s="189"/>
      <c r="E103" s="189"/>
      <c r="F103" s="189"/>
      <c r="G103" s="189"/>
      <c r="H103" s="189"/>
      <c r="I103" s="189"/>
      <c r="J103" s="190"/>
      <c r="K103" s="189"/>
      <c r="L103" s="189"/>
      <c r="M103" s="189"/>
      <c r="N103" s="189"/>
      <c r="O103" s="189"/>
      <c r="P103" s="189"/>
      <c r="Q103" s="499">
        <f t="shared" ref="Q103:Q113" si="50">SUM(R103:W103)</f>
        <v>0</v>
      </c>
      <c r="R103" s="489">
        <f t="shared" ref="R103:R113" si="51">SUM(X103:Z103)</f>
        <v>0</v>
      </c>
      <c r="S103" s="213">
        <f t="shared" ref="S103:S113" si="52">SUM(AA103:AC103)</f>
        <v>0</v>
      </c>
      <c r="T103" s="213">
        <f t="shared" ref="T103:T113" si="53">SUM(AD103:AF103)</f>
        <v>0</v>
      </c>
      <c r="U103" s="213">
        <f t="shared" ref="U103:U113" si="54">SUM(AG103:AI103)</f>
        <v>0</v>
      </c>
      <c r="V103" s="213">
        <f t="shared" ref="V103:V113" si="55">SUM(AJ103:AL103)</f>
        <v>0</v>
      </c>
      <c r="W103" s="222">
        <f t="shared" ref="W103:W113" si="56">SUM(AM103:AO103)</f>
        <v>0</v>
      </c>
      <c r="X103" s="300"/>
      <c r="Y103" s="301"/>
      <c r="Z103" s="302"/>
      <c r="AA103" s="300"/>
      <c r="AB103" s="301"/>
      <c r="AC103" s="302"/>
      <c r="AD103" s="339"/>
      <c r="AE103" s="301"/>
      <c r="AF103" s="302"/>
      <c r="AG103" s="299"/>
      <c r="AH103" s="297"/>
      <c r="AI103" s="298"/>
      <c r="AJ103" s="296"/>
      <c r="AK103" s="297"/>
      <c r="AL103" s="297"/>
      <c r="AM103" s="300"/>
      <c r="AN103" s="301"/>
      <c r="AO103" s="302"/>
      <c r="AP103" s="191"/>
      <c r="AQ103" s="192"/>
      <c r="AR103" s="194"/>
      <c r="AS103" s="264"/>
      <c r="AT103" s="264"/>
    </row>
    <row r="104" spans="1:46" s="128" customFormat="1" ht="15.75" x14ac:dyDescent="0.25">
      <c r="A104" s="325"/>
      <c r="B104" s="190"/>
      <c r="C104" s="190"/>
      <c r="D104" s="189"/>
      <c r="E104" s="189"/>
      <c r="F104" s="189"/>
      <c r="G104" s="189"/>
      <c r="H104" s="189"/>
      <c r="I104" s="189"/>
      <c r="J104" s="190"/>
      <c r="K104" s="189"/>
      <c r="L104" s="189"/>
      <c r="M104" s="189"/>
      <c r="N104" s="189"/>
      <c r="O104" s="189"/>
      <c r="P104" s="189"/>
      <c r="Q104" s="499">
        <f t="shared" si="50"/>
        <v>0</v>
      </c>
      <c r="R104" s="489">
        <f t="shared" si="51"/>
        <v>0</v>
      </c>
      <c r="S104" s="213">
        <f t="shared" si="52"/>
        <v>0</v>
      </c>
      <c r="T104" s="213">
        <f t="shared" si="53"/>
        <v>0</v>
      </c>
      <c r="U104" s="213">
        <f t="shared" si="54"/>
        <v>0</v>
      </c>
      <c r="V104" s="213">
        <f t="shared" si="55"/>
        <v>0</v>
      </c>
      <c r="W104" s="222">
        <f t="shared" si="56"/>
        <v>0</v>
      </c>
      <c r="X104" s="300"/>
      <c r="Y104" s="301"/>
      <c r="Z104" s="302"/>
      <c r="AA104" s="300"/>
      <c r="AB104" s="301"/>
      <c r="AC104" s="302"/>
      <c r="AD104" s="339"/>
      <c r="AE104" s="301"/>
      <c r="AF104" s="302"/>
      <c r="AG104" s="299"/>
      <c r="AH104" s="297"/>
      <c r="AI104" s="298"/>
      <c r="AJ104" s="296"/>
      <c r="AK104" s="297"/>
      <c r="AL104" s="297"/>
      <c r="AM104" s="300"/>
      <c r="AN104" s="301"/>
      <c r="AO104" s="302"/>
      <c r="AP104" s="191"/>
      <c r="AQ104" s="192"/>
      <c r="AR104" s="194"/>
      <c r="AS104" s="264"/>
      <c r="AT104" s="264"/>
    </row>
    <row r="105" spans="1:46" s="128" customFormat="1" ht="15.75" x14ac:dyDescent="0.25">
      <c r="A105" s="325"/>
      <c r="B105" s="190"/>
      <c r="C105" s="190"/>
      <c r="D105" s="189"/>
      <c r="E105" s="189"/>
      <c r="F105" s="189"/>
      <c r="G105" s="189"/>
      <c r="H105" s="189"/>
      <c r="I105" s="189"/>
      <c r="J105" s="190"/>
      <c r="K105" s="189"/>
      <c r="L105" s="189"/>
      <c r="M105" s="189"/>
      <c r="N105" s="189"/>
      <c r="O105" s="189"/>
      <c r="P105" s="189"/>
      <c r="Q105" s="499">
        <f t="shared" si="50"/>
        <v>0</v>
      </c>
      <c r="R105" s="489">
        <f t="shared" si="51"/>
        <v>0</v>
      </c>
      <c r="S105" s="213">
        <f t="shared" si="52"/>
        <v>0</v>
      </c>
      <c r="T105" s="213">
        <f t="shared" si="53"/>
        <v>0</v>
      </c>
      <c r="U105" s="213">
        <f t="shared" si="54"/>
        <v>0</v>
      </c>
      <c r="V105" s="213">
        <f t="shared" si="55"/>
        <v>0</v>
      </c>
      <c r="W105" s="222">
        <f t="shared" si="56"/>
        <v>0</v>
      </c>
      <c r="X105" s="300"/>
      <c r="Y105" s="301"/>
      <c r="Z105" s="302"/>
      <c r="AA105" s="300"/>
      <c r="AB105" s="301"/>
      <c r="AC105" s="302"/>
      <c r="AD105" s="339"/>
      <c r="AE105" s="301"/>
      <c r="AF105" s="302"/>
      <c r="AG105" s="299"/>
      <c r="AH105" s="297"/>
      <c r="AI105" s="298"/>
      <c r="AJ105" s="296"/>
      <c r="AK105" s="297"/>
      <c r="AL105" s="297"/>
      <c r="AM105" s="300"/>
      <c r="AN105" s="301"/>
      <c r="AO105" s="302"/>
      <c r="AP105" s="191"/>
      <c r="AQ105" s="192"/>
      <c r="AR105" s="194"/>
      <c r="AS105" s="264"/>
      <c r="AT105" s="264"/>
    </row>
    <row r="106" spans="1:46" s="128" customFormat="1" ht="15.75" x14ac:dyDescent="0.25">
      <c r="A106" s="325"/>
      <c r="B106" s="190"/>
      <c r="C106" s="190"/>
      <c r="D106" s="189"/>
      <c r="E106" s="189"/>
      <c r="F106" s="189"/>
      <c r="G106" s="189"/>
      <c r="H106" s="189"/>
      <c r="I106" s="189"/>
      <c r="J106" s="190"/>
      <c r="K106" s="189"/>
      <c r="L106" s="189"/>
      <c r="M106" s="189"/>
      <c r="N106" s="189"/>
      <c r="O106" s="189"/>
      <c r="P106" s="189"/>
      <c r="Q106" s="499">
        <f t="shared" si="50"/>
        <v>0</v>
      </c>
      <c r="R106" s="489">
        <f t="shared" si="51"/>
        <v>0</v>
      </c>
      <c r="S106" s="213">
        <f t="shared" si="52"/>
        <v>0</v>
      </c>
      <c r="T106" s="213">
        <f t="shared" si="53"/>
        <v>0</v>
      </c>
      <c r="U106" s="213">
        <f t="shared" si="54"/>
        <v>0</v>
      </c>
      <c r="V106" s="213">
        <f t="shared" si="55"/>
        <v>0</v>
      </c>
      <c r="W106" s="222">
        <f t="shared" si="56"/>
        <v>0</v>
      </c>
      <c r="X106" s="300"/>
      <c r="Y106" s="301"/>
      <c r="Z106" s="302"/>
      <c r="AA106" s="300"/>
      <c r="AB106" s="301"/>
      <c r="AC106" s="302"/>
      <c r="AD106" s="339"/>
      <c r="AE106" s="301"/>
      <c r="AF106" s="302"/>
      <c r="AG106" s="299"/>
      <c r="AH106" s="297"/>
      <c r="AI106" s="298"/>
      <c r="AJ106" s="296"/>
      <c r="AK106" s="297"/>
      <c r="AL106" s="297"/>
      <c r="AM106" s="300"/>
      <c r="AN106" s="301"/>
      <c r="AO106" s="302"/>
      <c r="AP106" s="191"/>
      <c r="AQ106" s="192"/>
      <c r="AR106" s="194"/>
      <c r="AS106" s="264"/>
      <c r="AT106" s="264"/>
    </row>
    <row r="107" spans="1:46" s="128" customFormat="1" ht="15.75" x14ac:dyDescent="0.25">
      <c r="A107" s="325"/>
      <c r="B107" s="190"/>
      <c r="C107" s="190"/>
      <c r="D107" s="189"/>
      <c r="E107" s="189"/>
      <c r="F107" s="189"/>
      <c r="G107" s="189"/>
      <c r="H107" s="189"/>
      <c r="I107" s="189"/>
      <c r="J107" s="190"/>
      <c r="K107" s="189"/>
      <c r="L107" s="189"/>
      <c r="M107" s="189"/>
      <c r="N107" s="189"/>
      <c r="O107" s="189"/>
      <c r="P107" s="189"/>
      <c r="Q107" s="499">
        <f t="shared" si="50"/>
        <v>0</v>
      </c>
      <c r="R107" s="489">
        <f t="shared" si="51"/>
        <v>0</v>
      </c>
      <c r="S107" s="213">
        <f t="shared" si="52"/>
        <v>0</v>
      </c>
      <c r="T107" s="213">
        <f t="shared" si="53"/>
        <v>0</v>
      </c>
      <c r="U107" s="213">
        <f t="shared" si="54"/>
        <v>0</v>
      </c>
      <c r="V107" s="213">
        <f t="shared" si="55"/>
        <v>0</v>
      </c>
      <c r="W107" s="222">
        <f t="shared" si="56"/>
        <v>0</v>
      </c>
      <c r="X107" s="300"/>
      <c r="Y107" s="301"/>
      <c r="Z107" s="302"/>
      <c r="AA107" s="300"/>
      <c r="AB107" s="301"/>
      <c r="AC107" s="302"/>
      <c r="AD107" s="339"/>
      <c r="AE107" s="301"/>
      <c r="AF107" s="302"/>
      <c r="AG107" s="299"/>
      <c r="AH107" s="297"/>
      <c r="AI107" s="298"/>
      <c r="AJ107" s="296"/>
      <c r="AK107" s="297"/>
      <c r="AL107" s="297"/>
      <c r="AM107" s="300"/>
      <c r="AN107" s="301"/>
      <c r="AO107" s="302"/>
      <c r="AP107" s="191"/>
      <c r="AQ107" s="192"/>
      <c r="AR107" s="194"/>
      <c r="AS107" s="264"/>
      <c r="AT107" s="264"/>
    </row>
    <row r="108" spans="1:46" s="128" customFormat="1" ht="15.75" x14ac:dyDescent="0.25">
      <c r="A108" s="325"/>
      <c r="B108" s="190"/>
      <c r="C108" s="190"/>
      <c r="D108" s="189"/>
      <c r="E108" s="189"/>
      <c r="F108" s="189"/>
      <c r="G108" s="189"/>
      <c r="H108" s="189"/>
      <c r="I108" s="189"/>
      <c r="J108" s="190"/>
      <c r="K108" s="189"/>
      <c r="L108" s="189"/>
      <c r="M108" s="189"/>
      <c r="N108" s="189"/>
      <c r="O108" s="189"/>
      <c r="P108" s="189"/>
      <c r="Q108" s="499">
        <f t="shared" si="50"/>
        <v>0</v>
      </c>
      <c r="R108" s="489">
        <f t="shared" si="51"/>
        <v>0</v>
      </c>
      <c r="S108" s="213">
        <f t="shared" si="52"/>
        <v>0</v>
      </c>
      <c r="T108" s="213">
        <f t="shared" si="53"/>
        <v>0</v>
      </c>
      <c r="U108" s="213">
        <f t="shared" si="54"/>
        <v>0</v>
      </c>
      <c r="V108" s="213">
        <f t="shared" si="55"/>
        <v>0</v>
      </c>
      <c r="W108" s="222">
        <f t="shared" si="56"/>
        <v>0</v>
      </c>
      <c r="X108" s="300"/>
      <c r="Y108" s="301"/>
      <c r="Z108" s="302"/>
      <c r="AA108" s="300"/>
      <c r="AB108" s="301"/>
      <c r="AC108" s="302"/>
      <c r="AD108" s="339"/>
      <c r="AE108" s="301"/>
      <c r="AF108" s="302"/>
      <c r="AG108" s="299"/>
      <c r="AH108" s="297"/>
      <c r="AI108" s="298"/>
      <c r="AJ108" s="296"/>
      <c r="AK108" s="297"/>
      <c r="AL108" s="297"/>
      <c r="AM108" s="300"/>
      <c r="AN108" s="301"/>
      <c r="AO108" s="302"/>
      <c r="AP108" s="191"/>
      <c r="AQ108" s="192"/>
      <c r="AR108" s="194"/>
      <c r="AS108" s="264"/>
      <c r="AT108" s="264"/>
    </row>
    <row r="109" spans="1:46" s="128" customFormat="1" ht="15.75" x14ac:dyDescent="0.25">
      <c r="A109" s="325"/>
      <c r="B109" s="190"/>
      <c r="C109" s="190"/>
      <c r="D109" s="189"/>
      <c r="E109" s="189"/>
      <c r="F109" s="189"/>
      <c r="G109" s="189"/>
      <c r="H109" s="189"/>
      <c r="I109" s="189"/>
      <c r="J109" s="190"/>
      <c r="K109" s="189"/>
      <c r="L109" s="189"/>
      <c r="M109" s="189"/>
      <c r="N109" s="189"/>
      <c r="O109" s="189"/>
      <c r="P109" s="189"/>
      <c r="Q109" s="499">
        <f t="shared" si="50"/>
        <v>0</v>
      </c>
      <c r="R109" s="489">
        <f t="shared" si="51"/>
        <v>0</v>
      </c>
      <c r="S109" s="213">
        <f t="shared" si="52"/>
        <v>0</v>
      </c>
      <c r="T109" s="213">
        <f t="shared" si="53"/>
        <v>0</v>
      </c>
      <c r="U109" s="213">
        <f t="shared" si="54"/>
        <v>0</v>
      </c>
      <c r="V109" s="213">
        <f t="shared" si="55"/>
        <v>0</v>
      </c>
      <c r="W109" s="222">
        <f t="shared" si="56"/>
        <v>0</v>
      </c>
      <c r="X109" s="300"/>
      <c r="Y109" s="301"/>
      <c r="Z109" s="302"/>
      <c r="AA109" s="300"/>
      <c r="AB109" s="301"/>
      <c r="AC109" s="302"/>
      <c r="AD109" s="339"/>
      <c r="AE109" s="301"/>
      <c r="AF109" s="302"/>
      <c r="AG109" s="299"/>
      <c r="AH109" s="297"/>
      <c r="AI109" s="298"/>
      <c r="AJ109" s="296"/>
      <c r="AK109" s="297"/>
      <c r="AL109" s="297"/>
      <c r="AM109" s="300"/>
      <c r="AN109" s="301"/>
      <c r="AO109" s="302"/>
      <c r="AP109" s="191"/>
      <c r="AQ109" s="192"/>
      <c r="AR109" s="194"/>
      <c r="AS109" s="264"/>
      <c r="AT109" s="264"/>
    </row>
    <row r="110" spans="1:46" s="128" customFormat="1" ht="15.75" x14ac:dyDescent="0.25">
      <c r="A110" s="325"/>
      <c r="B110" s="190"/>
      <c r="C110" s="190"/>
      <c r="D110" s="189"/>
      <c r="E110" s="189"/>
      <c r="F110" s="189"/>
      <c r="G110" s="189"/>
      <c r="H110" s="189"/>
      <c r="I110" s="189"/>
      <c r="J110" s="190"/>
      <c r="K110" s="189"/>
      <c r="L110" s="189"/>
      <c r="M110" s="189"/>
      <c r="N110" s="189"/>
      <c r="O110" s="189"/>
      <c r="P110" s="189"/>
      <c r="Q110" s="499">
        <f t="shared" si="50"/>
        <v>0</v>
      </c>
      <c r="R110" s="489">
        <f t="shared" si="51"/>
        <v>0</v>
      </c>
      <c r="S110" s="213">
        <f t="shared" si="52"/>
        <v>0</v>
      </c>
      <c r="T110" s="213">
        <f t="shared" si="53"/>
        <v>0</v>
      </c>
      <c r="U110" s="213">
        <f t="shared" si="54"/>
        <v>0</v>
      </c>
      <c r="V110" s="213">
        <f t="shared" si="55"/>
        <v>0</v>
      </c>
      <c r="W110" s="222">
        <f t="shared" si="56"/>
        <v>0</v>
      </c>
      <c r="X110" s="300"/>
      <c r="Y110" s="301"/>
      <c r="Z110" s="302"/>
      <c r="AA110" s="300"/>
      <c r="AB110" s="301"/>
      <c r="AC110" s="302"/>
      <c r="AD110" s="339"/>
      <c r="AE110" s="301"/>
      <c r="AF110" s="302"/>
      <c r="AG110" s="299"/>
      <c r="AH110" s="297"/>
      <c r="AI110" s="298"/>
      <c r="AJ110" s="296"/>
      <c r="AK110" s="297"/>
      <c r="AL110" s="297"/>
      <c r="AM110" s="300"/>
      <c r="AN110" s="301"/>
      <c r="AO110" s="302"/>
      <c r="AP110" s="191"/>
      <c r="AQ110" s="192"/>
      <c r="AR110" s="194"/>
      <c r="AS110" s="264"/>
      <c r="AT110" s="264"/>
    </row>
    <row r="111" spans="1:46" s="128" customFormat="1" ht="15.75" x14ac:dyDescent="0.25">
      <c r="A111" s="325"/>
      <c r="B111" s="190"/>
      <c r="C111" s="190"/>
      <c r="D111" s="189"/>
      <c r="E111" s="189"/>
      <c r="F111" s="189"/>
      <c r="G111" s="189"/>
      <c r="H111" s="189"/>
      <c r="I111" s="189"/>
      <c r="J111" s="190"/>
      <c r="K111" s="189"/>
      <c r="L111" s="189"/>
      <c r="M111" s="189"/>
      <c r="N111" s="189"/>
      <c r="O111" s="189"/>
      <c r="P111" s="189"/>
      <c r="Q111" s="499">
        <f t="shared" si="50"/>
        <v>0</v>
      </c>
      <c r="R111" s="489">
        <f t="shared" si="51"/>
        <v>0</v>
      </c>
      <c r="S111" s="213">
        <f t="shared" si="52"/>
        <v>0</v>
      </c>
      <c r="T111" s="213">
        <f t="shared" si="53"/>
        <v>0</v>
      </c>
      <c r="U111" s="213">
        <f t="shared" si="54"/>
        <v>0</v>
      </c>
      <c r="V111" s="213">
        <f t="shared" si="55"/>
        <v>0</v>
      </c>
      <c r="W111" s="222">
        <f t="shared" si="56"/>
        <v>0</v>
      </c>
      <c r="X111" s="300"/>
      <c r="Y111" s="301"/>
      <c r="Z111" s="302"/>
      <c r="AA111" s="300"/>
      <c r="AB111" s="301"/>
      <c r="AC111" s="302"/>
      <c r="AD111" s="339"/>
      <c r="AE111" s="301"/>
      <c r="AF111" s="302"/>
      <c r="AG111" s="299"/>
      <c r="AH111" s="297"/>
      <c r="AI111" s="298"/>
      <c r="AJ111" s="296"/>
      <c r="AK111" s="297"/>
      <c r="AL111" s="297"/>
      <c r="AM111" s="300"/>
      <c r="AN111" s="301"/>
      <c r="AO111" s="302"/>
      <c r="AP111" s="191"/>
      <c r="AQ111" s="192"/>
      <c r="AR111" s="194"/>
      <c r="AS111" s="264"/>
      <c r="AT111" s="264"/>
    </row>
    <row r="112" spans="1:46" s="128" customFormat="1" ht="15.75" x14ac:dyDescent="0.25">
      <c r="A112" s="325"/>
      <c r="B112" s="190"/>
      <c r="C112" s="190"/>
      <c r="D112" s="189"/>
      <c r="E112" s="189"/>
      <c r="F112" s="189"/>
      <c r="G112" s="189"/>
      <c r="H112" s="189"/>
      <c r="I112" s="189"/>
      <c r="J112" s="190"/>
      <c r="K112" s="189"/>
      <c r="L112" s="189"/>
      <c r="M112" s="189"/>
      <c r="N112" s="189"/>
      <c r="O112" s="189"/>
      <c r="P112" s="189"/>
      <c r="Q112" s="499">
        <f t="shared" si="50"/>
        <v>0</v>
      </c>
      <c r="R112" s="489">
        <f t="shared" si="51"/>
        <v>0</v>
      </c>
      <c r="S112" s="213">
        <f t="shared" si="52"/>
        <v>0</v>
      </c>
      <c r="T112" s="213">
        <f t="shared" si="53"/>
        <v>0</v>
      </c>
      <c r="U112" s="213">
        <f t="shared" si="54"/>
        <v>0</v>
      </c>
      <c r="V112" s="213">
        <f t="shared" si="55"/>
        <v>0</v>
      </c>
      <c r="W112" s="222">
        <f t="shared" si="56"/>
        <v>0</v>
      </c>
      <c r="X112" s="300"/>
      <c r="Y112" s="301"/>
      <c r="Z112" s="302"/>
      <c r="AA112" s="300"/>
      <c r="AB112" s="301"/>
      <c r="AC112" s="302"/>
      <c r="AD112" s="339"/>
      <c r="AE112" s="301"/>
      <c r="AF112" s="302"/>
      <c r="AG112" s="299"/>
      <c r="AH112" s="297"/>
      <c r="AI112" s="298"/>
      <c r="AJ112" s="296"/>
      <c r="AK112" s="297"/>
      <c r="AL112" s="297"/>
      <c r="AM112" s="300"/>
      <c r="AN112" s="301"/>
      <c r="AO112" s="302"/>
      <c r="AP112" s="191"/>
      <c r="AQ112" s="192"/>
      <c r="AR112" s="194"/>
      <c r="AS112" s="264"/>
      <c r="AT112" s="264"/>
    </row>
    <row r="113" spans="1:46" s="128" customFormat="1" ht="15.75" x14ac:dyDescent="0.25">
      <c r="A113" s="326" t="s">
        <v>316</v>
      </c>
      <c r="B113" s="190"/>
      <c r="C113" s="190"/>
      <c r="D113" s="189"/>
      <c r="E113" s="189"/>
      <c r="F113" s="189"/>
      <c r="G113" s="229"/>
      <c r="H113" s="189"/>
      <c r="I113" s="190"/>
      <c r="J113" s="190"/>
      <c r="K113" s="190"/>
      <c r="L113" s="189"/>
      <c r="M113" s="189"/>
      <c r="N113" s="189"/>
      <c r="O113" s="189"/>
      <c r="P113" s="189"/>
      <c r="Q113" s="499">
        <f t="shared" si="50"/>
        <v>0</v>
      </c>
      <c r="R113" s="489">
        <f t="shared" si="51"/>
        <v>0</v>
      </c>
      <c r="S113" s="213">
        <f t="shared" si="52"/>
        <v>0</v>
      </c>
      <c r="T113" s="213">
        <f t="shared" si="53"/>
        <v>0</v>
      </c>
      <c r="U113" s="213">
        <f t="shared" si="54"/>
        <v>0</v>
      </c>
      <c r="V113" s="213">
        <f t="shared" si="55"/>
        <v>0</v>
      </c>
      <c r="W113" s="222">
        <f t="shared" si="56"/>
        <v>0</v>
      </c>
      <c r="X113" s="300"/>
      <c r="Y113" s="301"/>
      <c r="Z113" s="302"/>
      <c r="AA113" s="300"/>
      <c r="AB113" s="301"/>
      <c r="AC113" s="302"/>
      <c r="AD113" s="308"/>
      <c r="AE113" s="309"/>
      <c r="AF113" s="310"/>
      <c r="AG113" s="308"/>
      <c r="AH113" s="309"/>
      <c r="AI113" s="310"/>
      <c r="AJ113" s="311"/>
      <c r="AK113" s="309"/>
      <c r="AL113" s="312"/>
      <c r="AM113" s="311"/>
      <c r="AN113" s="309"/>
      <c r="AO113" s="310"/>
      <c r="AP113" s="195"/>
      <c r="AQ113" s="192"/>
      <c r="AR113" s="345"/>
      <c r="AS113" s="264"/>
      <c r="AT113" s="264"/>
    </row>
    <row r="114" spans="1:46" s="128" customFormat="1" ht="195" x14ac:dyDescent="0.25">
      <c r="A114" s="325" t="s">
        <v>114</v>
      </c>
      <c r="B114" s="190" t="s">
        <v>2</v>
      </c>
      <c r="C114" s="190" t="s">
        <v>115</v>
      </c>
      <c r="D114" s="189" t="s">
        <v>317</v>
      </c>
      <c r="E114" s="189" t="s">
        <v>255</v>
      </c>
      <c r="F114" s="189" t="s">
        <v>151</v>
      </c>
      <c r="G114" s="198" t="s">
        <v>117</v>
      </c>
      <c r="H114" s="189" t="s">
        <v>318</v>
      </c>
      <c r="I114" s="190"/>
      <c r="J114" s="190" t="s">
        <v>319</v>
      </c>
      <c r="K114" s="190" t="s">
        <v>320</v>
      </c>
      <c r="L114" s="189" t="s">
        <v>321</v>
      </c>
      <c r="M114" s="189"/>
      <c r="N114" s="189"/>
      <c r="O114" s="189" t="s">
        <v>239</v>
      </c>
      <c r="P114" s="189" t="s">
        <v>133</v>
      </c>
      <c r="Q114" s="499">
        <f t="shared" si="1"/>
        <v>312400</v>
      </c>
      <c r="R114" s="489">
        <f t="shared" si="11"/>
        <v>0</v>
      </c>
      <c r="S114" s="213">
        <f t="shared" si="24"/>
        <v>112000</v>
      </c>
      <c r="T114" s="213">
        <f t="shared" si="18"/>
        <v>112000</v>
      </c>
      <c r="U114" s="213">
        <f t="shared" si="12"/>
        <v>88400</v>
      </c>
      <c r="V114" s="213">
        <f t="shared" si="13"/>
        <v>0</v>
      </c>
      <c r="W114" s="222">
        <f t="shared" si="8"/>
        <v>0</v>
      </c>
      <c r="X114" s="300"/>
      <c r="Y114" s="301"/>
      <c r="Z114" s="302"/>
      <c r="AA114" s="300">
        <v>112000</v>
      </c>
      <c r="AB114" s="301"/>
      <c r="AC114" s="302"/>
      <c r="AD114" s="308">
        <v>112000</v>
      </c>
      <c r="AE114" s="309"/>
      <c r="AF114" s="310"/>
      <c r="AG114" s="308">
        <v>88400</v>
      </c>
      <c r="AH114" s="309"/>
      <c r="AI114" s="310"/>
      <c r="AJ114" s="311"/>
      <c r="AK114" s="309"/>
      <c r="AL114" s="312"/>
      <c r="AM114" s="311"/>
      <c r="AN114" s="309"/>
      <c r="AO114" s="310"/>
      <c r="AP114" s="195"/>
      <c r="AQ114" s="192" t="s">
        <v>306</v>
      </c>
      <c r="AR114" s="345"/>
      <c r="AS114" s="264"/>
      <c r="AT114" s="264"/>
    </row>
    <row r="115" spans="1:46" s="128" customFormat="1" ht="90" x14ac:dyDescent="0.25">
      <c r="A115" s="325" t="s">
        <v>114</v>
      </c>
      <c r="B115" s="190" t="s">
        <v>2</v>
      </c>
      <c r="C115" s="190" t="s">
        <v>115</v>
      </c>
      <c r="D115" s="189" t="s">
        <v>317</v>
      </c>
      <c r="E115" s="189" t="s">
        <v>255</v>
      </c>
      <c r="F115" s="189" t="s">
        <v>185</v>
      </c>
      <c r="G115" s="198" t="s">
        <v>322</v>
      </c>
      <c r="H115" s="189" t="s">
        <v>318</v>
      </c>
      <c r="I115" s="190"/>
      <c r="J115" s="190" t="s">
        <v>323</v>
      </c>
      <c r="K115" s="190" t="s">
        <v>324</v>
      </c>
      <c r="L115" s="189" t="s">
        <v>325</v>
      </c>
      <c r="M115" s="189"/>
      <c r="N115" s="189"/>
      <c r="O115" s="189" t="s">
        <v>239</v>
      </c>
      <c r="P115" s="189" t="s">
        <v>191</v>
      </c>
      <c r="Q115" s="499">
        <f t="shared" si="1"/>
        <v>2269639</v>
      </c>
      <c r="R115" s="489">
        <f t="shared" si="11"/>
        <v>0</v>
      </c>
      <c r="S115" s="213">
        <f t="shared" si="24"/>
        <v>446308</v>
      </c>
      <c r="T115" s="213">
        <f t="shared" si="18"/>
        <v>864736</v>
      </c>
      <c r="U115" s="213">
        <f t="shared" si="12"/>
        <v>307931</v>
      </c>
      <c r="V115" s="213">
        <f t="shared" si="13"/>
        <v>264129</v>
      </c>
      <c r="W115" s="222">
        <f t="shared" si="8"/>
        <v>386535</v>
      </c>
      <c r="X115" s="300"/>
      <c r="Y115" s="301"/>
      <c r="Z115" s="302"/>
      <c r="AA115" s="300">
        <v>415480</v>
      </c>
      <c r="AB115" s="301">
        <v>10704</v>
      </c>
      <c r="AC115" s="302">
        <v>20124</v>
      </c>
      <c r="AD115" s="308">
        <v>783904</v>
      </c>
      <c r="AE115" s="309">
        <v>60205</v>
      </c>
      <c r="AF115" s="310">
        <v>20627</v>
      </c>
      <c r="AG115" s="308">
        <v>124440</v>
      </c>
      <c r="AH115" s="309">
        <v>162513</v>
      </c>
      <c r="AI115" s="310">
        <v>20978</v>
      </c>
      <c r="AJ115" s="311">
        <v>80240</v>
      </c>
      <c r="AK115" s="309">
        <v>162513</v>
      </c>
      <c r="AL115" s="310">
        <v>21376</v>
      </c>
      <c r="AM115" s="310">
        <v>46240</v>
      </c>
      <c r="AN115" s="309">
        <v>318513</v>
      </c>
      <c r="AO115" s="310">
        <v>21782</v>
      </c>
      <c r="AP115" s="195"/>
      <c r="AQ115" s="192" t="s">
        <v>295</v>
      </c>
      <c r="AR115" s="590"/>
      <c r="AS115" s="264" t="s">
        <v>326</v>
      </c>
      <c r="AT115" s="264" t="s">
        <v>252</v>
      </c>
    </row>
    <row r="116" spans="1:46" s="128" customFormat="1" ht="195" x14ac:dyDescent="0.25">
      <c r="A116" s="325" t="s">
        <v>114</v>
      </c>
      <c r="B116" s="190" t="s">
        <v>2</v>
      </c>
      <c r="C116" s="190" t="s">
        <v>115</v>
      </c>
      <c r="D116" s="189" t="s">
        <v>317</v>
      </c>
      <c r="E116" s="189" t="s">
        <v>255</v>
      </c>
      <c r="F116" s="189" t="s">
        <v>151</v>
      </c>
      <c r="G116" s="198" t="s">
        <v>117</v>
      </c>
      <c r="H116" s="189" t="s">
        <v>318</v>
      </c>
      <c r="I116" s="190"/>
      <c r="J116" s="190" t="s">
        <v>327</v>
      </c>
      <c r="K116" s="190" t="s">
        <v>320</v>
      </c>
      <c r="L116" s="189" t="s">
        <v>328</v>
      </c>
      <c r="M116" s="189"/>
      <c r="N116" s="189"/>
      <c r="O116" s="189" t="s">
        <v>239</v>
      </c>
      <c r="P116" s="189" t="s">
        <v>133</v>
      </c>
      <c r="Q116" s="499">
        <f t="shared" si="1"/>
        <v>200400</v>
      </c>
      <c r="R116" s="489">
        <f t="shared" si="11"/>
        <v>0</v>
      </c>
      <c r="S116" s="213">
        <f t="shared" si="24"/>
        <v>0</v>
      </c>
      <c r="T116" s="213">
        <f t="shared" si="18"/>
        <v>112000</v>
      </c>
      <c r="U116" s="213">
        <f t="shared" si="12"/>
        <v>88400</v>
      </c>
      <c r="V116" s="213">
        <f t="shared" si="13"/>
        <v>0</v>
      </c>
      <c r="W116" s="222">
        <f t="shared" si="8"/>
        <v>0</v>
      </c>
      <c r="X116" s="300">
        <v>0</v>
      </c>
      <c r="Y116" s="301"/>
      <c r="Z116" s="302"/>
      <c r="AA116" s="300">
        <v>0</v>
      </c>
      <c r="AB116" s="301"/>
      <c r="AC116" s="302"/>
      <c r="AD116" s="308">
        <v>112000</v>
      </c>
      <c r="AE116" s="309"/>
      <c r="AF116" s="310"/>
      <c r="AG116" s="308">
        <v>88400</v>
      </c>
      <c r="AH116" s="309"/>
      <c r="AI116" s="310"/>
      <c r="AJ116" s="311"/>
      <c r="AK116" s="309"/>
      <c r="AL116" s="312"/>
      <c r="AM116" s="311"/>
      <c r="AN116" s="309"/>
      <c r="AO116" s="310"/>
      <c r="AP116" s="195"/>
      <c r="AQ116" s="192" t="s">
        <v>306</v>
      </c>
      <c r="AR116" s="345"/>
      <c r="AS116" s="264"/>
      <c r="AT116" s="264"/>
    </row>
    <row r="117" spans="1:46" x14ac:dyDescent="0.25">
      <c r="AP117" s="1"/>
    </row>
    <row r="118" spans="1:46" x14ac:dyDescent="0.25">
      <c r="AP118" s="1"/>
    </row>
    <row r="119" spans="1:46" s="128" customFormat="1" ht="15.75" x14ac:dyDescent="0.25">
      <c r="A119" s="325"/>
      <c r="B119" s="190"/>
      <c r="C119" s="190"/>
      <c r="D119" s="189"/>
      <c r="E119" s="189"/>
      <c r="F119" s="189"/>
      <c r="G119" s="189"/>
      <c r="H119" s="189"/>
      <c r="I119" s="189"/>
      <c r="J119" s="190"/>
      <c r="K119" s="189"/>
      <c r="L119" s="189"/>
      <c r="M119" s="189"/>
      <c r="N119" s="189"/>
      <c r="O119" s="189"/>
      <c r="P119" s="189"/>
      <c r="Q119" s="499">
        <f t="shared" ref="Q119:Q128" si="57">SUM(R119:W119)</f>
        <v>0</v>
      </c>
      <c r="R119" s="489">
        <f t="shared" ref="R119:R128" si="58">SUM(X119:Z119)</f>
        <v>0</v>
      </c>
      <c r="S119" s="213">
        <f t="shared" ref="S119:S128" si="59">SUM(AA119:AC119)</f>
        <v>0</v>
      </c>
      <c r="T119" s="213">
        <f t="shared" ref="T119:T128" si="60">SUM(AD119:AF119)</f>
        <v>0</v>
      </c>
      <c r="U119" s="213">
        <f t="shared" ref="U119:U128" si="61">SUM(AG119:AI119)</f>
        <v>0</v>
      </c>
      <c r="V119" s="213">
        <f t="shared" ref="V119:V128" si="62">SUM(AJ119:AL119)</f>
        <v>0</v>
      </c>
      <c r="W119" s="222">
        <f t="shared" ref="W119:W128" si="63">SUM(AM119:AO119)</f>
        <v>0</v>
      </c>
      <c r="X119" s="300"/>
      <c r="Y119" s="301"/>
      <c r="Z119" s="302"/>
      <c r="AA119" s="300"/>
      <c r="AB119" s="301"/>
      <c r="AC119" s="302"/>
      <c r="AD119" s="339"/>
      <c r="AE119" s="301"/>
      <c r="AF119" s="302"/>
      <c r="AG119" s="299"/>
      <c r="AH119" s="297"/>
      <c r="AI119" s="298"/>
      <c r="AJ119" s="296"/>
      <c r="AK119" s="297"/>
      <c r="AL119" s="297"/>
      <c r="AM119" s="300"/>
      <c r="AN119" s="301"/>
      <c r="AO119" s="302"/>
      <c r="AP119" s="191"/>
      <c r="AQ119" s="192"/>
      <c r="AR119" s="194"/>
      <c r="AS119" s="264"/>
      <c r="AT119" s="264"/>
    </row>
    <row r="120" spans="1:46" s="128" customFormat="1" ht="15.75" x14ac:dyDescent="0.25">
      <c r="A120" s="325"/>
      <c r="B120" s="190"/>
      <c r="C120" s="190"/>
      <c r="D120" s="189"/>
      <c r="E120" s="189"/>
      <c r="F120" s="189"/>
      <c r="G120" s="189"/>
      <c r="H120" s="189"/>
      <c r="I120" s="189"/>
      <c r="J120" s="190"/>
      <c r="K120" s="189"/>
      <c r="L120" s="189"/>
      <c r="M120" s="189"/>
      <c r="N120" s="189"/>
      <c r="O120" s="189"/>
      <c r="P120" s="189"/>
      <c r="Q120" s="499">
        <f t="shared" si="57"/>
        <v>0</v>
      </c>
      <c r="R120" s="489">
        <f t="shared" si="58"/>
        <v>0</v>
      </c>
      <c r="S120" s="213">
        <f t="shared" si="59"/>
        <v>0</v>
      </c>
      <c r="T120" s="213">
        <f t="shared" si="60"/>
        <v>0</v>
      </c>
      <c r="U120" s="213">
        <f t="shared" si="61"/>
        <v>0</v>
      </c>
      <c r="V120" s="213">
        <f t="shared" si="62"/>
        <v>0</v>
      </c>
      <c r="W120" s="222">
        <f t="shared" si="63"/>
        <v>0</v>
      </c>
      <c r="X120" s="300"/>
      <c r="Y120" s="301"/>
      <c r="Z120" s="302"/>
      <c r="AA120" s="300"/>
      <c r="AB120" s="301"/>
      <c r="AC120" s="302"/>
      <c r="AD120" s="339"/>
      <c r="AE120" s="301"/>
      <c r="AF120" s="302"/>
      <c r="AG120" s="299"/>
      <c r="AH120" s="297"/>
      <c r="AI120" s="298"/>
      <c r="AJ120" s="296"/>
      <c r="AK120" s="297"/>
      <c r="AL120" s="297"/>
      <c r="AM120" s="300"/>
      <c r="AN120" s="301"/>
      <c r="AO120" s="302"/>
      <c r="AP120" s="191"/>
      <c r="AQ120" s="192"/>
      <c r="AR120" s="194"/>
      <c r="AS120" s="264"/>
      <c r="AT120" s="264"/>
    </row>
    <row r="121" spans="1:46" s="128" customFormat="1" ht="15.75" x14ac:dyDescent="0.25">
      <c r="A121" s="325"/>
      <c r="B121" s="190"/>
      <c r="C121" s="190"/>
      <c r="D121" s="189"/>
      <c r="E121" s="189"/>
      <c r="F121" s="189"/>
      <c r="G121" s="189"/>
      <c r="H121" s="189"/>
      <c r="I121" s="189"/>
      <c r="J121" s="190"/>
      <c r="K121" s="189"/>
      <c r="L121" s="189"/>
      <c r="M121" s="189"/>
      <c r="N121" s="189"/>
      <c r="O121" s="189"/>
      <c r="P121" s="189"/>
      <c r="Q121" s="499">
        <f t="shared" si="57"/>
        <v>0</v>
      </c>
      <c r="R121" s="489">
        <f t="shared" si="58"/>
        <v>0</v>
      </c>
      <c r="S121" s="213">
        <f t="shared" si="59"/>
        <v>0</v>
      </c>
      <c r="T121" s="213">
        <f t="shared" si="60"/>
        <v>0</v>
      </c>
      <c r="U121" s="213">
        <f t="shared" si="61"/>
        <v>0</v>
      </c>
      <c r="V121" s="213">
        <f t="shared" si="62"/>
        <v>0</v>
      </c>
      <c r="W121" s="222">
        <f t="shared" si="63"/>
        <v>0</v>
      </c>
      <c r="X121" s="300"/>
      <c r="Y121" s="301"/>
      <c r="Z121" s="302"/>
      <c r="AA121" s="300"/>
      <c r="AB121" s="301"/>
      <c r="AC121" s="302"/>
      <c r="AD121" s="339"/>
      <c r="AE121" s="301"/>
      <c r="AF121" s="302"/>
      <c r="AG121" s="299"/>
      <c r="AH121" s="297"/>
      <c r="AI121" s="298"/>
      <c r="AJ121" s="296"/>
      <c r="AK121" s="297"/>
      <c r="AL121" s="297"/>
      <c r="AM121" s="300"/>
      <c r="AN121" s="301"/>
      <c r="AO121" s="302"/>
      <c r="AP121" s="191"/>
      <c r="AQ121" s="192"/>
      <c r="AR121" s="194"/>
      <c r="AS121" s="264"/>
      <c r="AT121" s="264"/>
    </row>
    <row r="122" spans="1:46" s="128" customFormat="1" ht="15.75" x14ac:dyDescent="0.25">
      <c r="A122" s="325"/>
      <c r="B122" s="190"/>
      <c r="C122" s="190"/>
      <c r="D122" s="189"/>
      <c r="E122" s="189"/>
      <c r="F122" s="189"/>
      <c r="G122" s="189"/>
      <c r="H122" s="189"/>
      <c r="I122" s="189"/>
      <c r="J122" s="190"/>
      <c r="K122" s="189"/>
      <c r="L122" s="189"/>
      <c r="M122" s="189"/>
      <c r="N122" s="189"/>
      <c r="O122" s="189"/>
      <c r="P122" s="189"/>
      <c r="Q122" s="499">
        <f t="shared" si="57"/>
        <v>0</v>
      </c>
      <c r="R122" s="489">
        <f t="shared" si="58"/>
        <v>0</v>
      </c>
      <c r="S122" s="213">
        <f t="shared" si="59"/>
        <v>0</v>
      </c>
      <c r="T122" s="213">
        <f t="shared" si="60"/>
        <v>0</v>
      </c>
      <c r="U122" s="213">
        <f t="shared" si="61"/>
        <v>0</v>
      </c>
      <c r="V122" s="213">
        <f t="shared" si="62"/>
        <v>0</v>
      </c>
      <c r="W122" s="222">
        <f t="shared" si="63"/>
        <v>0</v>
      </c>
      <c r="X122" s="300"/>
      <c r="Y122" s="301"/>
      <c r="Z122" s="302"/>
      <c r="AA122" s="300"/>
      <c r="AB122" s="301"/>
      <c r="AC122" s="302"/>
      <c r="AD122" s="339"/>
      <c r="AE122" s="301"/>
      <c r="AF122" s="302"/>
      <c r="AG122" s="299"/>
      <c r="AH122" s="297"/>
      <c r="AI122" s="298"/>
      <c r="AJ122" s="296"/>
      <c r="AK122" s="297"/>
      <c r="AL122" s="297"/>
      <c r="AM122" s="300"/>
      <c r="AN122" s="301"/>
      <c r="AO122" s="302"/>
      <c r="AP122" s="191"/>
      <c r="AQ122" s="192"/>
      <c r="AR122" s="194"/>
      <c r="AS122" s="264"/>
      <c r="AT122" s="264"/>
    </row>
    <row r="123" spans="1:46" s="128" customFormat="1" ht="15.75" x14ac:dyDescent="0.25">
      <c r="A123" s="325"/>
      <c r="B123" s="190"/>
      <c r="C123" s="190"/>
      <c r="D123" s="189"/>
      <c r="E123" s="189"/>
      <c r="F123" s="189"/>
      <c r="G123" s="189"/>
      <c r="H123" s="189"/>
      <c r="I123" s="189"/>
      <c r="J123" s="190"/>
      <c r="K123" s="189"/>
      <c r="L123" s="189"/>
      <c r="M123" s="189"/>
      <c r="N123" s="189"/>
      <c r="O123" s="189"/>
      <c r="P123" s="189"/>
      <c r="Q123" s="499">
        <f t="shared" si="57"/>
        <v>0</v>
      </c>
      <c r="R123" s="489">
        <f t="shared" si="58"/>
        <v>0</v>
      </c>
      <c r="S123" s="213">
        <f t="shared" si="59"/>
        <v>0</v>
      </c>
      <c r="T123" s="213">
        <f t="shared" si="60"/>
        <v>0</v>
      </c>
      <c r="U123" s="213">
        <f t="shared" si="61"/>
        <v>0</v>
      </c>
      <c r="V123" s="213">
        <f t="shared" si="62"/>
        <v>0</v>
      </c>
      <c r="W123" s="222">
        <f t="shared" si="63"/>
        <v>0</v>
      </c>
      <c r="X123" s="300"/>
      <c r="Y123" s="301"/>
      <c r="Z123" s="302"/>
      <c r="AA123" s="300"/>
      <c r="AB123" s="301"/>
      <c r="AC123" s="302"/>
      <c r="AD123" s="339"/>
      <c r="AE123" s="301"/>
      <c r="AF123" s="302"/>
      <c r="AG123" s="299"/>
      <c r="AH123" s="297"/>
      <c r="AI123" s="298"/>
      <c r="AJ123" s="296"/>
      <c r="AK123" s="297"/>
      <c r="AL123" s="297"/>
      <c r="AM123" s="300"/>
      <c r="AN123" s="301"/>
      <c r="AO123" s="302"/>
      <c r="AP123" s="191"/>
      <c r="AQ123" s="192"/>
      <c r="AR123" s="194"/>
      <c r="AS123" s="264"/>
      <c r="AT123" s="264"/>
    </row>
    <row r="124" spans="1:46" s="128" customFormat="1" ht="15.75" x14ac:dyDescent="0.25">
      <c r="A124" s="325"/>
      <c r="B124" s="190"/>
      <c r="C124" s="190"/>
      <c r="D124" s="189"/>
      <c r="E124" s="189"/>
      <c r="F124" s="189"/>
      <c r="G124" s="189"/>
      <c r="H124" s="189"/>
      <c r="I124" s="189"/>
      <c r="J124" s="190"/>
      <c r="K124" s="189"/>
      <c r="L124" s="189"/>
      <c r="M124" s="189"/>
      <c r="N124" s="189"/>
      <c r="O124" s="189"/>
      <c r="P124" s="189"/>
      <c r="Q124" s="499">
        <f t="shared" si="57"/>
        <v>0</v>
      </c>
      <c r="R124" s="489">
        <f t="shared" si="58"/>
        <v>0</v>
      </c>
      <c r="S124" s="213">
        <f t="shared" si="59"/>
        <v>0</v>
      </c>
      <c r="T124" s="213">
        <f t="shared" si="60"/>
        <v>0</v>
      </c>
      <c r="U124" s="213">
        <f t="shared" si="61"/>
        <v>0</v>
      </c>
      <c r="V124" s="213">
        <f t="shared" si="62"/>
        <v>0</v>
      </c>
      <c r="W124" s="222">
        <f t="shared" si="63"/>
        <v>0</v>
      </c>
      <c r="X124" s="300"/>
      <c r="Y124" s="301"/>
      <c r="Z124" s="302"/>
      <c r="AA124" s="300"/>
      <c r="AB124" s="301"/>
      <c r="AC124" s="302"/>
      <c r="AD124" s="339"/>
      <c r="AE124" s="301"/>
      <c r="AF124" s="302"/>
      <c r="AG124" s="299"/>
      <c r="AH124" s="297"/>
      <c r="AI124" s="298"/>
      <c r="AJ124" s="296"/>
      <c r="AK124" s="297"/>
      <c r="AL124" s="297"/>
      <c r="AM124" s="300"/>
      <c r="AN124" s="301"/>
      <c r="AO124" s="302"/>
      <c r="AP124" s="191"/>
      <c r="AQ124" s="192"/>
      <c r="AR124" s="194"/>
      <c r="AS124" s="264"/>
      <c r="AT124" s="264"/>
    </row>
    <row r="125" spans="1:46" s="128" customFormat="1" ht="15.75" x14ac:dyDescent="0.25">
      <c r="A125" s="325"/>
      <c r="B125" s="190"/>
      <c r="C125" s="190"/>
      <c r="D125" s="189"/>
      <c r="E125" s="189"/>
      <c r="F125" s="189"/>
      <c r="G125" s="189"/>
      <c r="H125" s="189"/>
      <c r="I125" s="189"/>
      <c r="J125" s="190"/>
      <c r="K125" s="189"/>
      <c r="L125" s="189"/>
      <c r="M125" s="189"/>
      <c r="N125" s="189"/>
      <c r="O125" s="189"/>
      <c r="P125" s="189"/>
      <c r="Q125" s="499">
        <f t="shared" si="57"/>
        <v>0</v>
      </c>
      <c r="R125" s="489">
        <f t="shared" si="58"/>
        <v>0</v>
      </c>
      <c r="S125" s="213">
        <f t="shared" si="59"/>
        <v>0</v>
      </c>
      <c r="T125" s="213">
        <f t="shared" si="60"/>
        <v>0</v>
      </c>
      <c r="U125" s="213">
        <f t="shared" si="61"/>
        <v>0</v>
      </c>
      <c r="V125" s="213">
        <f t="shared" si="62"/>
        <v>0</v>
      </c>
      <c r="W125" s="222">
        <f t="shared" si="63"/>
        <v>0</v>
      </c>
      <c r="X125" s="300"/>
      <c r="Y125" s="301"/>
      <c r="Z125" s="302"/>
      <c r="AA125" s="300"/>
      <c r="AB125" s="301"/>
      <c r="AC125" s="302"/>
      <c r="AD125" s="339"/>
      <c r="AE125" s="301"/>
      <c r="AF125" s="302"/>
      <c r="AG125" s="299"/>
      <c r="AH125" s="297"/>
      <c r="AI125" s="298"/>
      <c r="AJ125" s="296"/>
      <c r="AK125" s="297"/>
      <c r="AL125" s="297"/>
      <c r="AM125" s="300"/>
      <c r="AN125" s="301"/>
      <c r="AO125" s="302"/>
      <c r="AP125" s="191"/>
      <c r="AQ125" s="192"/>
      <c r="AR125" s="194"/>
      <c r="AS125" s="264"/>
      <c r="AT125" s="264"/>
    </row>
    <row r="126" spans="1:46" s="128" customFormat="1" ht="15.75" x14ac:dyDescent="0.25">
      <c r="A126" s="325"/>
      <c r="B126" s="190"/>
      <c r="C126" s="190"/>
      <c r="D126" s="189"/>
      <c r="E126" s="189"/>
      <c r="F126" s="189"/>
      <c r="G126" s="189"/>
      <c r="H126" s="189"/>
      <c r="I126" s="189"/>
      <c r="J126" s="190"/>
      <c r="K126" s="189"/>
      <c r="L126" s="189"/>
      <c r="M126" s="189"/>
      <c r="N126" s="189"/>
      <c r="O126" s="189"/>
      <c r="P126" s="189"/>
      <c r="Q126" s="499">
        <f t="shared" si="57"/>
        <v>0</v>
      </c>
      <c r="R126" s="489">
        <f t="shared" si="58"/>
        <v>0</v>
      </c>
      <c r="S126" s="213">
        <f t="shared" si="59"/>
        <v>0</v>
      </c>
      <c r="T126" s="213">
        <f t="shared" si="60"/>
        <v>0</v>
      </c>
      <c r="U126" s="213">
        <f t="shared" si="61"/>
        <v>0</v>
      </c>
      <c r="V126" s="213">
        <f t="shared" si="62"/>
        <v>0</v>
      </c>
      <c r="W126" s="222">
        <f t="shared" si="63"/>
        <v>0</v>
      </c>
      <c r="X126" s="300"/>
      <c r="Y126" s="301"/>
      <c r="Z126" s="302"/>
      <c r="AA126" s="300"/>
      <c r="AB126" s="301"/>
      <c r="AC126" s="302"/>
      <c r="AD126" s="339"/>
      <c r="AE126" s="301"/>
      <c r="AF126" s="302"/>
      <c r="AG126" s="299"/>
      <c r="AH126" s="297"/>
      <c r="AI126" s="298"/>
      <c r="AJ126" s="296"/>
      <c r="AK126" s="297"/>
      <c r="AL126" s="297"/>
      <c r="AM126" s="300"/>
      <c r="AN126" s="301"/>
      <c r="AO126" s="302"/>
      <c r="AP126" s="191"/>
      <c r="AQ126" s="192"/>
      <c r="AR126" s="194"/>
      <c r="AS126" s="264"/>
      <c r="AT126" s="264"/>
    </row>
    <row r="127" spans="1:46" s="128" customFormat="1" ht="15.75" x14ac:dyDescent="0.25">
      <c r="A127" s="325"/>
      <c r="B127" s="190"/>
      <c r="C127" s="190"/>
      <c r="D127" s="189"/>
      <c r="E127" s="189"/>
      <c r="F127" s="189"/>
      <c r="G127" s="198"/>
      <c r="H127" s="189"/>
      <c r="I127" s="190"/>
      <c r="J127" s="190"/>
      <c r="K127" s="190"/>
      <c r="L127" s="189"/>
      <c r="M127" s="189"/>
      <c r="N127" s="189"/>
      <c r="O127" s="189"/>
      <c r="P127" s="189"/>
      <c r="Q127" s="499">
        <f t="shared" si="57"/>
        <v>0</v>
      </c>
      <c r="R127" s="489">
        <f t="shared" si="58"/>
        <v>0</v>
      </c>
      <c r="S127" s="213">
        <f t="shared" si="59"/>
        <v>0</v>
      </c>
      <c r="T127" s="213">
        <f t="shared" si="60"/>
        <v>0</v>
      </c>
      <c r="U127" s="213">
        <f t="shared" si="61"/>
        <v>0</v>
      </c>
      <c r="V127" s="213">
        <f t="shared" si="62"/>
        <v>0</v>
      </c>
      <c r="W127" s="222">
        <f t="shared" si="63"/>
        <v>0</v>
      </c>
      <c r="X127" s="300"/>
      <c r="Y127" s="301"/>
      <c r="Z127" s="302"/>
      <c r="AA127" s="300"/>
      <c r="AB127" s="301"/>
      <c r="AC127" s="302"/>
      <c r="AD127" s="308"/>
      <c r="AE127" s="309"/>
      <c r="AF127" s="310"/>
      <c r="AG127" s="308"/>
      <c r="AH127" s="309"/>
      <c r="AI127" s="310"/>
      <c r="AJ127" s="311"/>
      <c r="AK127" s="309"/>
      <c r="AL127" s="312"/>
      <c r="AM127" s="311"/>
      <c r="AN127" s="309"/>
      <c r="AO127" s="310"/>
      <c r="AP127" s="195"/>
      <c r="AQ127" s="192"/>
      <c r="AR127" s="345"/>
      <c r="AS127" s="264"/>
      <c r="AT127" s="264"/>
    </row>
    <row r="128" spans="1:46" s="128" customFormat="1" ht="15.75" x14ac:dyDescent="0.25">
      <c r="A128" s="474" t="s">
        <v>329</v>
      </c>
      <c r="B128" s="475"/>
      <c r="C128" s="475"/>
      <c r="D128" s="476"/>
      <c r="E128" s="476"/>
      <c r="F128" s="476"/>
      <c r="G128" s="477"/>
      <c r="H128" s="476"/>
      <c r="I128" s="475"/>
      <c r="J128" s="475"/>
      <c r="K128" s="475"/>
      <c r="L128" s="476">
        <v>4</v>
      </c>
      <c r="M128" s="476"/>
      <c r="N128" s="476"/>
      <c r="O128" s="476"/>
      <c r="P128" s="476"/>
      <c r="Q128" s="499">
        <f t="shared" si="57"/>
        <v>0</v>
      </c>
      <c r="R128" s="489">
        <f t="shared" si="58"/>
        <v>0</v>
      </c>
      <c r="S128" s="213">
        <f t="shared" si="59"/>
        <v>0</v>
      </c>
      <c r="T128" s="213">
        <f t="shared" si="60"/>
        <v>0</v>
      </c>
      <c r="U128" s="213">
        <f t="shared" si="61"/>
        <v>0</v>
      </c>
      <c r="V128" s="213">
        <f t="shared" si="62"/>
        <v>0</v>
      </c>
      <c r="W128" s="222">
        <f t="shared" si="63"/>
        <v>0</v>
      </c>
      <c r="X128" s="300"/>
      <c r="Y128" s="301"/>
      <c r="Z128" s="302"/>
      <c r="AA128" s="300"/>
      <c r="AB128" s="301"/>
      <c r="AC128" s="302"/>
      <c r="AD128" s="308"/>
      <c r="AE128" s="309"/>
      <c r="AF128" s="310"/>
      <c r="AG128" s="308"/>
      <c r="AH128" s="309"/>
      <c r="AI128" s="310"/>
      <c r="AJ128" s="311"/>
      <c r="AK128" s="309"/>
      <c r="AL128" s="312"/>
      <c r="AM128" s="311"/>
      <c r="AN128" s="309"/>
      <c r="AO128" s="310"/>
      <c r="AP128" s="195"/>
      <c r="AQ128" s="192"/>
      <c r="AR128" s="345"/>
      <c r="AS128" s="264"/>
      <c r="AT128" s="264"/>
    </row>
    <row r="129" spans="1:46" s="128" customFormat="1" ht="14.45" customHeight="1" x14ac:dyDescent="0.25">
      <c r="A129" s="478" t="s">
        <v>114</v>
      </c>
      <c r="B129" s="475" t="s">
        <v>174</v>
      </c>
      <c r="C129" s="190" t="s">
        <v>750</v>
      </c>
      <c r="D129" s="476" t="s">
        <v>330</v>
      </c>
      <c r="E129" s="476" t="s">
        <v>97</v>
      </c>
      <c r="F129" s="476" t="s">
        <v>151</v>
      </c>
      <c r="G129" s="479" t="s">
        <v>117</v>
      </c>
      <c r="H129" s="476" t="s">
        <v>331</v>
      </c>
      <c r="I129" s="475"/>
      <c r="J129" s="475" t="s">
        <v>332</v>
      </c>
      <c r="K129" s="475"/>
      <c r="L129" s="476" t="s">
        <v>333</v>
      </c>
      <c r="M129" s="189" t="s">
        <v>103</v>
      </c>
      <c r="N129" s="476"/>
      <c r="O129" s="476"/>
      <c r="P129" s="476" t="s">
        <v>105</v>
      </c>
      <c r="Q129" s="499">
        <f t="shared" si="1"/>
        <v>320000</v>
      </c>
      <c r="R129" s="489">
        <f t="shared" si="11"/>
        <v>0</v>
      </c>
      <c r="S129" s="505">
        <f t="shared" si="24"/>
        <v>80000</v>
      </c>
      <c r="T129" s="505">
        <f t="shared" si="18"/>
        <v>240000</v>
      </c>
      <c r="U129" s="213">
        <f t="shared" si="12"/>
        <v>0</v>
      </c>
      <c r="V129" s="213">
        <f t="shared" si="13"/>
        <v>0</v>
      </c>
      <c r="W129" s="222">
        <f t="shared" si="8"/>
        <v>0</v>
      </c>
      <c r="X129" s="300"/>
      <c r="Y129" s="301"/>
      <c r="Z129" s="302"/>
      <c r="AA129" s="311">
        <v>80000</v>
      </c>
      <c r="AB129" s="309"/>
      <c r="AC129" s="310"/>
      <c r="AD129" s="308">
        <v>240000</v>
      </c>
      <c r="AE129" s="309"/>
      <c r="AF129" s="310"/>
      <c r="AG129" s="308"/>
      <c r="AH129" s="309"/>
      <c r="AI129" s="310"/>
      <c r="AJ129" s="311"/>
      <c r="AK129" s="309"/>
      <c r="AL129" s="312"/>
      <c r="AM129" s="311"/>
      <c r="AN129" s="309"/>
      <c r="AO129" s="310"/>
      <c r="AP129" s="195"/>
      <c r="AQ129" s="192" t="s">
        <v>124</v>
      </c>
      <c r="AR129" s="345"/>
      <c r="AS129" s="264"/>
      <c r="AT129" s="264"/>
    </row>
    <row r="130" spans="1:46" s="128" customFormat="1" ht="14.45" customHeight="1" x14ac:dyDescent="0.25">
      <c r="A130" s="478" t="s">
        <v>114</v>
      </c>
      <c r="B130" s="475" t="s">
        <v>174</v>
      </c>
      <c r="C130" s="475" t="s">
        <v>334</v>
      </c>
      <c r="D130" s="476" t="s">
        <v>335</v>
      </c>
      <c r="E130" s="476" t="s">
        <v>97</v>
      </c>
      <c r="F130" s="476" t="s">
        <v>151</v>
      </c>
      <c r="G130" s="479" t="s">
        <v>117</v>
      </c>
      <c r="H130" s="476" t="s">
        <v>336</v>
      </c>
      <c r="I130" s="475"/>
      <c r="J130" s="475" t="s">
        <v>337</v>
      </c>
      <c r="K130" s="475" t="s">
        <v>338</v>
      </c>
      <c r="L130" s="476">
        <v>4</v>
      </c>
      <c r="M130" s="189" t="s">
        <v>103</v>
      </c>
      <c r="N130" s="476" t="s">
        <v>339</v>
      </c>
      <c r="O130" s="476" t="s">
        <v>340</v>
      </c>
      <c r="P130" s="476" t="s">
        <v>105</v>
      </c>
      <c r="Q130" s="499">
        <f t="shared" si="1"/>
        <v>83334</v>
      </c>
      <c r="R130" s="489">
        <f t="shared" si="11"/>
        <v>0</v>
      </c>
      <c r="S130" s="505">
        <f t="shared" si="24"/>
        <v>33333.599999999999</v>
      </c>
      <c r="T130" s="505">
        <f t="shared" si="18"/>
        <v>50000.4</v>
      </c>
      <c r="U130" s="213">
        <f t="shared" si="12"/>
        <v>0</v>
      </c>
      <c r="V130" s="213">
        <f t="shared" si="13"/>
        <v>0</v>
      </c>
      <c r="W130" s="222">
        <f t="shared" si="8"/>
        <v>0</v>
      </c>
      <c r="X130" s="300"/>
      <c r="Y130" s="301"/>
      <c r="Z130" s="302"/>
      <c r="AA130" s="311">
        <v>33333.599999999999</v>
      </c>
      <c r="AB130" s="309"/>
      <c r="AC130" s="310"/>
      <c r="AD130" s="308">
        <v>50000.4</v>
      </c>
      <c r="AE130" s="309"/>
      <c r="AF130" s="310"/>
      <c r="AG130" s="308"/>
      <c r="AH130" s="309"/>
      <c r="AI130" s="310"/>
      <c r="AJ130" s="311"/>
      <c r="AK130" s="309"/>
      <c r="AL130" s="312"/>
      <c r="AM130" s="311"/>
      <c r="AN130" s="309"/>
      <c r="AO130" s="310"/>
      <c r="AP130" s="195"/>
      <c r="AQ130" s="192" t="s">
        <v>124</v>
      </c>
      <c r="AR130" s="345"/>
      <c r="AS130" s="264"/>
      <c r="AT130" s="264"/>
    </row>
    <row r="131" spans="1:46" s="128" customFormat="1" ht="105" x14ac:dyDescent="0.25">
      <c r="A131" s="478" t="s">
        <v>114</v>
      </c>
      <c r="B131" s="475" t="s">
        <v>174</v>
      </c>
      <c r="C131" s="475" t="s">
        <v>115</v>
      </c>
      <c r="D131" s="476" t="s">
        <v>335</v>
      </c>
      <c r="E131" s="476" t="s">
        <v>97</v>
      </c>
      <c r="F131" s="476" t="s">
        <v>151</v>
      </c>
      <c r="G131" s="479" t="s">
        <v>117</v>
      </c>
      <c r="H131" s="476" t="s">
        <v>336</v>
      </c>
      <c r="I131" s="475"/>
      <c r="J131" s="475" t="s">
        <v>341</v>
      </c>
      <c r="K131" s="475" t="s">
        <v>342</v>
      </c>
      <c r="L131" s="476">
        <v>4</v>
      </c>
      <c r="M131" s="476"/>
      <c r="N131" s="476" t="s">
        <v>339</v>
      </c>
      <c r="O131" s="476"/>
      <c r="P131" s="476" t="s">
        <v>133</v>
      </c>
      <c r="Q131" s="499">
        <f t="shared" si="1"/>
        <v>500500</v>
      </c>
      <c r="R131" s="489">
        <f t="shared" si="11"/>
        <v>0</v>
      </c>
      <c r="S131" s="213">
        <f t="shared" si="24"/>
        <v>429000</v>
      </c>
      <c r="T131" s="213">
        <f t="shared" si="18"/>
        <v>71500</v>
      </c>
      <c r="U131" s="213">
        <f t="shared" si="12"/>
        <v>0</v>
      </c>
      <c r="V131" s="213">
        <f t="shared" si="13"/>
        <v>0</v>
      </c>
      <c r="W131" s="222">
        <f t="shared" si="8"/>
        <v>0</v>
      </c>
      <c r="X131" s="300"/>
      <c r="Y131" s="301"/>
      <c r="Z131" s="302"/>
      <c r="AA131" s="300">
        <v>429000</v>
      </c>
      <c r="AB131" s="301"/>
      <c r="AC131" s="302"/>
      <c r="AD131" s="339">
        <v>71500</v>
      </c>
      <c r="AE131" s="309"/>
      <c r="AF131" s="310"/>
      <c r="AG131" s="308"/>
      <c r="AH131" s="309"/>
      <c r="AI131" s="310"/>
      <c r="AJ131" s="311"/>
      <c r="AK131" s="309"/>
      <c r="AL131" s="312"/>
      <c r="AM131" s="311"/>
      <c r="AN131" s="309"/>
      <c r="AO131" s="310"/>
      <c r="AP131" s="195"/>
      <c r="AQ131" s="192" t="s">
        <v>124</v>
      </c>
      <c r="AR131" s="345"/>
      <c r="AS131" s="264"/>
      <c r="AT131" s="264"/>
    </row>
    <row r="132" spans="1:46" s="174" customFormat="1" ht="14.45" customHeight="1" x14ac:dyDescent="0.25">
      <c r="A132" s="480" t="s">
        <v>114</v>
      </c>
      <c r="B132" s="475" t="s">
        <v>174</v>
      </c>
      <c r="C132" s="190" t="s">
        <v>750</v>
      </c>
      <c r="D132" s="481" t="s">
        <v>335</v>
      </c>
      <c r="E132" s="481" t="s">
        <v>97</v>
      </c>
      <c r="F132" s="481" t="s">
        <v>151</v>
      </c>
      <c r="G132" s="479" t="s">
        <v>117</v>
      </c>
      <c r="H132" s="481" t="s">
        <v>336</v>
      </c>
      <c r="I132" s="476"/>
      <c r="J132" s="482" t="s">
        <v>343</v>
      </c>
      <c r="K132" s="476"/>
      <c r="L132" s="476">
        <v>4</v>
      </c>
      <c r="M132" s="189" t="s">
        <v>103</v>
      </c>
      <c r="N132" s="481" t="s">
        <v>339</v>
      </c>
      <c r="O132" s="476" t="s">
        <v>344</v>
      </c>
      <c r="P132" s="476" t="s">
        <v>105</v>
      </c>
      <c r="Q132" s="499">
        <f t="shared" si="1"/>
        <v>542773</v>
      </c>
      <c r="R132" s="489">
        <f t="shared" si="11"/>
        <v>0</v>
      </c>
      <c r="S132" s="505">
        <f t="shared" si="24"/>
        <v>217109.2</v>
      </c>
      <c r="T132" s="505">
        <f t="shared" si="18"/>
        <v>325663.8</v>
      </c>
      <c r="U132" s="213">
        <f t="shared" si="12"/>
        <v>0</v>
      </c>
      <c r="V132" s="213">
        <f t="shared" si="13"/>
        <v>0</v>
      </c>
      <c r="W132" s="222">
        <f t="shared" si="8"/>
        <v>0</v>
      </c>
      <c r="X132" s="332"/>
      <c r="Y132" s="328"/>
      <c r="Z132" s="307"/>
      <c r="AA132" s="311">
        <v>217109.2</v>
      </c>
      <c r="AB132" s="309"/>
      <c r="AC132" s="310"/>
      <c r="AD132" s="308">
        <v>325663.8</v>
      </c>
      <c r="AE132" s="309"/>
      <c r="AF132" s="310"/>
      <c r="AG132" s="327"/>
      <c r="AH132" s="313"/>
      <c r="AI132" s="314"/>
      <c r="AJ132" s="315"/>
      <c r="AK132" s="313"/>
      <c r="AL132" s="316"/>
      <c r="AM132" s="315"/>
      <c r="AN132" s="313"/>
      <c r="AO132" s="314"/>
      <c r="AP132" s="196"/>
      <c r="AQ132" s="197" t="s">
        <v>124</v>
      </c>
      <c r="AR132" s="194"/>
      <c r="AS132" s="344"/>
      <c r="AT132" s="344"/>
    </row>
    <row r="133" spans="1:46" s="542" customFormat="1" ht="135" x14ac:dyDescent="0.25">
      <c r="A133" s="512" t="s">
        <v>114</v>
      </c>
      <c r="B133" s="513" t="s">
        <v>174</v>
      </c>
      <c r="C133" s="513" t="s">
        <v>115</v>
      </c>
      <c r="D133" s="514" t="s">
        <v>335</v>
      </c>
      <c r="E133" s="514" t="s">
        <v>97</v>
      </c>
      <c r="F133" s="514" t="s">
        <v>151</v>
      </c>
      <c r="G133" s="515" t="s">
        <v>117</v>
      </c>
      <c r="H133" s="514" t="s">
        <v>336</v>
      </c>
      <c r="I133" s="513"/>
      <c r="J133" s="513" t="s">
        <v>345</v>
      </c>
      <c r="K133" s="513"/>
      <c r="L133" s="516"/>
      <c r="M133" s="516"/>
      <c r="N133" s="516" t="s">
        <v>339</v>
      </c>
      <c r="O133" s="476" t="s">
        <v>344</v>
      </c>
      <c r="P133" s="516" t="s">
        <v>191</v>
      </c>
      <c r="Q133" s="543">
        <f t="shared" ref="Q133:Q137" si="64">SUM(R133:W133)</f>
        <v>3201907</v>
      </c>
      <c r="R133" s="544">
        <f t="shared" ref="R133:R137" si="65">SUM(X133:Z133)</f>
        <v>0</v>
      </c>
      <c r="S133" s="505">
        <f t="shared" ref="S133:S137" si="66">SUM(AA133:AC133)</f>
        <v>193222</v>
      </c>
      <c r="T133" s="505">
        <f t="shared" ref="T133:T137" si="67">SUM(AD133:AF133)</f>
        <v>402617</v>
      </c>
      <c r="U133" s="505">
        <f t="shared" ref="U133:U137" si="68">SUM(AG133:AI133)</f>
        <v>806832</v>
      </c>
      <c r="V133" s="505">
        <f t="shared" ref="V133:V137" si="69">SUM(AJ133:AL133)</f>
        <v>853797</v>
      </c>
      <c r="W133" s="501">
        <f t="shared" ref="W133:W137" si="70">SUM(AM133:AO133)</f>
        <v>945439</v>
      </c>
      <c r="X133" s="504"/>
      <c r="Y133" s="517"/>
      <c r="Z133" s="518"/>
      <c r="AA133" s="547"/>
      <c r="AB133" s="517">
        <v>155944</v>
      </c>
      <c r="AC133" s="518">
        <v>37278</v>
      </c>
      <c r="AD133" s="503"/>
      <c r="AE133" s="519">
        <v>311888</v>
      </c>
      <c r="AF133" s="520">
        <v>90729</v>
      </c>
      <c r="AG133" s="503">
        <v>463680</v>
      </c>
      <c r="AH133" s="519">
        <v>311888</v>
      </c>
      <c r="AI133" s="520">
        <v>31264</v>
      </c>
      <c r="AJ133" s="502">
        <v>510048</v>
      </c>
      <c r="AK133" s="519">
        <v>311888</v>
      </c>
      <c r="AL133" s="521">
        <v>31861</v>
      </c>
      <c r="AM133" s="502">
        <v>561053</v>
      </c>
      <c r="AN133" s="519">
        <v>311888</v>
      </c>
      <c r="AO133" s="520">
        <v>72498</v>
      </c>
      <c r="AP133" s="548"/>
      <c r="AQ133" s="549" t="s">
        <v>124</v>
      </c>
      <c r="AR133" s="590"/>
      <c r="AS133" s="546" t="s">
        <v>346</v>
      </c>
      <c r="AT133" s="264" t="s">
        <v>252</v>
      </c>
    </row>
    <row r="134" spans="1:46" s="128" customFormat="1" ht="15.75" x14ac:dyDescent="0.25">
      <c r="A134" s="474"/>
      <c r="B134" s="475"/>
      <c r="C134" s="475"/>
      <c r="D134" s="476"/>
      <c r="E134" s="476"/>
      <c r="F134" s="476"/>
      <c r="G134" s="477"/>
      <c r="H134" s="476"/>
      <c r="I134" s="475"/>
      <c r="J134" s="475"/>
      <c r="K134" s="475"/>
      <c r="L134" s="476"/>
      <c r="M134" s="476"/>
      <c r="N134" s="476"/>
      <c r="O134" s="476"/>
      <c r="P134" s="476"/>
      <c r="Q134" s="499">
        <f t="shared" si="64"/>
        <v>0</v>
      </c>
      <c r="R134" s="489">
        <f t="shared" si="65"/>
        <v>0</v>
      </c>
      <c r="S134" s="213">
        <f t="shared" si="66"/>
        <v>0</v>
      </c>
      <c r="T134" s="213">
        <f t="shared" si="67"/>
        <v>0</v>
      </c>
      <c r="U134" s="213">
        <f t="shared" si="68"/>
        <v>0</v>
      </c>
      <c r="V134" s="213">
        <f t="shared" si="69"/>
        <v>0</v>
      </c>
      <c r="W134" s="222">
        <f t="shared" si="70"/>
        <v>0</v>
      </c>
      <c r="X134" s="300"/>
      <c r="Y134" s="301"/>
      <c r="Z134" s="302"/>
      <c r="AA134" s="300"/>
      <c r="AB134" s="301"/>
      <c r="AC134" s="302"/>
      <c r="AD134" s="308"/>
      <c r="AE134" s="309"/>
      <c r="AF134" s="310"/>
      <c r="AG134" s="308"/>
      <c r="AH134" s="309"/>
      <c r="AI134" s="310"/>
      <c r="AJ134" s="311"/>
      <c r="AK134" s="309"/>
      <c r="AL134" s="312"/>
      <c r="AM134" s="311"/>
      <c r="AN134" s="309"/>
      <c r="AO134" s="310"/>
      <c r="AP134" s="195"/>
      <c r="AQ134" s="192"/>
      <c r="AR134" s="345"/>
      <c r="AS134" s="264"/>
      <c r="AT134" s="264"/>
    </row>
    <row r="135" spans="1:46" s="128" customFormat="1" ht="15.75" x14ac:dyDescent="0.25">
      <c r="A135" s="474"/>
      <c r="B135" s="475"/>
      <c r="C135" s="475"/>
      <c r="D135" s="476"/>
      <c r="E135" s="476"/>
      <c r="F135" s="476"/>
      <c r="G135" s="477"/>
      <c r="H135" s="476"/>
      <c r="I135" s="475"/>
      <c r="J135" s="475"/>
      <c r="K135" s="475"/>
      <c r="L135" s="476"/>
      <c r="M135" s="476"/>
      <c r="N135" s="476"/>
      <c r="O135" s="476"/>
      <c r="P135" s="476"/>
      <c r="Q135" s="499">
        <f t="shared" si="64"/>
        <v>0</v>
      </c>
      <c r="R135" s="489">
        <f t="shared" si="65"/>
        <v>0</v>
      </c>
      <c r="S135" s="213">
        <f t="shared" si="66"/>
        <v>0</v>
      </c>
      <c r="T135" s="213">
        <f t="shared" si="67"/>
        <v>0</v>
      </c>
      <c r="U135" s="213">
        <f t="shared" si="68"/>
        <v>0</v>
      </c>
      <c r="V135" s="213">
        <f t="shared" si="69"/>
        <v>0</v>
      </c>
      <c r="W135" s="222">
        <f t="shared" si="70"/>
        <v>0</v>
      </c>
      <c r="X135" s="300"/>
      <c r="Y135" s="301"/>
      <c r="Z135" s="302"/>
      <c r="AA135" s="300"/>
      <c r="AB135" s="301"/>
      <c r="AC135" s="302"/>
      <c r="AD135" s="308"/>
      <c r="AE135" s="309"/>
      <c r="AF135" s="310"/>
      <c r="AG135" s="308"/>
      <c r="AH135" s="309"/>
      <c r="AI135" s="310"/>
      <c r="AJ135" s="311"/>
      <c r="AK135" s="309"/>
      <c r="AL135" s="312"/>
      <c r="AM135" s="311"/>
      <c r="AN135" s="309"/>
      <c r="AO135" s="310"/>
      <c r="AP135" s="195"/>
      <c r="AQ135" s="192"/>
      <c r="AR135" s="345"/>
      <c r="AS135" s="264"/>
      <c r="AT135" s="264"/>
    </row>
    <row r="136" spans="1:46" s="128" customFormat="1" ht="15.75" x14ac:dyDescent="0.25">
      <c r="A136" s="474"/>
      <c r="B136" s="475"/>
      <c r="C136" s="475"/>
      <c r="D136" s="476"/>
      <c r="E136" s="476"/>
      <c r="F136" s="476"/>
      <c r="G136" s="477"/>
      <c r="H136" s="476"/>
      <c r="I136" s="475"/>
      <c r="J136" s="475"/>
      <c r="K136" s="475"/>
      <c r="L136" s="476"/>
      <c r="M136" s="476"/>
      <c r="N136" s="476"/>
      <c r="O136" s="476"/>
      <c r="P136" s="476"/>
      <c r="Q136" s="499">
        <f t="shared" si="64"/>
        <v>0</v>
      </c>
      <c r="R136" s="489">
        <f t="shared" si="65"/>
        <v>0</v>
      </c>
      <c r="S136" s="213">
        <f t="shared" si="66"/>
        <v>0</v>
      </c>
      <c r="T136" s="213">
        <f t="shared" si="67"/>
        <v>0</v>
      </c>
      <c r="U136" s="213">
        <f t="shared" si="68"/>
        <v>0</v>
      </c>
      <c r="V136" s="213">
        <f t="shared" si="69"/>
        <v>0</v>
      </c>
      <c r="W136" s="222">
        <f t="shared" si="70"/>
        <v>0</v>
      </c>
      <c r="X136" s="300"/>
      <c r="Y136" s="301"/>
      <c r="Z136" s="302"/>
      <c r="AA136" s="300"/>
      <c r="AB136" s="301"/>
      <c r="AC136" s="302"/>
      <c r="AD136" s="308"/>
      <c r="AE136" s="309"/>
      <c r="AF136" s="310"/>
      <c r="AG136" s="308"/>
      <c r="AH136" s="309"/>
      <c r="AI136" s="310"/>
      <c r="AJ136" s="311"/>
      <c r="AK136" s="309"/>
      <c r="AL136" s="312"/>
      <c r="AM136" s="311"/>
      <c r="AN136" s="309"/>
      <c r="AO136" s="310"/>
      <c r="AP136" s="195"/>
      <c r="AQ136" s="192"/>
      <c r="AR136" s="345"/>
      <c r="AS136" s="264"/>
      <c r="AT136" s="264"/>
    </row>
    <row r="137" spans="1:46" s="128" customFormat="1" ht="15.75" x14ac:dyDescent="0.25">
      <c r="A137" s="474" t="s">
        <v>347</v>
      </c>
      <c r="B137" s="475"/>
      <c r="C137" s="475"/>
      <c r="D137" s="476"/>
      <c r="E137" s="476"/>
      <c r="F137" s="476"/>
      <c r="G137" s="476"/>
      <c r="H137" s="476"/>
      <c r="I137" s="475"/>
      <c r="J137" s="482"/>
      <c r="K137" s="475"/>
      <c r="L137" s="476"/>
      <c r="M137" s="476"/>
      <c r="N137" s="476"/>
      <c r="O137" s="476"/>
      <c r="P137" s="476"/>
      <c r="Q137" s="499">
        <f t="shared" si="64"/>
        <v>0</v>
      </c>
      <c r="R137" s="489">
        <f t="shared" si="65"/>
        <v>0</v>
      </c>
      <c r="S137" s="213">
        <f t="shared" si="66"/>
        <v>0</v>
      </c>
      <c r="T137" s="213">
        <f t="shared" si="67"/>
        <v>0</v>
      </c>
      <c r="U137" s="213">
        <f t="shared" si="68"/>
        <v>0</v>
      </c>
      <c r="V137" s="213">
        <f t="shared" si="69"/>
        <v>0</v>
      </c>
      <c r="W137" s="222">
        <f t="shared" si="70"/>
        <v>0</v>
      </c>
      <c r="X137" s="300"/>
      <c r="Y137" s="301"/>
      <c r="Z137" s="302"/>
      <c r="AA137" s="300"/>
      <c r="AB137" s="301"/>
      <c r="AC137" s="302"/>
      <c r="AD137" s="308"/>
      <c r="AE137" s="309"/>
      <c r="AF137" s="310"/>
      <c r="AG137" s="308"/>
      <c r="AH137" s="309"/>
      <c r="AI137" s="310"/>
      <c r="AJ137" s="311"/>
      <c r="AK137" s="309"/>
      <c r="AL137" s="312"/>
      <c r="AM137" s="311"/>
      <c r="AN137" s="309"/>
      <c r="AO137" s="310"/>
      <c r="AP137" s="195"/>
      <c r="AQ137" s="192"/>
      <c r="AR137" s="345"/>
      <c r="AS137" s="264"/>
      <c r="AT137" s="264"/>
    </row>
    <row r="138" spans="1:46" s="128" customFormat="1" ht="14.45" customHeight="1" x14ac:dyDescent="0.25">
      <c r="A138" s="478" t="s">
        <v>114</v>
      </c>
      <c r="B138" s="475" t="s">
        <v>174</v>
      </c>
      <c r="C138" s="190" t="s">
        <v>750</v>
      </c>
      <c r="D138" s="476" t="s">
        <v>348</v>
      </c>
      <c r="E138" s="476" t="s">
        <v>97</v>
      </c>
      <c r="F138" s="476" t="s">
        <v>151</v>
      </c>
      <c r="G138" s="476" t="s">
        <v>117</v>
      </c>
      <c r="H138" s="476" t="s">
        <v>349</v>
      </c>
      <c r="I138" s="475" t="s">
        <v>350</v>
      </c>
      <c r="J138" s="482" t="s">
        <v>351</v>
      </c>
      <c r="K138" s="475" t="s">
        <v>352</v>
      </c>
      <c r="L138" s="476">
        <v>7</v>
      </c>
      <c r="M138" s="189" t="s">
        <v>103</v>
      </c>
      <c r="N138" s="476" t="s">
        <v>353</v>
      </c>
      <c r="O138" s="476" t="s">
        <v>354</v>
      </c>
      <c r="P138" s="476" t="s">
        <v>105</v>
      </c>
      <c r="Q138" s="499">
        <f t="shared" si="1"/>
        <v>252500</v>
      </c>
      <c r="R138" s="489">
        <f t="shared" si="11"/>
        <v>0</v>
      </c>
      <c r="S138" s="213">
        <f>SUM(AA138:AC138)</f>
        <v>84167</v>
      </c>
      <c r="T138" s="213">
        <f>SUM(AD138:AF138)</f>
        <v>168333</v>
      </c>
      <c r="U138" s="213">
        <f t="shared" si="12"/>
        <v>0</v>
      </c>
      <c r="V138" s="213">
        <f t="shared" si="13"/>
        <v>0</v>
      </c>
      <c r="W138" s="222">
        <f t="shared" si="8"/>
        <v>0</v>
      </c>
      <c r="X138" s="300"/>
      <c r="Y138" s="301"/>
      <c r="Z138" s="302"/>
      <c r="AA138" s="311">
        <v>84167</v>
      </c>
      <c r="AB138" s="309"/>
      <c r="AC138" s="310"/>
      <c r="AD138" s="308">
        <v>168333</v>
      </c>
      <c r="AE138" s="309"/>
      <c r="AF138" s="310"/>
      <c r="AG138" s="308"/>
      <c r="AH138" s="309"/>
      <c r="AI138" s="310"/>
      <c r="AJ138" s="311"/>
      <c r="AK138" s="309"/>
      <c r="AL138" s="312"/>
      <c r="AM138" s="311"/>
      <c r="AN138" s="309"/>
      <c r="AO138" s="310"/>
      <c r="AP138" s="195"/>
      <c r="AQ138" s="192" t="s">
        <v>200</v>
      </c>
      <c r="AR138" s="345"/>
      <c r="AS138" s="264"/>
      <c r="AT138" s="264"/>
    </row>
    <row r="139" spans="1:46" s="128" customFormat="1" ht="14.45" customHeight="1" x14ac:dyDescent="0.25">
      <c r="A139" s="478" t="s">
        <v>114</v>
      </c>
      <c r="B139" s="475" t="s">
        <v>174</v>
      </c>
      <c r="C139" s="190" t="s">
        <v>750</v>
      </c>
      <c r="D139" s="476" t="s">
        <v>348</v>
      </c>
      <c r="E139" s="476" t="s">
        <v>97</v>
      </c>
      <c r="F139" s="476" t="s">
        <v>355</v>
      </c>
      <c r="G139" s="476" t="s">
        <v>117</v>
      </c>
      <c r="H139" s="476" t="s">
        <v>356</v>
      </c>
      <c r="I139" s="475" t="s">
        <v>357</v>
      </c>
      <c r="J139" s="482" t="s">
        <v>358</v>
      </c>
      <c r="K139" s="475" t="s">
        <v>359</v>
      </c>
      <c r="L139" s="476">
        <v>7</v>
      </c>
      <c r="M139" s="476" t="s">
        <v>128</v>
      </c>
      <c r="N139" s="476" t="s">
        <v>353</v>
      </c>
      <c r="O139" s="476" t="s">
        <v>354</v>
      </c>
      <c r="P139" s="476" t="s">
        <v>105</v>
      </c>
      <c r="Q139" s="499">
        <f t="shared" si="1"/>
        <v>0</v>
      </c>
      <c r="R139" s="489">
        <f t="shared" si="11"/>
        <v>0</v>
      </c>
      <c r="S139" s="213">
        <f t="shared" si="24"/>
        <v>0</v>
      </c>
      <c r="T139" s="213">
        <f t="shared" si="18"/>
        <v>0</v>
      </c>
      <c r="U139" s="213">
        <f t="shared" si="12"/>
        <v>0</v>
      </c>
      <c r="V139" s="213">
        <f t="shared" si="13"/>
        <v>0</v>
      </c>
      <c r="W139" s="222">
        <f t="shared" si="8"/>
        <v>0</v>
      </c>
      <c r="X139" s="300"/>
      <c r="Y139" s="301"/>
      <c r="Z139" s="302"/>
      <c r="AA139" s="311"/>
      <c r="AB139" s="309"/>
      <c r="AC139" s="310"/>
      <c r="AD139" s="628">
        <v>0</v>
      </c>
      <c r="AE139" s="309"/>
      <c r="AF139" s="310"/>
      <c r="AG139" s="336"/>
      <c r="AH139" s="337"/>
      <c r="AI139" s="319"/>
      <c r="AJ139" s="338"/>
      <c r="AK139" s="337"/>
      <c r="AL139" s="337"/>
      <c r="AM139" s="311"/>
      <c r="AN139" s="309"/>
      <c r="AO139" s="310"/>
      <c r="AP139" s="199"/>
      <c r="AQ139" s="342" t="s">
        <v>200</v>
      </c>
      <c r="AR139" s="283"/>
      <c r="AS139" s="264"/>
      <c r="AT139" s="264"/>
    </row>
    <row r="140" spans="1:46" s="128" customFormat="1" ht="14.45" customHeight="1" x14ac:dyDescent="0.25">
      <c r="A140" s="478" t="s">
        <v>114</v>
      </c>
      <c r="B140" s="475" t="s">
        <v>174</v>
      </c>
      <c r="C140" s="190" t="s">
        <v>750</v>
      </c>
      <c r="D140" s="476" t="s">
        <v>348</v>
      </c>
      <c r="E140" s="476" t="s">
        <v>97</v>
      </c>
      <c r="F140" s="476" t="s">
        <v>355</v>
      </c>
      <c r="G140" s="476" t="s">
        <v>117</v>
      </c>
      <c r="H140" s="476" t="s">
        <v>360</v>
      </c>
      <c r="I140" s="475" t="s">
        <v>361</v>
      </c>
      <c r="J140" s="482" t="s">
        <v>362</v>
      </c>
      <c r="K140" s="475" t="s">
        <v>363</v>
      </c>
      <c r="L140" s="476">
        <v>7</v>
      </c>
      <c r="M140" s="476" t="s">
        <v>128</v>
      </c>
      <c r="N140" s="476" t="s">
        <v>353</v>
      </c>
      <c r="O140" s="476" t="s">
        <v>354</v>
      </c>
      <c r="P140" s="476" t="s">
        <v>105</v>
      </c>
      <c r="Q140" s="499">
        <f t="shared" si="1"/>
        <v>438120</v>
      </c>
      <c r="R140" s="489">
        <f t="shared" ref="R140:R147" si="71">SUM(X140:Z140)</f>
        <v>0</v>
      </c>
      <c r="S140" s="213">
        <f t="shared" ref="S140:S147" si="72">SUM(AA140:AC140)</f>
        <v>0</v>
      </c>
      <c r="T140" s="213">
        <f t="shared" ref="T140:T147" si="73">SUM(AD140:AF140)</f>
        <v>0</v>
      </c>
      <c r="U140" s="213">
        <f t="shared" ref="U140:U147" si="74">SUM(AG140:AI140)</f>
        <v>438120</v>
      </c>
      <c r="V140" s="213">
        <f t="shared" ref="V140:V147" si="75">SUM(AJ140:AL140)</f>
        <v>0</v>
      </c>
      <c r="W140" s="222">
        <f t="shared" ref="W140:W147" si="76">SUM(AM140:AO140)</f>
        <v>0</v>
      </c>
      <c r="X140" s="300"/>
      <c r="Y140" s="301"/>
      <c r="Z140" s="302"/>
      <c r="AA140" s="300"/>
      <c r="AB140" s="301"/>
      <c r="AC140" s="302"/>
      <c r="AD140" s="308"/>
      <c r="AE140" s="309"/>
      <c r="AF140" s="310"/>
      <c r="AG140" s="336">
        <v>438120</v>
      </c>
      <c r="AH140" s="337"/>
      <c r="AI140" s="319"/>
      <c r="AJ140" s="338">
        <v>0</v>
      </c>
      <c r="AK140" s="337"/>
      <c r="AL140" s="337"/>
      <c r="AM140" s="317"/>
      <c r="AN140" s="318"/>
      <c r="AO140" s="319"/>
      <c r="AP140" s="199"/>
      <c r="AQ140" s="342" t="s">
        <v>200</v>
      </c>
      <c r="AR140" s="283"/>
      <c r="AS140" s="264"/>
      <c r="AT140" s="264"/>
    </row>
    <row r="141" spans="1:46" s="128" customFormat="1" ht="135" x14ac:dyDescent="0.25">
      <c r="A141" s="478" t="s">
        <v>114</v>
      </c>
      <c r="B141" s="475" t="s">
        <v>174</v>
      </c>
      <c r="C141" s="475" t="s">
        <v>115</v>
      </c>
      <c r="D141" s="476" t="s">
        <v>364</v>
      </c>
      <c r="E141" s="476" t="s">
        <v>97</v>
      </c>
      <c r="F141" s="476" t="s">
        <v>185</v>
      </c>
      <c r="G141" s="490" t="s">
        <v>322</v>
      </c>
      <c r="H141" s="476" t="s">
        <v>349</v>
      </c>
      <c r="I141" s="475" t="s">
        <v>365</v>
      </c>
      <c r="J141" s="482" t="s">
        <v>366</v>
      </c>
      <c r="K141" s="475" t="s">
        <v>367</v>
      </c>
      <c r="L141" s="476">
        <v>7</v>
      </c>
      <c r="M141" s="476"/>
      <c r="N141" s="476" t="s">
        <v>353</v>
      </c>
      <c r="O141" s="476" t="s">
        <v>354</v>
      </c>
      <c r="P141" s="476" t="s">
        <v>191</v>
      </c>
      <c r="Q141" s="499">
        <f t="shared" si="1"/>
        <v>337432</v>
      </c>
      <c r="R141" s="489">
        <f t="shared" si="71"/>
        <v>0</v>
      </c>
      <c r="S141" s="213">
        <f t="shared" si="72"/>
        <v>84181</v>
      </c>
      <c r="T141" s="213">
        <f t="shared" si="73"/>
        <v>84283</v>
      </c>
      <c r="U141" s="213">
        <f t="shared" si="74"/>
        <v>84414</v>
      </c>
      <c r="V141" s="213">
        <f t="shared" si="75"/>
        <v>84554</v>
      </c>
      <c r="W141" s="222">
        <f t="shared" si="76"/>
        <v>0</v>
      </c>
      <c r="X141" s="300"/>
      <c r="Y141" s="301">
        <v>0</v>
      </c>
      <c r="Z141" s="302">
        <v>0</v>
      </c>
      <c r="AA141" s="300">
        <v>0</v>
      </c>
      <c r="AB141" s="301">
        <v>77400</v>
      </c>
      <c r="AC141" s="302">
        <v>6781</v>
      </c>
      <c r="AD141" s="308">
        <v>0</v>
      </c>
      <c r="AE141" s="309">
        <v>77400</v>
      </c>
      <c r="AF141" s="310">
        <v>6883</v>
      </c>
      <c r="AG141" s="336"/>
      <c r="AH141" s="337">
        <v>77400</v>
      </c>
      <c r="AI141" s="319">
        <v>7014</v>
      </c>
      <c r="AJ141" s="338"/>
      <c r="AK141" s="337">
        <v>77400</v>
      </c>
      <c r="AL141" s="337">
        <v>7154</v>
      </c>
      <c r="AM141" s="317"/>
      <c r="AN141" s="318"/>
      <c r="AO141" s="319"/>
      <c r="AP141" s="199"/>
      <c r="AQ141" s="342" t="s">
        <v>295</v>
      </c>
      <c r="AR141" s="590"/>
      <c r="AS141" s="264" t="s">
        <v>368</v>
      </c>
      <c r="AT141" s="264" t="s">
        <v>252</v>
      </c>
    </row>
    <row r="142" spans="1:46" s="542" customFormat="1" ht="14.45" customHeight="1" x14ac:dyDescent="0.25">
      <c r="A142" s="523" t="s">
        <v>114</v>
      </c>
      <c r="B142" s="513" t="s">
        <v>2</v>
      </c>
      <c r="C142" s="513" t="s">
        <v>369</v>
      </c>
      <c r="D142" s="516" t="s">
        <v>370</v>
      </c>
      <c r="E142" s="516" t="s">
        <v>97</v>
      </c>
      <c r="F142" s="516" t="s">
        <v>151</v>
      </c>
      <c r="G142" s="516" t="s">
        <v>117</v>
      </c>
      <c r="H142" s="516"/>
      <c r="I142" s="516" t="s">
        <v>371</v>
      </c>
      <c r="J142" s="513" t="s">
        <v>372</v>
      </c>
      <c r="K142" s="516" t="s">
        <v>373</v>
      </c>
      <c r="L142" s="516">
        <v>5</v>
      </c>
      <c r="M142" s="476" t="s">
        <v>128</v>
      </c>
      <c r="N142" s="516" t="s">
        <v>374</v>
      </c>
      <c r="O142" s="516" t="s">
        <v>375</v>
      </c>
      <c r="P142" s="516" t="s">
        <v>105</v>
      </c>
      <c r="Q142" s="543">
        <f>SUM(R142:W142)</f>
        <v>1615000</v>
      </c>
      <c r="R142" s="544">
        <f>SUM(X142:Z142)</f>
        <v>0</v>
      </c>
      <c r="S142" s="505">
        <f>SUM(AA142:AC142)</f>
        <v>0</v>
      </c>
      <c r="T142" s="505">
        <f>SUM(AD142:AF142)</f>
        <v>0</v>
      </c>
      <c r="U142" s="505">
        <f>SUM(AG142:AI142)</f>
        <v>660000</v>
      </c>
      <c r="V142" s="505">
        <f>SUM(AJ142:AL142)</f>
        <v>625000</v>
      </c>
      <c r="W142" s="501">
        <f>SUM(AM142:AO142)</f>
        <v>330000</v>
      </c>
      <c r="X142" s="300"/>
      <c r="Y142" s="301"/>
      <c r="Z142" s="302"/>
      <c r="AA142" s="311"/>
      <c r="AB142" s="309"/>
      <c r="AC142" s="310"/>
      <c r="AD142" s="628">
        <v>0</v>
      </c>
      <c r="AE142" s="309"/>
      <c r="AF142" s="310"/>
      <c r="AG142" s="534">
        <v>660000</v>
      </c>
      <c r="AH142" s="517"/>
      <c r="AI142" s="518"/>
      <c r="AJ142" s="537">
        <v>625000</v>
      </c>
      <c r="AK142" s="517"/>
      <c r="AL142" s="518"/>
      <c r="AM142" s="504">
        <v>330000</v>
      </c>
      <c r="AN142" s="517"/>
      <c r="AO142" s="518"/>
      <c r="AP142" s="538"/>
      <c r="AQ142" s="545"/>
      <c r="AR142" s="540"/>
      <c r="AS142" s="546"/>
      <c r="AT142" s="546"/>
    </row>
    <row r="143" spans="1:46" s="542" customFormat="1" ht="150" x14ac:dyDescent="0.25">
      <c r="A143" s="523" t="s">
        <v>114</v>
      </c>
      <c r="B143" s="513" t="s">
        <v>2</v>
      </c>
      <c r="C143" s="513" t="s">
        <v>369</v>
      </c>
      <c r="D143" s="516" t="s">
        <v>370</v>
      </c>
      <c r="E143" s="516" t="s">
        <v>97</v>
      </c>
      <c r="F143" s="516" t="s">
        <v>151</v>
      </c>
      <c r="G143" s="516" t="s">
        <v>117</v>
      </c>
      <c r="H143" s="516"/>
      <c r="I143" s="516" t="s">
        <v>371</v>
      </c>
      <c r="J143" s="513" t="s">
        <v>376</v>
      </c>
      <c r="K143" s="516" t="s">
        <v>377</v>
      </c>
      <c r="L143" s="516">
        <v>5</v>
      </c>
      <c r="M143" s="516"/>
      <c r="N143" s="516" t="s">
        <v>374</v>
      </c>
      <c r="O143" s="516"/>
      <c r="P143" s="516" t="s">
        <v>191</v>
      </c>
      <c r="Q143" s="543">
        <f t="shared" ref="Q143" si="77">SUM(R143:W143)</f>
        <v>1831868</v>
      </c>
      <c r="R143" s="544">
        <f t="shared" ref="R143" si="78">SUM(X143:Z143)</f>
        <v>0</v>
      </c>
      <c r="S143" s="505">
        <f t="shared" ref="S143" si="79">SUM(AA143:AC143)</f>
        <v>0</v>
      </c>
      <c r="T143" s="505">
        <f t="shared" ref="T143" si="80">SUM(AD143:AF143)</f>
        <v>457967</v>
      </c>
      <c r="U143" s="505">
        <f t="shared" ref="U143" si="81">SUM(AG143:AI143)</f>
        <v>457967</v>
      </c>
      <c r="V143" s="505">
        <f t="shared" ref="V143" si="82">SUM(AJ143:AL143)</f>
        <v>457967</v>
      </c>
      <c r="W143" s="501">
        <f>SUM(AM143:AO143)</f>
        <v>457967</v>
      </c>
      <c r="X143" s="504"/>
      <c r="Y143" s="517"/>
      <c r="Z143" s="518">
        <v>0</v>
      </c>
      <c r="AA143" s="504"/>
      <c r="AB143" s="517">
        <v>0</v>
      </c>
      <c r="AC143" s="518">
        <v>0</v>
      </c>
      <c r="AD143" s="522"/>
      <c r="AE143" s="517">
        <v>379997</v>
      </c>
      <c r="AF143" s="518">
        <v>77970</v>
      </c>
      <c r="AG143" s="534"/>
      <c r="AH143" s="517">
        <v>379997</v>
      </c>
      <c r="AI143" s="518">
        <v>77970</v>
      </c>
      <c r="AJ143" s="537"/>
      <c r="AK143" s="517">
        <v>379997</v>
      </c>
      <c r="AL143" s="518">
        <v>77970</v>
      </c>
      <c r="AM143" s="504"/>
      <c r="AN143" s="517">
        <v>379997</v>
      </c>
      <c r="AO143" s="518">
        <v>77970</v>
      </c>
      <c r="AP143" s="538"/>
      <c r="AQ143" s="545"/>
      <c r="AR143" s="590"/>
      <c r="AS143" s="546" t="s">
        <v>378</v>
      </c>
      <c r="AT143" s="264" t="s">
        <v>252</v>
      </c>
    </row>
    <row r="144" spans="1:46" s="128" customFormat="1" ht="15.75" x14ac:dyDescent="0.25">
      <c r="A144" s="474"/>
      <c r="B144" s="475"/>
      <c r="C144" s="475"/>
      <c r="D144" s="476"/>
      <c r="E144" s="476"/>
      <c r="F144" s="476"/>
      <c r="G144" s="477"/>
      <c r="H144" s="476"/>
      <c r="I144" s="475"/>
      <c r="J144" s="475"/>
      <c r="K144" s="475"/>
      <c r="L144" s="476"/>
      <c r="M144" s="476"/>
      <c r="N144" s="476"/>
      <c r="O144" s="476"/>
      <c r="P144" s="476"/>
      <c r="Q144" s="499">
        <f t="shared" si="1"/>
        <v>0</v>
      </c>
      <c r="R144" s="489">
        <f t="shared" si="71"/>
        <v>0</v>
      </c>
      <c r="S144" s="213">
        <f t="shared" si="72"/>
        <v>0</v>
      </c>
      <c r="T144" s="213">
        <f t="shared" si="73"/>
        <v>0</v>
      </c>
      <c r="U144" s="213">
        <f t="shared" si="74"/>
        <v>0</v>
      </c>
      <c r="V144" s="213">
        <f t="shared" si="75"/>
        <v>0</v>
      </c>
      <c r="W144" s="222">
        <f t="shared" si="76"/>
        <v>0</v>
      </c>
      <c r="X144" s="300"/>
      <c r="Y144" s="301"/>
      <c r="Z144" s="302"/>
      <c r="AA144" s="300"/>
      <c r="AB144" s="301"/>
      <c r="AC144" s="302"/>
      <c r="AD144" s="308"/>
      <c r="AE144" s="309"/>
      <c r="AF144" s="310"/>
      <c r="AG144" s="308"/>
      <c r="AH144" s="309"/>
      <c r="AI144" s="310"/>
      <c r="AJ144" s="311"/>
      <c r="AK144" s="309"/>
      <c r="AL144" s="312"/>
      <c r="AM144" s="311"/>
      <c r="AN144" s="309"/>
      <c r="AO144" s="310"/>
      <c r="AP144" s="195"/>
      <c r="AQ144" s="192"/>
      <c r="AR144" s="345"/>
      <c r="AS144" s="264"/>
      <c r="AT144" s="264"/>
    </row>
    <row r="145" spans="1:46" s="128" customFormat="1" ht="15.75" x14ac:dyDescent="0.25">
      <c r="A145" s="474"/>
      <c r="B145" s="475"/>
      <c r="C145" s="475"/>
      <c r="D145" s="476"/>
      <c r="E145" s="476"/>
      <c r="F145" s="476"/>
      <c r="G145" s="477"/>
      <c r="H145" s="476"/>
      <c r="I145" s="475"/>
      <c r="J145" s="475"/>
      <c r="K145" s="475"/>
      <c r="L145" s="476"/>
      <c r="M145" s="476"/>
      <c r="N145" s="476"/>
      <c r="O145" s="476"/>
      <c r="P145" s="476"/>
      <c r="Q145" s="499">
        <f t="shared" si="1"/>
        <v>0</v>
      </c>
      <c r="R145" s="489">
        <f t="shared" si="71"/>
        <v>0</v>
      </c>
      <c r="S145" s="213">
        <f t="shared" si="72"/>
        <v>0</v>
      </c>
      <c r="T145" s="213">
        <f t="shared" si="73"/>
        <v>0</v>
      </c>
      <c r="U145" s="213">
        <f t="shared" si="74"/>
        <v>0</v>
      </c>
      <c r="V145" s="213">
        <f t="shared" si="75"/>
        <v>0</v>
      </c>
      <c r="W145" s="222">
        <f t="shared" si="76"/>
        <v>0</v>
      </c>
      <c r="X145" s="300"/>
      <c r="Y145" s="301"/>
      <c r="Z145" s="302"/>
      <c r="AA145" s="300"/>
      <c r="AB145" s="301"/>
      <c r="AC145" s="302"/>
      <c r="AD145" s="308"/>
      <c r="AE145" s="309"/>
      <c r="AF145" s="310"/>
      <c r="AG145" s="308"/>
      <c r="AH145" s="309"/>
      <c r="AI145" s="310"/>
      <c r="AJ145" s="311"/>
      <c r="AK145" s="309"/>
      <c r="AL145" s="312"/>
      <c r="AM145" s="311"/>
      <c r="AN145" s="309"/>
      <c r="AO145" s="310"/>
      <c r="AP145" s="195"/>
      <c r="AQ145" s="192"/>
      <c r="AR145" s="345"/>
      <c r="AS145" s="264"/>
      <c r="AT145" s="264"/>
    </row>
    <row r="146" spans="1:46" s="128" customFormat="1" ht="15.75" x14ac:dyDescent="0.25">
      <c r="A146" s="474"/>
      <c r="B146" s="475"/>
      <c r="C146" s="475"/>
      <c r="D146" s="476"/>
      <c r="E146" s="476"/>
      <c r="F146" s="476"/>
      <c r="G146" s="477"/>
      <c r="H146" s="476"/>
      <c r="I146" s="475"/>
      <c r="J146" s="475"/>
      <c r="K146" s="475"/>
      <c r="L146" s="476"/>
      <c r="M146" s="476"/>
      <c r="N146" s="476"/>
      <c r="O146" s="476"/>
      <c r="P146" s="476"/>
      <c r="Q146" s="499">
        <f t="shared" si="1"/>
        <v>0</v>
      </c>
      <c r="R146" s="489">
        <f t="shared" si="71"/>
        <v>0</v>
      </c>
      <c r="S146" s="213">
        <f t="shared" si="72"/>
        <v>0</v>
      </c>
      <c r="T146" s="213">
        <f t="shared" si="73"/>
        <v>0</v>
      </c>
      <c r="U146" s="213">
        <f t="shared" si="74"/>
        <v>0</v>
      </c>
      <c r="V146" s="213">
        <f t="shared" si="75"/>
        <v>0</v>
      </c>
      <c r="W146" s="222">
        <f t="shared" si="76"/>
        <v>0</v>
      </c>
      <c r="X146" s="300"/>
      <c r="Y146" s="301"/>
      <c r="Z146" s="302"/>
      <c r="AA146" s="300"/>
      <c r="AB146" s="301"/>
      <c r="AC146" s="302"/>
      <c r="AD146" s="308"/>
      <c r="AE146" s="309"/>
      <c r="AF146" s="310"/>
      <c r="AG146" s="308"/>
      <c r="AH146" s="309"/>
      <c r="AI146" s="310"/>
      <c r="AJ146" s="311"/>
      <c r="AK146" s="309"/>
      <c r="AL146" s="312"/>
      <c r="AM146" s="311"/>
      <c r="AN146" s="309"/>
      <c r="AO146" s="310"/>
      <c r="AP146" s="195"/>
      <c r="AQ146" s="192"/>
      <c r="AR146" s="345"/>
      <c r="AS146" s="264"/>
      <c r="AT146" s="264"/>
    </row>
    <row r="147" spans="1:46" s="128" customFormat="1" ht="16.5" thickBot="1" x14ac:dyDescent="0.3">
      <c r="A147" s="500"/>
      <c r="B147" s="491"/>
      <c r="C147" s="491"/>
      <c r="D147" s="492"/>
      <c r="E147" s="492"/>
      <c r="F147" s="492"/>
      <c r="G147" s="493"/>
      <c r="H147" s="492"/>
      <c r="I147" s="491"/>
      <c r="J147" s="491"/>
      <c r="K147" s="491"/>
      <c r="L147" s="492"/>
      <c r="M147" s="492"/>
      <c r="N147" s="492"/>
      <c r="O147" s="492"/>
      <c r="P147" s="492"/>
      <c r="Q147" s="499">
        <f t="shared" si="1"/>
        <v>0</v>
      </c>
      <c r="R147" s="489">
        <f t="shared" si="71"/>
        <v>0</v>
      </c>
      <c r="S147" s="213">
        <f t="shared" si="72"/>
        <v>0</v>
      </c>
      <c r="T147" s="213">
        <f t="shared" si="73"/>
        <v>0</v>
      </c>
      <c r="U147" s="213">
        <f t="shared" si="74"/>
        <v>0</v>
      </c>
      <c r="V147" s="213">
        <f t="shared" si="75"/>
        <v>0</v>
      </c>
      <c r="W147" s="222">
        <f t="shared" si="76"/>
        <v>0</v>
      </c>
      <c r="X147" s="300"/>
      <c r="Y147" s="301"/>
      <c r="Z147" s="302"/>
      <c r="AA147" s="300"/>
      <c r="AB147" s="301"/>
      <c r="AC147" s="302"/>
      <c r="AD147" s="308"/>
      <c r="AE147" s="309"/>
      <c r="AF147" s="310"/>
      <c r="AG147" s="308"/>
      <c r="AH147" s="309"/>
      <c r="AI147" s="310"/>
      <c r="AJ147" s="311"/>
      <c r="AK147" s="309"/>
      <c r="AL147" s="312"/>
      <c r="AM147" s="311"/>
      <c r="AN147" s="309"/>
      <c r="AO147" s="310"/>
      <c r="AP147" s="195"/>
      <c r="AQ147" s="192"/>
      <c r="AR147" s="345"/>
      <c r="AS147" s="264"/>
      <c r="AT147" s="264"/>
    </row>
    <row r="148" spans="1:46" s="128" customFormat="1" ht="16.5" thickBot="1" x14ac:dyDescent="0.3">
      <c r="A148" s="494"/>
      <c r="B148" s="495"/>
      <c r="C148" s="496"/>
      <c r="D148" s="496"/>
      <c r="E148" s="496"/>
      <c r="F148" s="496"/>
      <c r="G148" s="496"/>
      <c r="H148" s="496"/>
      <c r="I148" s="496"/>
      <c r="J148" s="495"/>
      <c r="K148" s="496"/>
      <c r="L148" s="496"/>
      <c r="M148" s="496"/>
      <c r="N148" s="496"/>
      <c r="O148" s="496"/>
      <c r="P148" s="496"/>
      <c r="Q148" s="497">
        <f t="shared" si="1"/>
        <v>15683991.500000004</v>
      </c>
      <c r="R148" s="498">
        <f t="shared" si="11"/>
        <v>478000</v>
      </c>
      <c r="S148" s="246">
        <f t="shared" si="24"/>
        <v>5278708.4666666677</v>
      </c>
      <c r="T148" s="246">
        <f t="shared" si="18"/>
        <v>9927283.0333333351</v>
      </c>
      <c r="U148" s="246">
        <f t="shared" si="12"/>
        <v>0</v>
      </c>
      <c r="V148" s="246">
        <f t="shared" si="13"/>
        <v>0</v>
      </c>
      <c r="W148" s="30">
        <f t="shared" si="8"/>
        <v>0</v>
      </c>
      <c r="X148" s="333">
        <f t="shared" ref="X148:AF148" si="83">SUM(X35:X139)</f>
        <v>478000</v>
      </c>
      <c r="Y148" s="334">
        <f t="shared" si="83"/>
        <v>0</v>
      </c>
      <c r="Z148" s="335">
        <f t="shared" si="83"/>
        <v>0</v>
      </c>
      <c r="AA148" s="333">
        <f t="shared" si="83"/>
        <v>4900455.4666666677</v>
      </c>
      <c r="AB148" s="334">
        <f t="shared" si="83"/>
        <v>320851</v>
      </c>
      <c r="AC148" s="335">
        <f t="shared" si="83"/>
        <v>57402</v>
      </c>
      <c r="AD148" s="340">
        <f t="shared" si="83"/>
        <v>7617945.0333333341</v>
      </c>
      <c r="AE148" s="334">
        <f t="shared" si="83"/>
        <v>1890343</v>
      </c>
      <c r="AF148" s="335">
        <f t="shared" si="83"/>
        <v>418995</v>
      </c>
      <c r="AG148" s="176"/>
      <c r="AH148" s="30"/>
      <c r="AI148" s="31"/>
      <c r="AJ148" s="32"/>
      <c r="AK148" s="30"/>
      <c r="AL148" s="30"/>
      <c r="AM148" s="245"/>
      <c r="AN148" s="246"/>
      <c r="AO148" s="31"/>
      <c r="AP148" s="177"/>
      <c r="AQ148" s="178"/>
      <c r="AR148" s="177"/>
      <c r="AS148" s="178"/>
      <c r="AT148" s="178"/>
    </row>
    <row r="149" spans="1:46" ht="15.75" thickBot="1" x14ac:dyDescent="0.3">
      <c r="J149" s="1"/>
      <c r="X149" s="329">
        <f t="shared" ref="X149:AF149" si="84">SUM(X151+X154+X157+X160+X166+X169+X172+X175+X181+X184+X187+X190)</f>
        <v>478000</v>
      </c>
      <c r="Y149" s="330">
        <f t="shared" si="84"/>
        <v>0</v>
      </c>
      <c r="Z149" s="331">
        <f t="shared" si="84"/>
        <v>0</v>
      </c>
      <c r="AA149" s="329">
        <f t="shared" si="84"/>
        <v>4900455.4666666668</v>
      </c>
      <c r="AB149" s="330">
        <f t="shared" si="84"/>
        <v>398251</v>
      </c>
      <c r="AC149" s="331">
        <f t="shared" si="84"/>
        <v>64183</v>
      </c>
      <c r="AD149" s="329">
        <f t="shared" si="84"/>
        <v>7617945.0333333332</v>
      </c>
      <c r="AE149" s="330">
        <f t="shared" si="84"/>
        <v>2347740</v>
      </c>
      <c r="AF149" s="331">
        <f t="shared" si="84"/>
        <v>503848</v>
      </c>
      <c r="AP149" s="1"/>
    </row>
    <row r="150" spans="1:46" ht="15.75" thickBot="1" x14ac:dyDescent="0.3">
      <c r="F150" s="181"/>
      <c r="J150" s="1"/>
      <c r="U150" s="181" t="s">
        <v>105</v>
      </c>
    </row>
    <row r="151" spans="1:46" x14ac:dyDescent="0.25">
      <c r="E151" s="1" t="s">
        <v>97</v>
      </c>
      <c r="F151" s="172" t="s">
        <v>155</v>
      </c>
      <c r="G151" s="1" t="s">
        <v>117</v>
      </c>
      <c r="J151" s="1"/>
      <c r="P151" s="172" t="s">
        <v>379</v>
      </c>
      <c r="Q151" s="172"/>
      <c r="U151" s="1" t="s">
        <v>7</v>
      </c>
      <c r="X151" s="618">
        <f>SUMIFS($X$35:$X$147,$G$35:$G$147,$G$151,$P$35:$P$147,"SF 21-27 (taotletav raha)")</f>
        <v>0</v>
      </c>
      <c r="Y151" s="615">
        <f>SUMIFS($Y$35:$Y$147,$G$35:$G$147,$G$151,$P$35:$P$147,"SF 21-27 (taotletav raha)")</f>
        <v>0</v>
      </c>
      <c r="Z151" s="616">
        <f>SUMIFS($Z$35:$Z$147,$G$35:$G$147,$G$151,$P$35:$P$147,"SF 21-27 (taotletav raha)")</f>
        <v>0</v>
      </c>
      <c r="AA151" s="618">
        <f>SUMIFS($AA$35:$AA$147,$G$35:$G$147,$G$151,$P$35:$P$147,"SF 21-27 (taotletav raha)")</f>
        <v>2425709.4666666668</v>
      </c>
      <c r="AB151" s="615">
        <f>SUMIFS($AB$35:$AB$147,$G$35:$G$147,$G$151,$P$35:$P$147,"SF 21-27 (taotletav raha)")</f>
        <v>93755</v>
      </c>
      <c r="AC151" s="621">
        <f>SUMIFS($AC$35:$AC$147,$G$35:$G$147,$G$151,$P$35:$P$147,"SF 21-27 (taotletav raha)")</f>
        <v>0</v>
      </c>
      <c r="AD151" s="618">
        <f>SUMIFS($AD$35:$AD$147,$G$35:$G$147,$G$151,$P$35:$P$147,"SF 21-27 (taotletav raha)")</f>
        <v>4865160.5333333332</v>
      </c>
      <c r="AE151" s="615">
        <f>SUMIFS($AE$35:$AE$147,$G$35:$G$147,$G$151,$P$35:$P$147,"SF 21-27 (taotletav raha)")</f>
        <v>443122</v>
      </c>
      <c r="AF151" s="621">
        <f>SUMIFS($AF$35:$AF$139,$G$35:$G$139,$G$151,$P$35:$P$139,"SF 21-27 (taotletav raha)")</f>
        <v>0</v>
      </c>
      <c r="AG151" s="155" t="s">
        <v>380</v>
      </c>
      <c r="AQ151" s="1" t="s">
        <v>381</v>
      </c>
    </row>
    <row r="152" spans="1:46" ht="15.75" thickBot="1" x14ac:dyDescent="0.3">
      <c r="E152" s="1" t="s">
        <v>382</v>
      </c>
      <c r="F152" s="172" t="s">
        <v>383</v>
      </c>
      <c r="G152" s="1" t="s">
        <v>322</v>
      </c>
      <c r="J152" s="1"/>
      <c r="P152" s="172" t="s">
        <v>133</v>
      </c>
      <c r="Q152" s="172"/>
      <c r="U152" s="185" t="s">
        <v>384</v>
      </c>
      <c r="V152" s="185"/>
      <c r="W152" s="185"/>
      <c r="X152" s="180">
        <f>X151*1.2</f>
        <v>0</v>
      </c>
      <c r="Y152" s="106">
        <f>Y151</f>
        <v>0</v>
      </c>
      <c r="Z152" s="107">
        <f>Z151*1.2</f>
        <v>0</v>
      </c>
      <c r="AA152" s="180">
        <f>AA151*1.22</f>
        <v>2959365.5493333335</v>
      </c>
      <c r="AB152" s="106">
        <f>AB151</f>
        <v>93755</v>
      </c>
      <c r="AC152" s="107">
        <f t="shared" ref="AC152" si="85">AC151*1.22</f>
        <v>0</v>
      </c>
      <c r="AD152" s="180">
        <f>AD151*1.22</f>
        <v>5935495.8506666664</v>
      </c>
      <c r="AE152" s="106">
        <f>AE151</f>
        <v>443122</v>
      </c>
      <c r="AF152" s="107">
        <f t="shared" ref="AF152" si="86">AF151*1.22</f>
        <v>0</v>
      </c>
      <c r="AQ152" s="1" t="s">
        <v>385</v>
      </c>
    </row>
    <row r="153" spans="1:46" ht="15.75" thickBot="1" x14ac:dyDescent="0.3">
      <c r="E153" s="1" t="s">
        <v>255</v>
      </c>
      <c r="F153" s="172" t="s">
        <v>147</v>
      </c>
      <c r="G153" s="1" t="s">
        <v>386</v>
      </c>
      <c r="J153" s="1"/>
      <c r="P153" s="172" t="s">
        <v>191</v>
      </c>
      <c r="Q153" s="172"/>
      <c r="X153" s="186"/>
      <c r="Y153" s="186"/>
      <c r="Z153" s="186"/>
      <c r="AQ153" s="1" t="s">
        <v>387</v>
      </c>
    </row>
    <row r="154" spans="1:46" x14ac:dyDescent="0.25">
      <c r="F154" s="172" t="s">
        <v>388</v>
      </c>
      <c r="G154" s="1" t="s">
        <v>99</v>
      </c>
      <c r="J154" s="1"/>
      <c r="P154" s="172" t="s">
        <v>389</v>
      </c>
      <c r="Q154" s="172"/>
      <c r="U154" s="1" t="s">
        <v>8</v>
      </c>
      <c r="X154" s="618">
        <f>SUMIFS(X35:X147,G35:G147,$G$152,P35:P147,"SF 21-27 (taotletav raha)")</f>
        <v>0</v>
      </c>
      <c r="Y154" s="615">
        <f>SUMIFS(Y35:Y147,G35:G147,$G$152,P35:P147,"SF 21-27 (taotletav raha)")</f>
        <v>0</v>
      </c>
      <c r="Z154" s="616">
        <f>SUMIFS(Z35:Z147,G35:G147,$G$152,P35:P147,"SF 21-27 (taotletav raha)")</f>
        <v>0</v>
      </c>
      <c r="AA154" s="622">
        <f>SUMIFS(AA35:AA147,G35:G147,$G$152,P35:P147,"SF 21-27 (taotletav raha)")</f>
        <v>0</v>
      </c>
      <c r="AB154" s="620">
        <f>SUMIFS(AB35:AB147,G35:G147,$G$152,P35:P147,"SF 21-27 (taotletav raha)")</f>
        <v>0</v>
      </c>
      <c r="AC154" s="621">
        <f>SUMIFS(AC35:AC147,G35:G147,$G$152,P35:P147,"SF 21-27 (taotletav raha)")</f>
        <v>0</v>
      </c>
      <c r="AD154" s="622">
        <f>SUMIFS(AD35:AD147,G35:G147,$G$152,P35:P147,"SF 21-27 (taotletav raha)")</f>
        <v>0</v>
      </c>
      <c r="AE154" s="620">
        <f>SUMIFS(AE35:AE147,G35:G147,$G$152,P35:P147,"SF 21-27 (taotletav raha)")</f>
        <v>0</v>
      </c>
      <c r="AF154" s="621">
        <f>SUMIFS(AF35:AF147,G35:G147,$G$152,P35:P147,"SF 21-27 (taotletav raha)")</f>
        <v>0</v>
      </c>
      <c r="AQ154" s="1" t="s">
        <v>183</v>
      </c>
    </row>
    <row r="155" spans="1:46" ht="15.75" thickBot="1" x14ac:dyDescent="0.3">
      <c r="F155" s="172" t="s">
        <v>98</v>
      </c>
      <c r="J155" s="1"/>
      <c r="P155" s="172" t="s">
        <v>18</v>
      </c>
      <c r="Q155" s="172"/>
      <c r="U155" s="185" t="s">
        <v>384</v>
      </c>
      <c r="X155" s="180">
        <f>X154*1.2</f>
        <v>0</v>
      </c>
      <c r="Y155" s="106">
        <f>Y154</f>
        <v>0</v>
      </c>
      <c r="Z155" s="107">
        <f>Z154*1.2</f>
        <v>0</v>
      </c>
      <c r="AA155" s="180">
        <f>AA154*1.22</f>
        <v>0</v>
      </c>
      <c r="AB155" s="106">
        <f t="shared" ref="AB155" si="87">AB154</f>
        <v>0</v>
      </c>
      <c r="AC155" s="107">
        <f t="shared" ref="AC155" si="88">AC154*1.22</f>
        <v>0</v>
      </c>
      <c r="AD155" s="180">
        <f>AD154*1.22</f>
        <v>0</v>
      </c>
      <c r="AE155" s="106">
        <f t="shared" ref="AE155" si="89">AE154</f>
        <v>0</v>
      </c>
      <c r="AF155" s="107">
        <f t="shared" ref="AF155" si="90">AF154*1.22</f>
        <v>0</v>
      </c>
      <c r="AQ155" s="1" t="s">
        <v>241</v>
      </c>
    </row>
    <row r="156" spans="1:46" ht="15.75" thickBot="1" x14ac:dyDescent="0.3">
      <c r="F156" s="172" t="s">
        <v>151</v>
      </c>
      <c r="J156" s="1"/>
      <c r="P156" s="172" t="s">
        <v>390</v>
      </c>
      <c r="Q156" s="172"/>
      <c r="X156" s="186"/>
      <c r="Y156" s="186"/>
      <c r="Z156" s="186"/>
    </row>
    <row r="157" spans="1:46" x14ac:dyDescent="0.25">
      <c r="F157" s="172" t="s">
        <v>185</v>
      </c>
      <c r="J157" s="1"/>
      <c r="K157" s="186"/>
      <c r="L157" s="186"/>
      <c r="M157" s="186"/>
      <c r="P157" s="172" t="s">
        <v>105</v>
      </c>
      <c r="U157" s="1" t="s">
        <v>391</v>
      </c>
      <c r="X157" s="618">
        <f>SUMIFS(X35:X147,G35:G147,$G$153,P35:P147,"SF 21-27 (taotletav raha)")</f>
        <v>0</v>
      </c>
      <c r="Y157" s="615">
        <f>SUMIFS(Y35:Y147,G35:G147,$G$153,P35:P147,"SF 21-27 (taotletav raha)")</f>
        <v>0</v>
      </c>
      <c r="Z157" s="616">
        <f>SUMIFS(Z35:Z147,G35:G147,$G$153,P35:P147,"SF 21-27 (taotletav raha)")</f>
        <v>0</v>
      </c>
      <c r="AA157" s="622">
        <f>SUMIFS(AA35:AA147,G35:G147,$G$153,P35:P147,"SF 21-27 (taotletav raha)")</f>
        <v>0</v>
      </c>
      <c r="AB157" s="620">
        <f>SUMIFS(AB35:AB147,G35:G147,$G$153,P35:P147,"SF 21-27 (taotletav raha)")</f>
        <v>0</v>
      </c>
      <c r="AC157" s="621">
        <f>SUMIFS(AC35:AC147,G35:G147,$G$153,P35:P147,"SF 21-27 (taotletav raha)")</f>
        <v>0</v>
      </c>
      <c r="AD157" s="622">
        <f>SUMIFS(AD35:AD147,G35:G147,$G$153,P35:P147,"SF 21-27 (taotletav raha)")</f>
        <v>0</v>
      </c>
      <c r="AE157" s="620">
        <f>SUMIFS(AE35:AE147,G35:G147,$G$153,P35:P147,"SF 21-27 (taotletav raha)")</f>
        <v>0</v>
      </c>
      <c r="AF157" s="621">
        <f>SUMIFS(AF35:AF147,G35:G147,$G$153,P35:P147,"SF 21-27 (taotletav raha)")</f>
        <v>0</v>
      </c>
    </row>
    <row r="158" spans="1:46" ht="15.75" thickBot="1" x14ac:dyDescent="0.3">
      <c r="F158" s="172" t="s">
        <v>211</v>
      </c>
      <c r="J158" s="1"/>
      <c r="K158" s="186"/>
      <c r="U158" s="185" t="s">
        <v>384</v>
      </c>
      <c r="X158" s="180">
        <f>X157*1.2</f>
        <v>0</v>
      </c>
      <c r="Y158" s="106">
        <f>Y157</f>
        <v>0</v>
      </c>
      <c r="Z158" s="107">
        <f>Z157*1.2</f>
        <v>0</v>
      </c>
      <c r="AA158" s="180">
        <f>AA157*1.22</f>
        <v>0</v>
      </c>
      <c r="AB158" s="106">
        <f t="shared" ref="AB158" si="91">AB157</f>
        <v>0</v>
      </c>
      <c r="AC158" s="107">
        <f t="shared" ref="AC158" si="92">AC157*1.22</f>
        <v>0</v>
      </c>
      <c r="AD158" s="180">
        <f>AD157*1.22</f>
        <v>0</v>
      </c>
      <c r="AE158" s="106">
        <f t="shared" ref="AE158" si="93">AE157</f>
        <v>0</v>
      </c>
      <c r="AF158" s="107">
        <f t="shared" ref="AF158" si="94">AF157*1.22</f>
        <v>0</v>
      </c>
    </row>
    <row r="159" spans="1:46" ht="15.75" thickBot="1" x14ac:dyDescent="0.3">
      <c r="F159" s="172" t="s">
        <v>392</v>
      </c>
      <c r="J159" s="1"/>
      <c r="K159" s="186"/>
      <c r="X159" s="186"/>
      <c r="Y159" s="186"/>
      <c r="Z159" s="186"/>
    </row>
    <row r="160" spans="1:46" x14ac:dyDescent="0.25">
      <c r="F160" s="172" t="s">
        <v>393</v>
      </c>
      <c r="J160" s="1"/>
      <c r="K160" s="186"/>
      <c r="U160" s="1" t="s">
        <v>10</v>
      </c>
      <c r="X160" s="618">
        <f>SUMIFS(X35:X147,G35:G147,$G$154,P35:P147,"SF 21-27 (taotletav raha)")</f>
        <v>0</v>
      </c>
      <c r="Y160" s="615">
        <f>SUMIFS(Y35:Y147,G35:G147,$G$154,P35:P147,"SF 21-27 (taotletav raha)")</f>
        <v>0</v>
      </c>
      <c r="Z160" s="616">
        <f>SUMIFS(Z35:Z147,G35:G147,$G$154,P35:P147,"SF 21-27 (taotletav raha)")</f>
        <v>0</v>
      </c>
      <c r="AA160" s="618">
        <f>SUMIFS(AA35:AA147,G35:G147,$G$154,P35:P147,"SF 21-27 (taotletav raha)")</f>
        <v>0</v>
      </c>
      <c r="AB160" s="615">
        <f>SUMIFS(AB35:AB147,G35:G147,$G$154,P35:P147,"SF 21-27 (taotletav raha)")</f>
        <v>60448</v>
      </c>
      <c r="AC160" s="616">
        <f>SUMIFS(AC35:AC147,G35:G147,$G$154,P35:P147,"SF 21-27 (taotletav raha)")</f>
        <v>0</v>
      </c>
      <c r="AD160" s="618">
        <f>SUMIFS(AD35:AD147,G35:G147,$G$154,P35:P147,"SF 21-27 (taotletav raha)")</f>
        <v>0</v>
      </c>
      <c r="AE160" s="615">
        <f>SUMIFS(AE35:AE147,G35:G147,$G$154,P35:P147,"SF 21-27 (taotletav raha)")</f>
        <v>145164</v>
      </c>
      <c r="AF160" s="616">
        <f>SUMIFS(AF35:AF139,G35:G139,$G$154,P35:P139,"SF 21-27 (taotletav raha)")</f>
        <v>0</v>
      </c>
    </row>
    <row r="161" spans="6:33" ht="15.75" thickBot="1" x14ac:dyDescent="0.3">
      <c r="F161" s="172" t="s">
        <v>108</v>
      </c>
      <c r="J161" s="1"/>
      <c r="U161" s="185" t="s">
        <v>384</v>
      </c>
      <c r="X161" s="180">
        <f>X160*1.2</f>
        <v>0</v>
      </c>
      <c r="Y161" s="106">
        <f>Y160</f>
        <v>0</v>
      </c>
      <c r="Z161" s="107">
        <f>Z160*1.2</f>
        <v>0</v>
      </c>
      <c r="AA161" s="180">
        <f>AA160*1.22</f>
        <v>0</v>
      </c>
      <c r="AB161" s="106">
        <f t="shared" ref="AB161" si="95">AB160</f>
        <v>60448</v>
      </c>
      <c r="AC161" s="107">
        <f t="shared" ref="AC161" si="96">AC160*1.22</f>
        <v>0</v>
      </c>
      <c r="AD161" s="180">
        <f>AD160*1.22</f>
        <v>0</v>
      </c>
      <c r="AE161" s="106">
        <f t="shared" ref="AE161" si="97">AE160</f>
        <v>145164</v>
      </c>
      <c r="AF161" s="107">
        <f t="shared" ref="AF161" si="98">AF160*1.22</f>
        <v>0</v>
      </c>
    </row>
    <row r="162" spans="6:33" x14ac:dyDescent="0.25">
      <c r="F162" s="172" t="s">
        <v>394</v>
      </c>
      <c r="J162" s="1"/>
      <c r="K162" s="186"/>
      <c r="AB162" s="186">
        <f>AA152+AB152</f>
        <v>3053120.5493333335</v>
      </c>
      <c r="AE162" s="186">
        <f>AD152+AE152</f>
        <v>6378617.8506666664</v>
      </c>
      <c r="AG162" s="186">
        <f>AB163+AE163</f>
        <v>9637350.4000000004</v>
      </c>
    </row>
    <row r="163" spans="6:33" x14ac:dyDescent="0.25">
      <c r="F163" s="172" t="s">
        <v>395</v>
      </c>
      <c r="J163" s="1"/>
      <c r="K163" s="186"/>
      <c r="AB163" s="186">
        <f>AA152+AB152+AB161</f>
        <v>3113568.5493333335</v>
      </c>
      <c r="AE163" s="186">
        <f>AD152+AE152+AE161</f>
        <v>6523781.8506666664</v>
      </c>
    </row>
    <row r="164" spans="6:33" x14ac:dyDescent="0.25">
      <c r="F164" s="172" t="s">
        <v>396</v>
      </c>
      <c r="J164" s="1"/>
      <c r="K164" s="186"/>
    </row>
    <row r="165" spans="6:33" ht="15.75" thickBot="1" x14ac:dyDescent="0.3">
      <c r="F165" s="172" t="s">
        <v>397</v>
      </c>
      <c r="J165" s="1"/>
      <c r="K165" s="186"/>
      <c r="U165" s="181" t="s">
        <v>398</v>
      </c>
    </row>
    <row r="166" spans="6:33" x14ac:dyDescent="0.25">
      <c r="F166" s="172" t="s">
        <v>355</v>
      </c>
      <c r="J166" s="1"/>
      <c r="K166" s="186"/>
      <c r="U166" s="1" t="s">
        <v>7</v>
      </c>
      <c r="X166" s="618">
        <f t="shared" ref="X166:AF166" si="99">SUMIFS(X$35:X$147, $G$35:$G$147, $G$151, $P$35:$P$147, "Baaseelarve")+SUMIFS(X$35:X$147, $G$35:$G$147, $G$151, $P$35:$P$147, "Muu rahastus")+SUMIFS(X$35:X$147, $G$35:$G$147, $G$151, $P$35:$P$147, "Reserv (SR)")+SUMIFS(X$35:X$147, $G$35:$G$147, $G$151, $P$35:$P$147, "RRF")+SUMIFS(X$35:X$147, $G$35:$G$147, $G$151, $P$35:$P$147, "SF 14-20 (töös olev projekt)")</f>
        <v>478000</v>
      </c>
      <c r="Y166" s="615">
        <f t="shared" si="99"/>
        <v>0</v>
      </c>
      <c r="Z166" s="619">
        <f t="shared" si="99"/>
        <v>0</v>
      </c>
      <c r="AA166" s="618">
        <f t="shared" si="99"/>
        <v>2059266</v>
      </c>
      <c r="AB166" s="615">
        <f t="shared" si="99"/>
        <v>0</v>
      </c>
      <c r="AC166" s="619">
        <f t="shared" si="99"/>
        <v>0</v>
      </c>
      <c r="AD166" s="618">
        <f t="shared" si="99"/>
        <v>1968880.5</v>
      </c>
      <c r="AE166" s="615">
        <f t="shared" si="99"/>
        <v>0</v>
      </c>
      <c r="AF166" s="616">
        <f t="shared" si="99"/>
        <v>0</v>
      </c>
    </row>
    <row r="167" spans="6:33" ht="15.75" thickBot="1" x14ac:dyDescent="0.3">
      <c r="F167" s="172" t="s">
        <v>399</v>
      </c>
      <c r="J167" s="1"/>
      <c r="K167" s="186"/>
      <c r="U167" s="185" t="s">
        <v>384</v>
      </c>
      <c r="X167" s="180">
        <f>X166*1.2</f>
        <v>573600</v>
      </c>
      <c r="Y167" s="106">
        <f>Y166</f>
        <v>0</v>
      </c>
      <c r="Z167" s="484">
        <f>Z166*1.2</f>
        <v>0</v>
      </c>
      <c r="AA167" s="180">
        <f>AA166*1.22</f>
        <v>2512304.52</v>
      </c>
      <c r="AB167" s="106">
        <f t="shared" ref="AB167" si="100">AB166</f>
        <v>0</v>
      </c>
      <c r="AC167" s="484">
        <f t="shared" ref="AC167" si="101">AC166*1.22</f>
        <v>0</v>
      </c>
      <c r="AD167" s="180">
        <f>AD166*1.22</f>
        <v>2402034.21</v>
      </c>
      <c r="AE167" s="106">
        <f t="shared" ref="AE167" si="102">AE166</f>
        <v>0</v>
      </c>
      <c r="AF167" s="107">
        <f t="shared" ref="AF167" si="103">AF166*1.22</f>
        <v>0</v>
      </c>
    </row>
    <row r="168" spans="6:33" ht="15.75" thickBot="1" x14ac:dyDescent="0.3">
      <c r="F168" s="172" t="s">
        <v>400</v>
      </c>
      <c r="J168" s="1"/>
      <c r="K168" s="186"/>
      <c r="X168" s="186"/>
      <c r="Y168" s="186"/>
      <c r="Z168" s="186"/>
      <c r="AA168" s="186"/>
      <c r="AB168" s="186"/>
      <c r="AC168" s="186"/>
      <c r="AD168" s="186"/>
      <c r="AE168" s="186"/>
      <c r="AF168" s="186"/>
    </row>
    <row r="169" spans="6:33" x14ac:dyDescent="0.25">
      <c r="F169" s="172" t="s">
        <v>401</v>
      </c>
      <c r="J169" s="1"/>
      <c r="U169" s="1" t="s">
        <v>8</v>
      </c>
      <c r="X169" s="182">
        <f t="shared" ref="X169:AF169" si="104">SUMIFS(X$35:X$147, $G$35:$G$147, $G$152, $P$35:$P$147, "Baaseelarve")+SUMIFS(X$35:X$147, $G$35:$G$147, $G$152, $P$35:$P$147, "Muu rahastus")+SUMIFS(X$35:X$147, $G$35:$G$147, $G$152, $P$35:$P$147, "Reserv (SR)")+SUMIFS(X$35:X$147, $G$35:$G$147, $G$152, $P$35:$P$147, "RRF")+SUMIFS(X$35:X$147, $G$35:$G$147, $G$152, $P$35:$P$147, "SF 14-20 (töös olev projekt)")</f>
        <v>0</v>
      </c>
      <c r="Y169" s="183">
        <f t="shared" si="104"/>
        <v>0</v>
      </c>
      <c r="Z169" s="483">
        <f t="shared" si="104"/>
        <v>0</v>
      </c>
      <c r="AA169" s="182">
        <f t="shared" si="104"/>
        <v>0</v>
      </c>
      <c r="AB169" s="183">
        <f t="shared" si="104"/>
        <v>0</v>
      </c>
      <c r="AC169" s="184">
        <f t="shared" si="104"/>
        <v>0</v>
      </c>
      <c r="AD169" s="485">
        <f t="shared" si="104"/>
        <v>0</v>
      </c>
      <c r="AE169" s="183">
        <f t="shared" si="104"/>
        <v>0</v>
      </c>
      <c r="AF169" s="184">
        <f t="shared" si="104"/>
        <v>0</v>
      </c>
    </row>
    <row r="170" spans="6:33" ht="15.75" thickBot="1" x14ac:dyDescent="0.3">
      <c r="I170" s="3"/>
      <c r="J170" s="1"/>
      <c r="U170" s="185" t="s">
        <v>384</v>
      </c>
      <c r="X170" s="180">
        <f>X169*1.2</f>
        <v>0</v>
      </c>
      <c r="Y170" s="106">
        <f>Y169</f>
        <v>0</v>
      </c>
      <c r="Z170" s="484">
        <f>Z169*1.2</f>
        <v>0</v>
      </c>
      <c r="AA170" s="180">
        <f>AA169*1.22</f>
        <v>0</v>
      </c>
      <c r="AB170" s="106">
        <f t="shared" ref="AB170" si="105">AB169</f>
        <v>0</v>
      </c>
      <c r="AC170" s="107">
        <f t="shared" ref="AC170" si="106">AC169*1.22</f>
        <v>0</v>
      </c>
      <c r="AD170" s="486">
        <f>AD169*1.22</f>
        <v>0</v>
      </c>
      <c r="AE170" s="106">
        <f t="shared" ref="AE170" si="107">AE169</f>
        <v>0</v>
      </c>
      <c r="AF170" s="107">
        <f t="shared" ref="AF170" si="108">AF169*1.22</f>
        <v>0</v>
      </c>
    </row>
    <row r="171" spans="6:33" ht="15.75" thickBot="1" x14ac:dyDescent="0.3">
      <c r="H171" s="3"/>
      <c r="J171" s="1"/>
      <c r="X171" s="186"/>
      <c r="Y171" s="186"/>
      <c r="Z171" s="186"/>
      <c r="AA171" s="186"/>
      <c r="AB171" s="186"/>
      <c r="AC171" s="186"/>
      <c r="AD171" s="186"/>
      <c r="AE171" s="186"/>
      <c r="AF171" s="186"/>
    </row>
    <row r="172" spans="6:33" x14ac:dyDescent="0.25">
      <c r="U172" s="1" t="s">
        <v>391</v>
      </c>
      <c r="X172" s="182">
        <f t="shared" ref="X172:AF172" si="109">SUMIFS(X$35:X$147, $G$35:$G$147, $G$153, $P$35:$P$147, "Baaseelarve")+SUMIFS(X$35:X$147, $G$35:$G$147, $G$153, $P$35:$P$147, "Muu rahastus")+SUMIFS(X$35:X$147, $G$35:$G$147, $G$153, $P$35:$P$147, "Reserv (SR)")+SUMIFS(X$35:X$147, $G$35:$G$147, $G$153, $P$35:$P$147, "RRF")+SUMIFS(X$35:X$147, $G$35:$G$147, $G$153, $P$35:$P$147, "SF 14-20 (töös olev projekt)")</f>
        <v>0</v>
      </c>
      <c r="Y172" s="183">
        <f t="shared" si="109"/>
        <v>0</v>
      </c>
      <c r="Z172" s="483">
        <f t="shared" si="109"/>
        <v>0</v>
      </c>
      <c r="AA172" s="182">
        <f t="shared" si="109"/>
        <v>0</v>
      </c>
      <c r="AB172" s="183">
        <f t="shared" si="109"/>
        <v>0</v>
      </c>
      <c r="AC172" s="184">
        <f t="shared" si="109"/>
        <v>0</v>
      </c>
      <c r="AD172" s="485">
        <f t="shared" si="109"/>
        <v>0</v>
      </c>
      <c r="AE172" s="183">
        <f t="shared" si="109"/>
        <v>0</v>
      </c>
      <c r="AF172" s="184">
        <f t="shared" si="109"/>
        <v>0</v>
      </c>
    </row>
    <row r="173" spans="6:33" ht="15.75" thickBot="1" x14ac:dyDescent="0.3">
      <c r="U173" s="185" t="s">
        <v>384</v>
      </c>
      <c r="X173" s="180">
        <f>X172*1.2</f>
        <v>0</v>
      </c>
      <c r="Y173" s="106">
        <f>Y172</f>
        <v>0</v>
      </c>
      <c r="Z173" s="484">
        <f>Z172*1.2</f>
        <v>0</v>
      </c>
      <c r="AA173" s="180">
        <f>AA172*1.22</f>
        <v>0</v>
      </c>
      <c r="AB173" s="106">
        <f t="shared" ref="AB173" si="110">AB172</f>
        <v>0</v>
      </c>
      <c r="AC173" s="107">
        <f t="shared" ref="AC173" si="111">AC172*1.22</f>
        <v>0</v>
      </c>
      <c r="AD173" s="486">
        <f>AD172*1.22</f>
        <v>0</v>
      </c>
      <c r="AE173" s="106">
        <f t="shared" ref="AE173" si="112">AE172</f>
        <v>0</v>
      </c>
      <c r="AF173" s="107">
        <f t="shared" ref="AF173" si="113">AF172*1.22</f>
        <v>0</v>
      </c>
    </row>
    <row r="174" spans="6:33" ht="15.75" thickBot="1" x14ac:dyDescent="0.3">
      <c r="X174" s="186"/>
      <c r="Y174" s="186"/>
      <c r="Z174" s="186"/>
      <c r="AA174" s="186"/>
      <c r="AB174" s="186"/>
      <c r="AC174" s="186"/>
      <c r="AD174" s="186"/>
      <c r="AE174" s="186"/>
      <c r="AF174" s="186"/>
    </row>
    <row r="175" spans="6:33" x14ac:dyDescent="0.25">
      <c r="U175" s="1" t="s">
        <v>10</v>
      </c>
      <c r="X175" s="182">
        <f t="shared" ref="X175:AF175" si="114">SUMIFS(X$35:X$147, $G$35:$G$147, $G$154, $P$35:$P$147, "Baaseelarve")+SUMIFS(X$35:X$147, $G$35:$G$147, $G$154, $P$35:$P$147, "Muu rahastus")+SUMIFS(X$35:X$147, $G$35:$G$147, $G$154, $P$35:$P$147, "Reserv (SR)")+SUMIFS(X$35:X$147, $G$35:$G$147, $G$154, $P$35:$P$147, "RRF")+SUMIFS(X$35:X$147, $G$35:$G$147, $G$154, $P$35:$P$147, "SF 14-20 (töös olev projekt)")</f>
        <v>0</v>
      </c>
      <c r="Y175" s="183">
        <f t="shared" si="114"/>
        <v>0</v>
      </c>
      <c r="Z175" s="483">
        <f t="shared" si="114"/>
        <v>0</v>
      </c>
      <c r="AA175" s="182">
        <f t="shared" si="114"/>
        <v>0</v>
      </c>
      <c r="AB175" s="183">
        <f t="shared" si="114"/>
        <v>0</v>
      </c>
      <c r="AC175" s="184">
        <f t="shared" si="114"/>
        <v>0</v>
      </c>
      <c r="AD175" s="485">
        <f t="shared" si="114"/>
        <v>0</v>
      </c>
      <c r="AE175" s="183">
        <f t="shared" si="114"/>
        <v>0</v>
      </c>
      <c r="AF175" s="184">
        <f t="shared" si="114"/>
        <v>0</v>
      </c>
    </row>
    <row r="176" spans="6:33" ht="15.75" thickBot="1" x14ac:dyDescent="0.3">
      <c r="U176" s="185" t="s">
        <v>384</v>
      </c>
      <c r="X176" s="180">
        <f>X175*1.2</f>
        <v>0</v>
      </c>
      <c r="Y176" s="106">
        <f>Y175</f>
        <v>0</v>
      </c>
      <c r="Z176" s="484">
        <f>Z175*1.2</f>
        <v>0</v>
      </c>
      <c r="AA176" s="180">
        <f>AA175*1.22</f>
        <v>0</v>
      </c>
      <c r="AB176" s="106">
        <f t="shared" ref="AB176" si="115">AB175</f>
        <v>0</v>
      </c>
      <c r="AC176" s="107">
        <f t="shared" ref="AC176" si="116">AC175*1.22</f>
        <v>0</v>
      </c>
      <c r="AD176" s="486">
        <f>AD175*1.22</f>
        <v>0</v>
      </c>
      <c r="AE176" s="106">
        <f t="shared" ref="AE176" si="117">AE175</f>
        <v>0</v>
      </c>
      <c r="AF176" s="107">
        <f t="shared" ref="AF176" si="118">AF175*1.22</f>
        <v>0</v>
      </c>
    </row>
    <row r="177" spans="21:32" x14ac:dyDescent="0.25">
      <c r="X177" s="186"/>
      <c r="Y177" s="186"/>
      <c r="Z177" s="186"/>
      <c r="AA177" s="186"/>
      <c r="AB177" s="186"/>
      <c r="AC177" s="186"/>
      <c r="AD177" s="186"/>
      <c r="AE177" s="186"/>
      <c r="AF177" s="186"/>
    </row>
    <row r="178" spans="21:32" x14ac:dyDescent="0.25">
      <c r="X178" s="186"/>
      <c r="Y178" s="186"/>
      <c r="Z178" s="186"/>
      <c r="AA178" s="186"/>
      <c r="AB178" s="186"/>
      <c r="AC178" s="186"/>
      <c r="AD178" s="186"/>
      <c r="AE178" s="186"/>
      <c r="AF178" s="186"/>
    </row>
    <row r="179" spans="21:32" x14ac:dyDescent="0.25">
      <c r="X179" s="186"/>
      <c r="Y179" s="186"/>
      <c r="Z179" s="186"/>
      <c r="AA179" s="186"/>
      <c r="AB179" s="186"/>
      <c r="AC179" s="186"/>
      <c r="AD179" s="186"/>
      <c r="AE179" s="186"/>
      <c r="AF179" s="186"/>
    </row>
    <row r="180" spans="21:32" ht="15.75" thickBot="1" x14ac:dyDescent="0.3">
      <c r="U180" s="181" t="s">
        <v>191</v>
      </c>
    </row>
    <row r="181" spans="21:32" x14ac:dyDescent="0.25">
      <c r="U181" s="1" t="s">
        <v>7</v>
      </c>
      <c r="X181" s="618">
        <f t="shared" ref="X181:AF181" si="119">SUMIFS(X$35:X$147,$G$35:$G$147,$G$151,$P$35:$P$147,$P$153)</f>
        <v>0</v>
      </c>
      <c r="Y181" s="615">
        <f t="shared" si="119"/>
        <v>0</v>
      </c>
      <c r="Z181" s="619">
        <f t="shared" si="119"/>
        <v>0</v>
      </c>
      <c r="AA181" s="618">
        <f t="shared" si="119"/>
        <v>0</v>
      </c>
      <c r="AB181" s="615">
        <f t="shared" si="119"/>
        <v>155944</v>
      </c>
      <c r="AC181" s="616">
        <f t="shared" si="119"/>
        <v>37278</v>
      </c>
      <c r="AD181" s="617">
        <f t="shared" si="119"/>
        <v>0</v>
      </c>
      <c r="AE181" s="615">
        <f t="shared" si="119"/>
        <v>1621849</v>
      </c>
      <c r="AF181" s="616">
        <f t="shared" si="119"/>
        <v>243891</v>
      </c>
    </row>
    <row r="182" spans="21:32" ht="15.75" thickBot="1" x14ac:dyDescent="0.3">
      <c r="U182" s="185" t="s">
        <v>384</v>
      </c>
      <c r="X182" s="180">
        <f>X181*1.2</f>
        <v>0</v>
      </c>
      <c r="Y182" s="106">
        <f>Y181</f>
        <v>0</v>
      </c>
      <c r="Z182" s="484">
        <f>Z181*1.2</f>
        <v>0</v>
      </c>
      <c r="AA182" s="180">
        <f>AA181*1.22</f>
        <v>0</v>
      </c>
      <c r="AB182" s="106">
        <f>AB181</f>
        <v>155944</v>
      </c>
      <c r="AC182" s="107">
        <f t="shared" ref="AC182" si="120">AC181*1.22</f>
        <v>45479.159999999996</v>
      </c>
      <c r="AD182" s="486">
        <f>AD181*1.22</f>
        <v>0</v>
      </c>
      <c r="AE182" s="106">
        <f t="shared" ref="AE182" si="121">AE181</f>
        <v>1621849</v>
      </c>
      <c r="AF182" s="107">
        <f t="shared" ref="AF182" si="122">AF181*1.22</f>
        <v>297547.02</v>
      </c>
    </row>
    <row r="183" spans="21:32" ht="15.75" thickBot="1" x14ac:dyDescent="0.3">
      <c r="X183" s="186"/>
      <c r="Y183" s="186"/>
      <c r="Z183" s="186"/>
      <c r="AA183" s="186"/>
      <c r="AB183" s="186"/>
      <c r="AC183" s="186"/>
      <c r="AD183" s="186"/>
      <c r="AE183" s="186"/>
      <c r="AF183" s="186"/>
    </row>
    <row r="184" spans="21:32" x14ac:dyDescent="0.25">
      <c r="U184" s="1" t="s">
        <v>8</v>
      </c>
      <c r="X184" s="618">
        <f t="shared" ref="X184:Z184" si="123">SUMIFS(X$35:X$139,$G$35:$G$139,$G$152,$P$35:$P$139,$P$153)</f>
        <v>0</v>
      </c>
      <c r="Y184" s="615">
        <f t="shared" si="123"/>
        <v>0</v>
      </c>
      <c r="Z184" s="619">
        <f t="shared" si="123"/>
        <v>0</v>
      </c>
      <c r="AA184" s="618">
        <f t="shared" ref="AA184:AF184" si="124">SUMIFS(AA$35:AA$147,$G$35:$G$147,$G$152,$P$35:$P$147,$P$153)</f>
        <v>415480</v>
      </c>
      <c r="AB184" s="615">
        <f t="shared" si="124"/>
        <v>88104</v>
      </c>
      <c r="AC184" s="616">
        <f t="shared" si="124"/>
        <v>26905</v>
      </c>
      <c r="AD184" s="617">
        <f t="shared" si="124"/>
        <v>783904</v>
      </c>
      <c r="AE184" s="615">
        <f t="shared" si="124"/>
        <v>137605</v>
      </c>
      <c r="AF184" s="616">
        <f t="shared" si="124"/>
        <v>27510</v>
      </c>
    </row>
    <row r="185" spans="21:32" ht="15.75" thickBot="1" x14ac:dyDescent="0.3">
      <c r="U185" s="185" t="s">
        <v>384</v>
      </c>
      <c r="X185" s="180">
        <f>X184*1.2</f>
        <v>0</v>
      </c>
      <c r="Y185" s="106">
        <f>Y184</f>
        <v>0</v>
      </c>
      <c r="Z185" s="484">
        <f>Z184*1.2</f>
        <v>0</v>
      </c>
      <c r="AA185" s="180">
        <f>AA184*1.22</f>
        <v>506885.6</v>
      </c>
      <c r="AB185" s="106">
        <f t="shared" ref="AB185" si="125">AB184</f>
        <v>88104</v>
      </c>
      <c r="AC185" s="107">
        <f t="shared" ref="AC185" si="126">AC184*1.22</f>
        <v>32824.1</v>
      </c>
      <c r="AD185" s="486">
        <f>AD184*1.22</f>
        <v>956362.88</v>
      </c>
      <c r="AE185" s="106">
        <f t="shared" ref="AE185" si="127">AE184</f>
        <v>137605</v>
      </c>
      <c r="AF185" s="107">
        <f t="shared" ref="AF185" si="128">AF184*1.22</f>
        <v>33562.199999999997</v>
      </c>
    </row>
    <row r="186" spans="21:32" ht="15.75" thickBot="1" x14ac:dyDescent="0.3">
      <c r="X186" s="186"/>
      <c r="Y186" s="186"/>
      <c r="Z186" s="186"/>
      <c r="AA186" s="186"/>
      <c r="AB186" s="186"/>
      <c r="AC186" s="186"/>
      <c r="AD186" s="186"/>
      <c r="AE186" s="186"/>
      <c r="AF186" s="186"/>
    </row>
    <row r="187" spans="21:32" x14ac:dyDescent="0.25">
      <c r="U187" s="1" t="s">
        <v>391</v>
      </c>
      <c r="X187" s="618">
        <f t="shared" ref="X187:AF187" si="129">SUMIFS(X$35:X$139,$G$35:$G$139,$G$153,$P$35:$P$139,$P$153)</f>
        <v>0</v>
      </c>
      <c r="Y187" s="615">
        <f t="shared" si="129"/>
        <v>0</v>
      </c>
      <c r="Z187" s="619">
        <f t="shared" si="129"/>
        <v>0</v>
      </c>
      <c r="AA187" s="618">
        <f t="shared" si="129"/>
        <v>0</v>
      </c>
      <c r="AB187" s="615">
        <f t="shared" si="129"/>
        <v>0</v>
      </c>
      <c r="AC187" s="616">
        <f t="shared" si="129"/>
        <v>0</v>
      </c>
      <c r="AD187" s="617">
        <f t="shared" si="129"/>
        <v>0</v>
      </c>
      <c r="AE187" s="615">
        <f t="shared" si="129"/>
        <v>0</v>
      </c>
      <c r="AF187" s="616">
        <f t="shared" si="129"/>
        <v>0</v>
      </c>
    </row>
    <row r="188" spans="21:32" ht="15.75" thickBot="1" x14ac:dyDescent="0.3">
      <c r="U188" s="185" t="s">
        <v>384</v>
      </c>
      <c r="X188" s="180">
        <f>X187*1.2</f>
        <v>0</v>
      </c>
      <c r="Y188" s="106">
        <f>Y187</f>
        <v>0</v>
      </c>
      <c r="Z188" s="484">
        <f>Z187*1.2</f>
        <v>0</v>
      </c>
      <c r="AA188" s="180">
        <f>AA187*1.22</f>
        <v>0</v>
      </c>
      <c r="AB188" s="106">
        <f t="shared" ref="AB188" si="130">AB187</f>
        <v>0</v>
      </c>
      <c r="AC188" s="107">
        <f t="shared" ref="AC188" si="131">AC187*1.22</f>
        <v>0</v>
      </c>
      <c r="AD188" s="486">
        <f>AD187*1.22</f>
        <v>0</v>
      </c>
      <c r="AE188" s="106">
        <f t="shared" ref="AE188" si="132">AE187</f>
        <v>0</v>
      </c>
      <c r="AF188" s="107">
        <f t="shared" ref="AF188" si="133">AF187*1.22</f>
        <v>0</v>
      </c>
    </row>
    <row r="189" spans="21:32" ht="15.75" thickBot="1" x14ac:dyDescent="0.3">
      <c r="X189" s="186"/>
      <c r="Y189" s="186"/>
      <c r="Z189" s="186"/>
      <c r="AA189" s="186"/>
      <c r="AB189" s="186"/>
      <c r="AC189" s="186"/>
      <c r="AD189" s="186"/>
      <c r="AE189" s="186"/>
      <c r="AF189" s="186"/>
    </row>
    <row r="190" spans="21:32" x14ac:dyDescent="0.25">
      <c r="U190" s="1" t="s">
        <v>10</v>
      </c>
      <c r="X190" s="618">
        <f t="shared" ref="X190:AE190" si="134">SUMIFS(X$35:X$139,$G$35:$G$139,$G$154,$P$35:$P$139,$P$153)</f>
        <v>0</v>
      </c>
      <c r="Y190" s="615">
        <f t="shared" si="134"/>
        <v>0</v>
      </c>
      <c r="Z190" s="619">
        <f t="shared" si="134"/>
        <v>0</v>
      </c>
      <c r="AA190" s="618">
        <f t="shared" si="134"/>
        <v>0</v>
      </c>
      <c r="AB190" s="615">
        <f t="shared" si="134"/>
        <v>0</v>
      </c>
      <c r="AC190" s="616">
        <f t="shared" si="134"/>
        <v>0</v>
      </c>
      <c r="AD190" s="617">
        <f>SUMIFS(AD$35:AD$147,$G$35:$G$147,$G$154,$P$35:$P$147,$P$153)</f>
        <v>0</v>
      </c>
      <c r="AE190" s="615">
        <f t="shared" si="134"/>
        <v>0</v>
      </c>
      <c r="AF190" s="616">
        <f>SUMIFS(AF$35:AF$147,$G$35:$G$147,$G$154,$P$35:$P$147,$P$153)</f>
        <v>232447</v>
      </c>
    </row>
    <row r="191" spans="21:32" ht="15.75" thickBot="1" x14ac:dyDescent="0.3">
      <c r="U191" s="185" t="s">
        <v>384</v>
      </c>
      <c r="X191" s="180">
        <f>X190*1.2</f>
        <v>0</v>
      </c>
      <c r="Y191" s="106">
        <f>Y190</f>
        <v>0</v>
      </c>
      <c r="Z191" s="484">
        <f>Z190*1.2</f>
        <v>0</v>
      </c>
      <c r="AA191" s="180">
        <f>AA190*1.22</f>
        <v>0</v>
      </c>
      <c r="AB191" s="106">
        <f t="shared" ref="AB191" si="135">AB190</f>
        <v>0</v>
      </c>
      <c r="AC191" s="107">
        <f t="shared" ref="AC191" si="136">AC190*1.22</f>
        <v>0</v>
      </c>
      <c r="AD191" s="486">
        <f>AD190*1.22</f>
        <v>0</v>
      </c>
      <c r="AE191" s="106">
        <f t="shared" ref="AE191" si="137">AE190</f>
        <v>0</v>
      </c>
      <c r="AF191" s="107">
        <f t="shared" ref="AF191" si="138">AF190*1.22</f>
        <v>283585.33999999997</v>
      </c>
    </row>
    <row r="192" spans="21:32" x14ac:dyDescent="0.25">
      <c r="AB192" s="186">
        <f>AB181+AC181+AA184+AB184+AC184</f>
        <v>723711</v>
      </c>
      <c r="AE192" s="186">
        <f>AD181+AE181+AF181+AD184+AE184+AF184+AD187+AE187+AF187+AD190+AE190+AF190</f>
        <v>3047206</v>
      </c>
    </row>
    <row r="193" spans="28:28" x14ac:dyDescent="0.25">
      <c r="AB193" s="186">
        <f>AB182+AC182+AA185+AB185+AC185</f>
        <v>829236.86</v>
      </c>
    </row>
  </sheetData>
  <sheetProtection algorithmName="SHA-512" hashValue="iYPKGr1BAvX2FO3MDOF6ee39PmSJ1AhWxrqv5WjV4fUTrvnCtNe+23uj5epP7MqNxnFLdSPqG0FVmIu6U7MgWg==" saltValue="WuVhrQQv5dsJJpMW5jiPQQ==" spinCount="100000" sheet="1" selectLockedCells="1" sort="0" selectUnlockedCells="1"/>
  <autoFilter ref="A33:AR149" xr:uid="{26F4B7B0-4764-496D-9313-E7C884B0D6FB}">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autoFilter>
  <mergeCells count="22">
    <mergeCell ref="B2:E2"/>
    <mergeCell ref="G2:K2"/>
    <mergeCell ref="R34:W34"/>
    <mergeCell ref="K26:R26"/>
    <mergeCell ref="K19:R19"/>
    <mergeCell ref="K22:R22"/>
    <mergeCell ref="K25:R25"/>
    <mergeCell ref="K28:R28"/>
    <mergeCell ref="AM33:AO33"/>
    <mergeCell ref="X33:Z33"/>
    <mergeCell ref="AA33:AC33"/>
    <mergeCell ref="AD33:AF33"/>
    <mergeCell ref="AG33:AI33"/>
    <mergeCell ref="AJ33:AL33"/>
    <mergeCell ref="X32:AO32"/>
    <mergeCell ref="B17:I17"/>
    <mergeCell ref="B20:I20"/>
    <mergeCell ref="B26:I26"/>
    <mergeCell ref="B23:I23"/>
    <mergeCell ref="K20:R20"/>
    <mergeCell ref="K23:R23"/>
    <mergeCell ref="K17:R17"/>
  </mergeCells>
  <phoneticPr fontId="7" type="noConversion"/>
  <dataValidations count="9">
    <dataValidation type="list" allowBlank="1" showInputMessage="1" showErrorMessage="1" sqref="P172:P204 N171 O170 P31:P32" xr:uid="{258C40CF-7ED3-46AD-9DBE-9E35B6A83AF2}">
      <formula1>$R$19:$R$22</formula1>
    </dataValidation>
    <dataValidation type="list" allowBlank="1" showInputMessage="1" showErrorMessage="1" sqref="F171:F205 F31:F32" xr:uid="{6788E54C-2BD5-4096-85C2-888BADA7E1F2}">
      <formula1>$H$3:$K$3</formula1>
    </dataValidation>
    <dataValidation type="whole" allowBlank="1" showInputMessage="1" showErrorMessage="1" sqref="B19:I19" xr:uid="{BAA790B2-6BD4-4790-8148-61FF4AD6D1D3}">
      <formula1>0</formula1>
      <formula2>10000000</formula2>
    </dataValidation>
    <dataValidation type="whole" allowBlank="1" showInputMessage="1" showErrorMessage="1" sqref="B22:I22 B25:I25 C28:I28" xr:uid="{0E4C4795-2F7F-4DAE-BFF4-DE195B193D65}">
      <formula1>0</formula1>
      <formula2>100</formula2>
    </dataValidation>
    <dataValidation type="list" allowBlank="1" showInputMessage="1" showErrorMessage="1" sqref="P119:P148 P35:P116" xr:uid="{D3E718C6-7AB1-4871-9C15-0A5014791696}">
      <formula1>$P$151:$P$157</formula1>
    </dataValidation>
    <dataValidation type="list" allowBlank="1" showInputMessage="1" showErrorMessage="1" sqref="E119:E148 E35:E116" xr:uid="{4537B685-D58B-48A6-A09A-6E7B0652C7B9}">
      <formula1>$E$151:$E$153</formula1>
    </dataValidation>
    <dataValidation type="list" allowBlank="1" showInputMessage="1" showErrorMessage="1" sqref="F119:F148 F35:F116" xr:uid="{EA197172-5E41-4726-AB9F-2F1BADFCFFAC}">
      <formula1>$F$151:$F$169</formula1>
    </dataValidation>
    <dataValidation type="list" allowBlank="1" showInputMessage="1" showErrorMessage="1" sqref="G119:G148 G35:G116" xr:uid="{58A20634-86BF-47AA-9970-DA930862660F}">
      <formula1>$G$151:$G$154</formula1>
    </dataValidation>
    <dataValidation type="list" allowBlank="1" showInputMessage="1" showErrorMessage="1" sqref="AQ119:AQ148 AQ35:AQ116" xr:uid="{63C0EE7F-3A35-4E09-8468-E4CA0CE5603D}">
      <formula1>$AQ$151:$AQ$155</formula1>
    </dataValidation>
  </dataValidations>
  <pageMargins left="0.7" right="0.7" top="0.75" bottom="0.75" header="0.3" footer="0.3"/>
  <pageSetup paperSize="9" orientation="portrait" r:id="rId1"/>
  <ignoredErrors>
    <ignoredError sqref="R49"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1F729-9D90-42B6-8314-2527032805E7}">
  <dimension ref="A1:AV119"/>
  <sheetViews>
    <sheetView topLeftCell="A2" zoomScale="80" zoomScaleNormal="80" workbookViewId="0">
      <selection activeCell="H19" sqref="H19"/>
    </sheetView>
  </sheetViews>
  <sheetFormatPr defaultRowHeight="15" customHeight="1" x14ac:dyDescent="0.25"/>
  <cols>
    <col min="1" max="1" width="21.42578125" customWidth="1"/>
    <col min="2" max="2" width="15" customWidth="1"/>
    <col min="3" max="3" width="13.5703125" customWidth="1"/>
    <col min="4" max="4" width="14.28515625" customWidth="1"/>
    <col min="5" max="5" width="16.5703125" customWidth="1"/>
    <col min="6" max="6" width="18.5703125" customWidth="1"/>
    <col min="7" max="7" width="14.28515625" customWidth="1"/>
    <col min="8" max="8" width="11.5703125" customWidth="1"/>
    <col min="9" max="9" width="20.42578125" customWidth="1"/>
    <col min="10" max="10" width="25.42578125" style="3" customWidth="1"/>
    <col min="11" max="11" width="42" customWidth="1"/>
    <col min="12" max="12" width="12" hidden="1" customWidth="1"/>
    <col min="13" max="13" width="14.42578125" hidden="1" customWidth="1"/>
    <col min="14" max="14" width="12.42578125" customWidth="1"/>
    <col min="16" max="16" width="14.7109375" bestFit="1" customWidth="1"/>
    <col min="17" max="17" width="9.28515625" customWidth="1"/>
    <col min="18" max="21" width="13.28515625" customWidth="1"/>
    <col min="22" max="24" width="9.28515625" customWidth="1"/>
    <col min="25" max="25" width="11" bestFit="1" customWidth="1"/>
    <col min="26" max="36" width="10.28515625" customWidth="1"/>
    <col min="37" max="37" width="40.42578125" customWidth="1"/>
    <col min="38" max="38" width="37" customWidth="1"/>
    <col min="39" max="39" width="60.5703125" customWidth="1"/>
    <col min="40" max="40" width="9.28515625" customWidth="1"/>
    <col min="41" max="42" width="10.28515625" bestFit="1" customWidth="1"/>
    <col min="43" max="43" width="10.5703125" customWidth="1"/>
    <col min="44" max="44" width="73.5703125" customWidth="1"/>
  </cols>
  <sheetData>
    <row r="1" spans="1:11" x14ac:dyDescent="0.25">
      <c r="A1" s="5" t="s">
        <v>402</v>
      </c>
      <c r="B1" s="134"/>
      <c r="C1" s="135"/>
      <c r="D1" s="135"/>
      <c r="E1" s="8"/>
      <c r="F1" s="268"/>
      <c r="G1" s="268"/>
      <c r="H1" s="268"/>
      <c r="I1" s="8"/>
    </row>
    <row r="2" spans="1:11" ht="30.75" customHeight="1" x14ac:dyDescent="0.25">
      <c r="A2" s="7" t="s">
        <v>1</v>
      </c>
      <c r="B2" s="709" t="s">
        <v>2</v>
      </c>
      <c r="C2" s="709"/>
      <c r="D2" s="709"/>
      <c r="E2" s="8"/>
      <c r="F2" s="8"/>
      <c r="G2" s="8"/>
      <c r="H2" s="8"/>
      <c r="I2" s="8"/>
      <c r="J2" s="4"/>
    </row>
    <row r="3" spans="1:11" x14ac:dyDescent="0.25">
      <c r="A3" s="11" t="s">
        <v>4</v>
      </c>
      <c r="B3" s="12" t="s">
        <v>403</v>
      </c>
      <c r="C3" s="13">
        <v>2023</v>
      </c>
      <c r="D3" s="13">
        <v>2024</v>
      </c>
      <c r="E3" s="8"/>
      <c r="F3" s="8"/>
      <c r="G3" s="8"/>
      <c r="H3" s="8"/>
      <c r="I3" s="8"/>
      <c r="J3" s="4"/>
      <c r="K3" s="3"/>
    </row>
    <row r="4" spans="1:11" x14ac:dyDescent="0.25">
      <c r="A4" s="5" t="s">
        <v>11</v>
      </c>
      <c r="B4" s="9">
        <f>SUM(C4:D4)</f>
        <v>0</v>
      </c>
      <c r="C4" s="9">
        <f>SUM(C5+C12)</f>
        <v>0</v>
      </c>
      <c r="D4" s="9">
        <f>SUM(D5+D12)</f>
        <v>0</v>
      </c>
      <c r="E4" s="8"/>
      <c r="F4" s="8"/>
      <c r="G4" s="8"/>
      <c r="H4" s="8"/>
      <c r="I4" s="8"/>
      <c r="J4" s="4"/>
      <c r="K4" s="4"/>
    </row>
    <row r="5" spans="1:11" ht="15.75" x14ac:dyDescent="0.25">
      <c r="A5" s="5" t="s">
        <v>12</v>
      </c>
      <c r="B5" s="9">
        <f>SUM(C5:D5)</f>
        <v>0</v>
      </c>
      <c r="C5" s="9">
        <f>SUM(C6:C11)</f>
        <v>0</v>
      </c>
      <c r="D5" s="9">
        <f>SUM(D6:D11)</f>
        <v>0</v>
      </c>
      <c r="E5" s="16"/>
      <c r="F5" s="8"/>
      <c r="G5" s="8"/>
      <c r="H5" s="8"/>
      <c r="I5" s="8"/>
      <c r="J5" s="4"/>
    </row>
    <row r="6" spans="1:11" x14ac:dyDescent="0.25">
      <c r="A6" s="29" t="s">
        <v>13</v>
      </c>
      <c r="B6" s="17">
        <f t="shared" ref="B6:B14" si="0">SUM(C6:D6)</f>
        <v>0</v>
      </c>
      <c r="C6" s="18">
        <f>SUMIFS(Q35:Q96,O35:O96,"Baaseelarve")</f>
        <v>0</v>
      </c>
      <c r="D6" s="18">
        <f>SUMIFS(R35:R96,O35:O96,"Baaseelarve")</f>
        <v>0</v>
      </c>
      <c r="E6" s="10"/>
      <c r="F6" s="8"/>
      <c r="G6" s="8"/>
      <c r="H6" s="8"/>
      <c r="I6" s="8"/>
      <c r="J6" s="4"/>
    </row>
    <row r="7" spans="1:11" x14ac:dyDescent="0.25">
      <c r="A7" s="29" t="s">
        <v>14</v>
      </c>
      <c r="B7" s="17">
        <f t="shared" si="0"/>
        <v>0</v>
      </c>
      <c r="C7" s="18">
        <f>SUMIFS(Q35:Q96,O35:O96,"Muu rahastus")</f>
        <v>0</v>
      </c>
      <c r="D7" s="18">
        <f>SUMIFS(R35:R96,O35:O96,"Muu rahastus")</f>
        <v>0</v>
      </c>
      <c r="E7" s="10"/>
      <c r="F7" s="8"/>
      <c r="G7" s="8"/>
      <c r="H7" s="8"/>
      <c r="I7" s="8"/>
      <c r="J7" s="4"/>
    </row>
    <row r="8" spans="1:11" x14ac:dyDescent="0.25">
      <c r="A8" s="29" t="s">
        <v>15</v>
      </c>
      <c r="B8" s="17">
        <f t="shared" si="0"/>
        <v>0</v>
      </c>
      <c r="C8" s="18">
        <f>SUMIFS(Q35:Q96,O35:O96,"Reserv (SR)")</f>
        <v>0</v>
      </c>
      <c r="D8" s="18">
        <f>SUMIFS(R35:R96,O35:O96,"Reserv (SR)")</f>
        <v>0</v>
      </c>
      <c r="E8" s="10"/>
      <c r="F8" s="8"/>
      <c r="G8" s="8"/>
      <c r="H8" s="8"/>
      <c r="I8" s="8"/>
      <c r="J8" s="4"/>
    </row>
    <row r="9" spans="1:11" hidden="1" x14ac:dyDescent="0.25">
      <c r="A9" s="29" t="s">
        <v>16</v>
      </c>
      <c r="B9" s="17">
        <f t="shared" si="0"/>
        <v>0</v>
      </c>
      <c r="C9" s="18">
        <f>SUMIFS(Q35:Q96,O35:O96,"RRF")</f>
        <v>0</v>
      </c>
      <c r="D9" s="18">
        <f>SUMIFS(R35:R96,O35:O96,"RRF")</f>
        <v>0</v>
      </c>
      <c r="E9" s="10"/>
      <c r="F9" s="8"/>
      <c r="G9" s="8"/>
      <c r="H9" s="8"/>
      <c r="I9" s="8"/>
      <c r="J9" s="4"/>
    </row>
    <row r="10" spans="1:11" x14ac:dyDescent="0.25">
      <c r="A10" s="29" t="s">
        <v>17</v>
      </c>
      <c r="B10" s="17">
        <f t="shared" si="0"/>
        <v>0</v>
      </c>
      <c r="C10" s="18">
        <f>SUMIFS(Q35:Q96,O35:O96,"SF 14-20 (töös olev projekt)")</f>
        <v>0</v>
      </c>
      <c r="D10" s="18">
        <f>SUMIFS(R35:R96,O35:O96,"SF 14-20 (töös olev projekt)")</f>
        <v>0</v>
      </c>
      <c r="E10" s="10"/>
      <c r="F10" s="8"/>
      <c r="G10" s="8"/>
      <c r="H10" s="8"/>
      <c r="I10" s="8"/>
      <c r="J10" s="4"/>
    </row>
    <row r="11" spans="1:11" x14ac:dyDescent="0.25">
      <c r="A11" s="29" t="s">
        <v>18</v>
      </c>
      <c r="B11" s="17">
        <f>SUM(C11:D11)</f>
        <v>0</v>
      </c>
      <c r="C11" s="18"/>
      <c r="D11" s="18"/>
      <c r="E11" s="10"/>
      <c r="F11" s="8"/>
      <c r="G11" s="8"/>
      <c r="H11" s="8"/>
      <c r="I11" s="8"/>
      <c r="J11" s="4"/>
    </row>
    <row r="12" spans="1:11" x14ac:dyDescent="0.25">
      <c r="A12" s="5" t="s">
        <v>19</v>
      </c>
      <c r="B12" s="9">
        <f t="shared" si="0"/>
        <v>0</v>
      </c>
      <c r="C12" s="9">
        <f>SUM(C13:C14)</f>
        <v>0</v>
      </c>
      <c r="D12" s="9">
        <f>SUM(D13:D14)</f>
        <v>0</v>
      </c>
      <c r="E12" s="10"/>
      <c r="F12" s="8"/>
      <c r="G12" s="8"/>
      <c r="H12" s="8"/>
      <c r="I12" s="8"/>
      <c r="J12" s="4"/>
    </row>
    <row r="13" spans="1:11" x14ac:dyDescent="0.25">
      <c r="A13" s="29" t="s">
        <v>20</v>
      </c>
      <c r="B13" s="17">
        <f t="shared" si="0"/>
        <v>0</v>
      </c>
      <c r="C13" s="18">
        <f>SUMIFS(Q35:Q97,O35:O97,"RES IKT (vaja juurde taotleda)")</f>
        <v>0</v>
      </c>
      <c r="D13" s="18">
        <f>SUMIFS(R35:R97,O35:O97,"RES IKT (vaja juurde taotleda)")</f>
        <v>0</v>
      </c>
      <c r="E13" s="10" t="s">
        <v>404</v>
      </c>
      <c r="F13" s="8"/>
      <c r="G13" s="8"/>
      <c r="H13" s="8"/>
      <c r="I13" s="8"/>
      <c r="J13" s="4"/>
    </row>
    <row r="14" spans="1:11" x14ac:dyDescent="0.25">
      <c r="A14" s="29" t="s">
        <v>22</v>
      </c>
      <c r="B14" s="17">
        <f t="shared" si="0"/>
        <v>0</v>
      </c>
      <c r="C14" s="18">
        <f>SUMIFS(Q35:Q96,O35:O96,"SF 21-27 (taotletav raha)")</f>
        <v>0</v>
      </c>
      <c r="D14" s="18">
        <f>SUMIFS(R35:R96,O35:O96,"SF 21-27 (taotletav raha)")</f>
        <v>0</v>
      </c>
      <c r="E14" s="10"/>
      <c r="F14" s="8"/>
      <c r="G14" s="8"/>
      <c r="H14" s="8"/>
      <c r="I14" s="8"/>
      <c r="J14" s="4"/>
    </row>
    <row r="15" spans="1:11" x14ac:dyDescent="0.25">
      <c r="A15" s="6"/>
      <c r="B15" s="6"/>
      <c r="C15" s="6"/>
      <c r="D15" s="6"/>
      <c r="E15" s="6"/>
      <c r="F15" s="6"/>
      <c r="G15" s="6"/>
      <c r="H15" s="6"/>
      <c r="I15" s="6"/>
    </row>
    <row r="16" spans="1:11" x14ac:dyDescent="0.25">
      <c r="A16" s="10" t="s">
        <v>24</v>
      </c>
      <c r="B16" s="6"/>
      <c r="C16" s="6"/>
      <c r="D16" s="6"/>
      <c r="E16" s="6"/>
      <c r="F16" s="6"/>
      <c r="G16" s="6"/>
      <c r="H16" s="6"/>
      <c r="I16" s="6"/>
    </row>
    <row r="17" spans="1:44" ht="29.1" customHeight="1" x14ac:dyDescent="0.25">
      <c r="A17" s="51" t="s">
        <v>25</v>
      </c>
      <c r="B17" s="676" t="s">
        <v>26</v>
      </c>
      <c r="C17" s="676"/>
      <c r="D17" s="676"/>
      <c r="E17" s="676"/>
      <c r="F17" s="676"/>
      <c r="G17" s="676"/>
      <c r="H17" s="676"/>
      <c r="I17" s="676"/>
      <c r="J17" s="269" t="s">
        <v>27</v>
      </c>
      <c r="K17" s="707" t="s">
        <v>28</v>
      </c>
      <c r="L17" s="681"/>
      <c r="M17" s="681"/>
      <c r="N17" s="681"/>
      <c r="O17" s="681"/>
      <c r="P17" s="681"/>
      <c r="Q17" s="708"/>
    </row>
    <row r="18" spans="1:44" ht="30" x14ac:dyDescent="0.25">
      <c r="A18" s="52" t="s">
        <v>405</v>
      </c>
      <c r="B18" s="98" t="s">
        <v>30</v>
      </c>
      <c r="C18" s="99" t="s">
        <v>31</v>
      </c>
      <c r="D18" s="99" t="s">
        <v>32</v>
      </c>
      <c r="E18" s="99" t="s">
        <v>33</v>
      </c>
      <c r="F18" s="99" t="s">
        <v>34</v>
      </c>
      <c r="G18" s="99" t="s">
        <v>35</v>
      </c>
      <c r="H18" s="99" t="s">
        <v>36</v>
      </c>
      <c r="I18" s="170" t="s">
        <v>37</v>
      </c>
      <c r="J18" s="270"/>
      <c r="K18" s="272"/>
      <c r="Q18" s="64"/>
    </row>
    <row r="19" spans="1:44" x14ac:dyDescent="0.25">
      <c r="A19" s="460" t="s">
        <v>406</v>
      </c>
      <c r="B19" s="463">
        <v>0</v>
      </c>
      <c r="C19" s="464"/>
      <c r="D19" s="464"/>
      <c r="E19" s="464"/>
      <c r="F19" s="464"/>
      <c r="G19" s="464"/>
      <c r="H19" s="464"/>
      <c r="I19" s="465">
        <v>2744036</v>
      </c>
      <c r="J19" s="271"/>
      <c r="K19" s="703" t="s">
        <v>39</v>
      </c>
      <c r="L19" s="695"/>
      <c r="M19" s="695"/>
      <c r="N19" s="695"/>
      <c r="O19" s="695"/>
      <c r="P19" s="695"/>
      <c r="Q19" s="704"/>
    </row>
    <row r="20" spans="1:44" ht="29.1" customHeight="1" x14ac:dyDescent="0.25">
      <c r="A20" s="454" t="s">
        <v>40</v>
      </c>
      <c r="B20" s="705" t="s">
        <v>41</v>
      </c>
      <c r="C20" s="705"/>
      <c r="D20" s="705"/>
      <c r="E20" s="705"/>
      <c r="F20" s="705"/>
      <c r="G20" s="705"/>
      <c r="H20" s="705"/>
      <c r="I20" s="706"/>
      <c r="J20" s="457"/>
      <c r="K20" s="707" t="s">
        <v>42</v>
      </c>
      <c r="L20" s="681"/>
      <c r="M20" s="681"/>
      <c r="N20" s="681"/>
      <c r="O20" s="681"/>
      <c r="P20" s="681"/>
      <c r="Q20" s="708"/>
    </row>
    <row r="21" spans="1:44" ht="30" x14ac:dyDescent="0.25">
      <c r="A21" s="455" t="s">
        <v>405</v>
      </c>
      <c r="B21" s="98" t="s">
        <v>30</v>
      </c>
      <c r="C21" s="99" t="s">
        <v>31</v>
      </c>
      <c r="D21" s="99" t="s">
        <v>32</v>
      </c>
      <c r="E21" s="99" t="s">
        <v>33</v>
      </c>
      <c r="F21" s="99" t="s">
        <v>34</v>
      </c>
      <c r="G21" s="99" t="s">
        <v>35</v>
      </c>
      <c r="H21" s="99" t="s">
        <v>36</v>
      </c>
      <c r="I21" s="462" t="s">
        <v>37</v>
      </c>
      <c r="J21" s="458"/>
      <c r="K21" s="272"/>
      <c r="Q21" s="64"/>
    </row>
    <row r="22" spans="1:44" x14ac:dyDescent="0.25">
      <c r="A22" s="461" t="s">
        <v>406</v>
      </c>
      <c r="B22" s="463">
        <v>0</v>
      </c>
      <c r="C22" s="464"/>
      <c r="D22" s="464"/>
      <c r="E22" s="464"/>
      <c r="F22" s="464"/>
      <c r="G22" s="464"/>
      <c r="H22" s="464"/>
      <c r="I22" s="466">
        <v>13</v>
      </c>
      <c r="J22" s="459"/>
      <c r="K22" s="703" t="s">
        <v>43</v>
      </c>
      <c r="L22" s="695"/>
      <c r="M22" s="695"/>
      <c r="N22" s="695"/>
      <c r="O22" s="695"/>
      <c r="P22" s="695"/>
      <c r="Q22" s="704"/>
    </row>
    <row r="23" spans="1:44" ht="29.1" customHeight="1" x14ac:dyDescent="0.25">
      <c r="A23" s="454" t="s">
        <v>40</v>
      </c>
      <c r="B23" s="705" t="s">
        <v>44</v>
      </c>
      <c r="C23" s="705"/>
      <c r="D23" s="705"/>
      <c r="E23" s="705"/>
      <c r="F23" s="705"/>
      <c r="G23" s="705"/>
      <c r="H23" s="705"/>
      <c r="I23" s="706"/>
      <c r="J23" s="457"/>
      <c r="K23" s="707" t="s">
        <v>45</v>
      </c>
      <c r="L23" s="681"/>
      <c r="M23" s="681"/>
      <c r="N23" s="681"/>
      <c r="O23" s="681"/>
      <c r="P23" s="681"/>
      <c r="Q23" s="708"/>
    </row>
    <row r="24" spans="1:44" ht="30" x14ac:dyDescent="0.25">
      <c r="A24" s="455" t="s">
        <v>405</v>
      </c>
      <c r="B24" s="98" t="s">
        <v>30</v>
      </c>
      <c r="C24" s="99" t="s">
        <v>31</v>
      </c>
      <c r="D24" s="99" t="s">
        <v>32</v>
      </c>
      <c r="E24" s="99" t="s">
        <v>33</v>
      </c>
      <c r="F24" s="99" t="s">
        <v>34</v>
      </c>
      <c r="G24" s="99" t="s">
        <v>35</v>
      </c>
      <c r="H24" s="99" t="s">
        <v>36</v>
      </c>
      <c r="I24" s="462" t="s">
        <v>37</v>
      </c>
      <c r="J24" s="458"/>
      <c r="K24" s="272"/>
      <c r="Q24" s="64"/>
    </row>
    <row r="25" spans="1:44" x14ac:dyDescent="0.25">
      <c r="A25" s="461" t="s">
        <v>406</v>
      </c>
      <c r="B25" s="463">
        <v>0</v>
      </c>
      <c r="C25" s="464"/>
      <c r="D25" s="464"/>
      <c r="E25" s="464"/>
      <c r="F25" s="464"/>
      <c r="G25" s="464"/>
      <c r="H25" s="464"/>
      <c r="I25" s="466">
        <v>8</v>
      </c>
      <c r="J25" s="459"/>
      <c r="K25" s="703" t="s">
        <v>46</v>
      </c>
      <c r="L25" s="695"/>
      <c r="M25" s="695"/>
      <c r="N25" s="695"/>
      <c r="O25" s="695"/>
      <c r="P25" s="695"/>
      <c r="Q25" s="704"/>
    </row>
    <row r="26" spans="1:44" ht="75" x14ac:dyDescent="0.25">
      <c r="A26" s="454" t="s">
        <v>47</v>
      </c>
      <c r="B26" s="705" t="s">
        <v>48</v>
      </c>
      <c r="C26" s="705"/>
      <c r="D26" s="705"/>
      <c r="E26" s="705"/>
      <c r="F26" s="705"/>
      <c r="G26" s="705"/>
      <c r="H26" s="705"/>
      <c r="I26" s="706"/>
      <c r="J26" s="457"/>
      <c r="K26" s="707" t="s">
        <v>49</v>
      </c>
      <c r="L26" s="681"/>
      <c r="M26" s="681"/>
      <c r="N26" s="681"/>
      <c r="O26" s="681"/>
      <c r="P26" s="681"/>
      <c r="Q26" s="708"/>
    </row>
    <row r="27" spans="1:44" ht="29.25" customHeight="1" x14ac:dyDescent="0.25">
      <c r="A27" s="455" t="s">
        <v>405</v>
      </c>
      <c r="B27" s="98" t="s">
        <v>30</v>
      </c>
      <c r="C27" s="99" t="s">
        <v>31</v>
      </c>
      <c r="D27" s="99" t="s">
        <v>32</v>
      </c>
      <c r="E27" s="99" t="s">
        <v>33</v>
      </c>
      <c r="F27" s="99" t="s">
        <v>34</v>
      </c>
      <c r="G27" s="99" t="s">
        <v>35</v>
      </c>
      <c r="H27" s="99" t="s">
        <v>36</v>
      </c>
      <c r="I27" s="462" t="s">
        <v>37</v>
      </c>
      <c r="J27" s="458"/>
      <c r="K27" s="272"/>
      <c r="Q27" s="64"/>
    </row>
    <row r="28" spans="1:44" x14ac:dyDescent="0.25">
      <c r="A28" s="456" t="s">
        <v>407</v>
      </c>
      <c r="B28" s="467">
        <v>0</v>
      </c>
      <c r="C28" s="468"/>
      <c r="D28" s="468"/>
      <c r="E28" s="468"/>
      <c r="F28" s="468"/>
      <c r="G28" s="468"/>
      <c r="H28" s="468"/>
      <c r="I28" s="469">
        <v>90</v>
      </c>
      <c r="J28" s="459"/>
      <c r="K28" s="703" t="s">
        <v>50</v>
      </c>
      <c r="L28" s="695"/>
      <c r="M28" s="695"/>
      <c r="N28" s="695"/>
      <c r="O28" s="695"/>
      <c r="P28" s="695"/>
      <c r="Q28" s="704"/>
    </row>
    <row r="29" spans="1:44" x14ac:dyDescent="0.25">
      <c r="A29" s="3"/>
      <c r="B29" s="3"/>
      <c r="C29" s="1"/>
      <c r="D29" s="1"/>
      <c r="E29" s="1"/>
      <c r="F29" s="1"/>
      <c r="G29" s="1"/>
      <c r="H29" s="1"/>
      <c r="I29" s="1"/>
    </row>
    <row r="31" spans="1:44" x14ac:dyDescent="0.25">
      <c r="C31" s="2"/>
      <c r="D31" s="2"/>
    </row>
    <row r="32" spans="1:44" ht="15.75" thickBot="1" x14ac:dyDescent="0.3">
      <c r="A32" s="1"/>
      <c r="B32" s="1"/>
      <c r="C32" s="70"/>
      <c r="D32" s="70"/>
      <c r="E32" s="1"/>
      <c r="F32" s="1"/>
      <c r="G32" s="1"/>
      <c r="H32" s="1"/>
      <c r="I32" s="1"/>
      <c r="K32" s="1"/>
      <c r="L32" s="1"/>
      <c r="M32" s="1"/>
      <c r="N32" s="1"/>
      <c r="O32" s="1"/>
      <c r="P32" s="1"/>
      <c r="Q32" s="1"/>
      <c r="R32" s="1"/>
      <c r="S32" s="1"/>
      <c r="T32" s="1"/>
      <c r="U32" s="1"/>
      <c r="V32" s="710" t="s">
        <v>51</v>
      </c>
      <c r="W32" s="710"/>
      <c r="X32" s="710"/>
      <c r="Y32" s="711"/>
      <c r="Z32" s="711"/>
      <c r="AA32" s="711"/>
      <c r="AB32" s="711"/>
      <c r="AC32" s="711"/>
      <c r="AD32" s="711"/>
      <c r="AE32" s="711"/>
      <c r="AF32" s="711"/>
      <c r="AG32" s="711"/>
      <c r="AH32" s="711"/>
      <c r="AI32" s="711"/>
      <c r="AJ32" s="712"/>
      <c r="AK32" s="1"/>
      <c r="AL32" s="1"/>
      <c r="AM32" s="1"/>
      <c r="AN32" s="1"/>
      <c r="AO32" s="698" t="s">
        <v>51</v>
      </c>
      <c r="AP32" s="699"/>
      <c r="AQ32" s="700"/>
      <c r="AR32" s="1"/>
    </row>
    <row r="33" spans="1:48" ht="45.75" thickBot="1" x14ac:dyDescent="0.3">
      <c r="A33" s="23" t="s">
        <v>52</v>
      </c>
      <c r="B33" s="236" t="s">
        <v>53</v>
      </c>
      <c r="C33" s="236" t="s">
        <v>54</v>
      </c>
      <c r="D33" s="236" t="s">
        <v>55</v>
      </c>
      <c r="E33" s="236" t="s">
        <v>56</v>
      </c>
      <c r="F33" s="236" t="s">
        <v>408</v>
      </c>
      <c r="G33" s="236" t="s">
        <v>409</v>
      </c>
      <c r="H33" s="236" t="s">
        <v>59</v>
      </c>
      <c r="I33" s="236" t="s">
        <v>60</v>
      </c>
      <c r="J33" s="236" t="s">
        <v>410</v>
      </c>
      <c r="K33" s="237" t="s">
        <v>62</v>
      </c>
      <c r="L33" s="238" t="s">
        <v>63</v>
      </c>
      <c r="M33" s="236" t="s">
        <v>65</v>
      </c>
      <c r="N33" s="236" t="s">
        <v>66</v>
      </c>
      <c r="O33" s="236" t="s">
        <v>67</v>
      </c>
      <c r="P33" s="247" t="s">
        <v>68</v>
      </c>
      <c r="Q33" s="23">
        <v>2023</v>
      </c>
      <c r="R33" s="188">
        <v>2024</v>
      </c>
      <c r="S33" s="188">
        <v>2025</v>
      </c>
      <c r="T33" s="188">
        <v>2026</v>
      </c>
      <c r="U33" s="187">
        <v>2027</v>
      </c>
      <c r="V33" s="688" t="s">
        <v>411</v>
      </c>
      <c r="W33" s="688"/>
      <c r="X33" s="688"/>
      <c r="Y33" s="688">
        <v>2024</v>
      </c>
      <c r="Z33" s="686"/>
      <c r="AA33" s="687"/>
      <c r="AB33" s="688">
        <v>2025</v>
      </c>
      <c r="AC33" s="686"/>
      <c r="AD33" s="687"/>
      <c r="AE33" s="688">
        <v>2026</v>
      </c>
      <c r="AF33" s="686"/>
      <c r="AG33" s="687"/>
      <c r="AH33" s="688">
        <v>2027</v>
      </c>
      <c r="AI33" s="686"/>
      <c r="AJ33" s="686"/>
      <c r="AK33" s="21" t="s">
        <v>412</v>
      </c>
      <c r="AL33" s="22" t="s">
        <v>413</v>
      </c>
      <c r="AM33" s="22" t="s">
        <v>72</v>
      </c>
      <c r="AN33" s="21" t="s">
        <v>414</v>
      </c>
      <c r="AO33" s="688" t="s">
        <v>415</v>
      </c>
      <c r="AP33" s="701"/>
      <c r="AQ33" s="702"/>
      <c r="AR33" s="67" t="s">
        <v>416</v>
      </c>
    </row>
    <row r="34" spans="1:48" s="14" customFormat="1" ht="141.6" customHeight="1" thickBot="1" x14ac:dyDescent="0.3">
      <c r="A34" s="248" t="s">
        <v>76</v>
      </c>
      <c r="B34" s="399" t="s">
        <v>77</v>
      </c>
      <c r="C34" s="240" t="s">
        <v>78</v>
      </c>
      <c r="D34" s="240" t="s">
        <v>79</v>
      </c>
      <c r="E34" s="241" t="s">
        <v>80</v>
      </c>
      <c r="F34" s="241" t="s">
        <v>80</v>
      </c>
      <c r="G34" s="241" t="s">
        <v>81</v>
      </c>
      <c r="H34" s="240" t="s">
        <v>82</v>
      </c>
      <c r="I34" s="240" t="s">
        <v>83</v>
      </c>
      <c r="J34" s="240" t="s">
        <v>84</v>
      </c>
      <c r="K34" s="240" t="s">
        <v>417</v>
      </c>
      <c r="L34" s="242" t="s">
        <v>86</v>
      </c>
      <c r="M34" s="242" t="s">
        <v>87</v>
      </c>
      <c r="N34" s="243" t="s">
        <v>418</v>
      </c>
      <c r="O34" s="241" t="s">
        <v>80</v>
      </c>
      <c r="P34" s="244"/>
      <c r="Q34" s="713"/>
      <c r="R34" s="714"/>
      <c r="S34" s="714"/>
      <c r="T34" s="714"/>
      <c r="U34" s="715"/>
      <c r="V34" s="275" t="s">
        <v>89</v>
      </c>
      <c r="W34" s="276" t="s">
        <v>90</v>
      </c>
      <c r="X34" s="277" t="s">
        <v>91</v>
      </c>
      <c r="Y34" s="278" t="s">
        <v>89</v>
      </c>
      <c r="Z34" s="276" t="s">
        <v>90</v>
      </c>
      <c r="AA34" s="279" t="s">
        <v>91</v>
      </c>
      <c r="AB34" s="27" t="s">
        <v>89</v>
      </c>
      <c r="AC34" s="24" t="s">
        <v>90</v>
      </c>
      <c r="AD34" s="25" t="s">
        <v>91</v>
      </c>
      <c r="AE34" s="27" t="s">
        <v>89</v>
      </c>
      <c r="AF34" s="24" t="s">
        <v>90</v>
      </c>
      <c r="AG34" s="25" t="s">
        <v>91</v>
      </c>
      <c r="AH34" s="27" t="s">
        <v>89</v>
      </c>
      <c r="AI34" s="24" t="s">
        <v>90</v>
      </c>
      <c r="AJ34" s="26" t="s">
        <v>91</v>
      </c>
      <c r="AK34" s="249" t="s">
        <v>92</v>
      </c>
      <c r="AL34" s="250" t="s">
        <v>80</v>
      </c>
      <c r="AM34" s="259"/>
      <c r="AN34" s="252"/>
      <c r="AO34" s="27" t="s">
        <v>89</v>
      </c>
      <c r="AP34" s="24" t="s">
        <v>90</v>
      </c>
      <c r="AQ34" s="25" t="s">
        <v>91</v>
      </c>
      <c r="AR34" s="251" t="s">
        <v>419</v>
      </c>
      <c r="AV34" s="66"/>
    </row>
    <row r="35" spans="1:48" s="19" customFormat="1" ht="30" x14ac:dyDescent="0.25">
      <c r="A35" s="400" t="s">
        <v>420</v>
      </c>
      <c r="B35" s="215"/>
      <c r="C35" s="215"/>
      <c r="D35" s="216"/>
      <c r="E35" s="216"/>
      <c r="F35" s="216"/>
      <c r="G35" s="216"/>
      <c r="H35" s="216"/>
      <c r="I35" s="216"/>
      <c r="J35" s="216"/>
      <c r="K35" s="216"/>
      <c r="L35" s="217"/>
      <c r="M35" s="217"/>
      <c r="N35" s="217"/>
      <c r="O35" s="217"/>
      <c r="P35" s="203">
        <f t="shared" ref="P35:P66" si="1">SUM(Q35:U35)</f>
        <v>0</v>
      </c>
      <c r="Q35" s="212">
        <f t="shared" ref="Q35:Q96" si="2">SUM(V35:X35)</f>
        <v>0</v>
      </c>
      <c r="R35" s="253">
        <f t="shared" ref="R35:R66" si="3">SUM(Y35:AA35)</f>
        <v>0</v>
      </c>
      <c r="S35" s="253">
        <f t="shared" ref="S35:S66" si="4">SUM(AB35:AD35)</f>
        <v>0</v>
      </c>
      <c r="T35" s="253">
        <f t="shared" ref="T35:T66" si="5">SUM(AE35:AG35)</f>
        <v>0</v>
      </c>
      <c r="U35" s="273">
        <f t="shared" ref="U35:U66" si="6">SUM(AH35:AJ35)</f>
        <v>0</v>
      </c>
      <c r="V35" s="402"/>
      <c r="W35" s="253"/>
      <c r="X35" s="403"/>
      <c r="Y35" s="402"/>
      <c r="Z35" s="253"/>
      <c r="AA35" s="404"/>
      <c r="AB35" s="206"/>
      <c r="AC35" s="207"/>
      <c r="AD35" s="209"/>
      <c r="AE35" s="208"/>
      <c r="AF35" s="207"/>
      <c r="AG35" s="209"/>
      <c r="AH35" s="208"/>
      <c r="AI35" s="207"/>
      <c r="AJ35" s="207"/>
      <c r="AK35" s="210"/>
      <c r="AL35" s="211"/>
      <c r="AM35" s="218"/>
      <c r="AN35" s="261"/>
      <c r="AO35" s="255"/>
      <c r="AP35" s="193"/>
      <c r="AQ35" s="256"/>
      <c r="AR35" s="263"/>
    </row>
    <row r="36" spans="1:48" s="34" customFormat="1" ht="150" x14ac:dyDescent="0.25">
      <c r="A36" s="215" t="s">
        <v>2</v>
      </c>
      <c r="B36" s="215" t="s">
        <v>2</v>
      </c>
      <c r="C36" s="215"/>
      <c r="D36" s="216" t="s">
        <v>107</v>
      </c>
      <c r="E36" s="216"/>
      <c r="F36" s="216" t="s">
        <v>108</v>
      </c>
      <c r="G36" s="216" t="s">
        <v>99</v>
      </c>
      <c r="H36" s="216"/>
      <c r="I36" s="216" t="s">
        <v>109</v>
      </c>
      <c r="J36" s="216" t="s">
        <v>110</v>
      </c>
      <c r="K36" s="216" t="s">
        <v>111</v>
      </c>
      <c r="L36" s="217"/>
      <c r="M36" s="217"/>
      <c r="N36" s="217"/>
      <c r="O36" s="217"/>
      <c r="P36" s="203">
        <f t="shared" si="1"/>
        <v>183896</v>
      </c>
      <c r="Q36" s="204">
        <f t="shared" si="2"/>
        <v>0</v>
      </c>
      <c r="R36" s="205">
        <f t="shared" si="3"/>
        <v>42897</v>
      </c>
      <c r="S36" s="205">
        <f t="shared" si="4"/>
        <v>44996</v>
      </c>
      <c r="T36" s="205">
        <f t="shared" si="5"/>
        <v>47018</v>
      </c>
      <c r="U36" s="206">
        <f t="shared" si="6"/>
        <v>48985</v>
      </c>
      <c r="V36" s="281"/>
      <c r="W36" s="280"/>
      <c r="X36" s="224"/>
      <c r="Y36" s="281"/>
      <c r="Z36" s="280">
        <v>42897</v>
      </c>
      <c r="AA36" s="226"/>
      <c r="AB36" s="206"/>
      <c r="AC36" s="207">
        <v>44996</v>
      </c>
      <c r="AD36" s="209"/>
      <c r="AE36" s="208"/>
      <c r="AF36" s="207">
        <v>47018</v>
      </c>
      <c r="AG36" s="209"/>
      <c r="AH36" s="208"/>
      <c r="AI36" s="207">
        <v>48985</v>
      </c>
      <c r="AJ36" s="207"/>
      <c r="AK36" s="218" t="s">
        <v>112</v>
      </c>
      <c r="AL36" s="211"/>
      <c r="AM36" s="218"/>
      <c r="AN36" s="261"/>
      <c r="AO36" s="255"/>
      <c r="AP36" s="193"/>
      <c r="AQ36" s="256"/>
      <c r="AR36" s="264" t="s">
        <v>421</v>
      </c>
    </row>
    <row r="37" spans="1:48" s="34" customFormat="1" ht="409.5" x14ac:dyDescent="0.25">
      <c r="A37" s="215" t="s">
        <v>114</v>
      </c>
      <c r="B37" s="215" t="s">
        <v>2</v>
      </c>
      <c r="C37" s="215" t="s">
        <v>115</v>
      </c>
      <c r="D37" s="216" t="s">
        <v>116</v>
      </c>
      <c r="E37" s="216" t="s">
        <v>97</v>
      </c>
      <c r="F37" s="216" t="s">
        <v>108</v>
      </c>
      <c r="G37" s="216" t="s">
        <v>117</v>
      </c>
      <c r="H37" s="216" t="s">
        <v>118</v>
      </c>
      <c r="I37" s="216" t="s">
        <v>119</v>
      </c>
      <c r="J37" s="216" t="s">
        <v>120</v>
      </c>
      <c r="K37" s="216" t="s">
        <v>121</v>
      </c>
      <c r="L37" s="217"/>
      <c r="M37" s="217"/>
      <c r="N37" s="217"/>
      <c r="O37" s="217"/>
      <c r="P37" s="203">
        <f t="shared" si="1"/>
        <v>280000</v>
      </c>
      <c r="Q37" s="204">
        <f t="shared" si="2"/>
        <v>0</v>
      </c>
      <c r="R37" s="205">
        <f t="shared" si="3"/>
        <v>280000</v>
      </c>
      <c r="S37" s="205">
        <f t="shared" si="4"/>
        <v>0</v>
      </c>
      <c r="T37" s="205">
        <f t="shared" si="5"/>
        <v>0</v>
      </c>
      <c r="U37" s="206">
        <f t="shared" si="6"/>
        <v>0</v>
      </c>
      <c r="V37" s="281">
        <v>0</v>
      </c>
      <c r="W37" s="280"/>
      <c r="X37" s="224"/>
      <c r="Y37" s="281">
        <v>280000</v>
      </c>
      <c r="Z37" s="280"/>
      <c r="AA37" s="226"/>
      <c r="AB37" s="206"/>
      <c r="AC37" s="207"/>
      <c r="AD37" s="209"/>
      <c r="AE37" s="208"/>
      <c r="AF37" s="207"/>
      <c r="AG37" s="209"/>
      <c r="AH37" s="208"/>
      <c r="AI37" s="207"/>
      <c r="AJ37" s="207"/>
      <c r="AK37" s="218"/>
      <c r="AL37" s="211" t="s">
        <v>124</v>
      </c>
      <c r="AM37" s="218"/>
      <c r="AN37" s="261"/>
      <c r="AO37" s="255"/>
      <c r="AP37" s="193"/>
      <c r="AQ37" s="256"/>
      <c r="AR37" s="264" t="s">
        <v>422</v>
      </c>
    </row>
    <row r="38" spans="1:48" s="34" customFormat="1" ht="240" x14ac:dyDescent="0.25">
      <c r="A38" s="215" t="s">
        <v>114</v>
      </c>
      <c r="B38" s="215" t="s">
        <v>2</v>
      </c>
      <c r="C38" s="215" t="s">
        <v>115</v>
      </c>
      <c r="D38" s="216" t="s">
        <v>116</v>
      </c>
      <c r="E38" s="216" t="s">
        <v>97</v>
      </c>
      <c r="F38" s="216" t="s">
        <v>108</v>
      </c>
      <c r="G38" s="216" t="s">
        <v>117</v>
      </c>
      <c r="H38" s="216" t="s">
        <v>118</v>
      </c>
      <c r="I38" s="216" t="s">
        <v>130</v>
      </c>
      <c r="J38" s="216" t="s">
        <v>423</v>
      </c>
      <c r="K38" s="216" t="s">
        <v>132</v>
      </c>
      <c r="L38" s="217"/>
      <c r="M38" s="217"/>
      <c r="N38" s="217"/>
      <c r="O38" s="217"/>
      <c r="P38" s="203">
        <f t="shared" si="1"/>
        <v>470000</v>
      </c>
      <c r="Q38" s="204">
        <f t="shared" si="2"/>
        <v>94000</v>
      </c>
      <c r="R38" s="205">
        <f t="shared" si="3"/>
        <v>376000</v>
      </c>
      <c r="S38" s="205">
        <f t="shared" si="4"/>
        <v>0</v>
      </c>
      <c r="T38" s="205">
        <f t="shared" si="5"/>
        <v>0</v>
      </c>
      <c r="U38" s="206">
        <f t="shared" si="6"/>
        <v>0</v>
      </c>
      <c r="V38" s="281">
        <v>94000</v>
      </c>
      <c r="W38" s="280"/>
      <c r="X38" s="224"/>
      <c r="Y38" s="281">
        <v>376000</v>
      </c>
      <c r="Z38" s="280"/>
      <c r="AA38" s="226"/>
      <c r="AB38" s="206"/>
      <c r="AC38" s="207"/>
      <c r="AD38" s="209"/>
      <c r="AE38" s="208"/>
      <c r="AF38" s="207"/>
      <c r="AG38" s="209"/>
      <c r="AH38" s="208"/>
      <c r="AI38" s="207"/>
      <c r="AJ38" s="207"/>
      <c r="AK38" s="218"/>
      <c r="AL38" s="211" t="s">
        <v>124</v>
      </c>
      <c r="AM38" s="218"/>
      <c r="AN38" s="261"/>
      <c r="AO38" s="255"/>
      <c r="AP38" s="193"/>
      <c r="AQ38" s="256"/>
      <c r="AR38" s="264" t="s">
        <v>424</v>
      </c>
    </row>
    <row r="39" spans="1:48" s="34" customFormat="1" ht="105" x14ac:dyDescent="0.25">
      <c r="A39" s="215" t="s">
        <v>114</v>
      </c>
      <c r="B39" s="215" t="s">
        <v>2</v>
      </c>
      <c r="C39" s="215" t="s">
        <v>115</v>
      </c>
      <c r="D39" s="216" t="s">
        <v>116</v>
      </c>
      <c r="E39" s="216" t="s">
        <v>97</v>
      </c>
      <c r="F39" s="216" t="s">
        <v>108</v>
      </c>
      <c r="G39" s="216" t="s">
        <v>117</v>
      </c>
      <c r="H39" s="216" t="s">
        <v>118</v>
      </c>
      <c r="I39" s="216" t="s">
        <v>425</v>
      </c>
      <c r="J39" s="216" t="s">
        <v>135</v>
      </c>
      <c r="K39" s="216" t="s">
        <v>426</v>
      </c>
      <c r="L39" s="217"/>
      <c r="M39" s="217"/>
      <c r="N39" s="217"/>
      <c r="O39" s="217"/>
      <c r="P39" s="203">
        <f t="shared" si="1"/>
        <v>500000</v>
      </c>
      <c r="Q39" s="204">
        <f t="shared" si="2"/>
        <v>0</v>
      </c>
      <c r="R39" s="205">
        <f t="shared" si="3"/>
        <v>0</v>
      </c>
      <c r="S39" s="205">
        <f t="shared" si="4"/>
        <v>375000</v>
      </c>
      <c r="T39" s="205">
        <f t="shared" si="5"/>
        <v>125000</v>
      </c>
      <c r="U39" s="206">
        <f t="shared" si="6"/>
        <v>0</v>
      </c>
      <c r="V39" s="281"/>
      <c r="W39" s="280"/>
      <c r="X39" s="224"/>
      <c r="Y39" s="281">
        <v>0</v>
      </c>
      <c r="Z39" s="280"/>
      <c r="AA39" s="226"/>
      <c r="AB39" s="206">
        <v>375000</v>
      </c>
      <c r="AC39" s="207"/>
      <c r="AD39" s="209"/>
      <c r="AE39" s="208">
        <v>125000</v>
      </c>
      <c r="AF39" s="207"/>
      <c r="AG39" s="209"/>
      <c r="AH39" s="208"/>
      <c r="AI39" s="207"/>
      <c r="AJ39" s="207"/>
      <c r="AK39" s="218"/>
      <c r="AL39" s="211" t="s">
        <v>124</v>
      </c>
      <c r="AM39" s="218"/>
      <c r="AN39" s="261"/>
      <c r="AO39" s="255"/>
      <c r="AP39" s="193"/>
      <c r="AQ39" s="256"/>
      <c r="AR39" s="264" t="s">
        <v>427</v>
      </c>
    </row>
    <row r="40" spans="1:48" s="19" customFormat="1" ht="210" x14ac:dyDescent="0.25">
      <c r="A40" s="215" t="s">
        <v>114</v>
      </c>
      <c r="B40" s="215" t="s">
        <v>2</v>
      </c>
      <c r="C40" s="215" t="s">
        <v>115</v>
      </c>
      <c r="D40" s="216" t="s">
        <v>116</v>
      </c>
      <c r="E40" s="216" t="s">
        <v>97</v>
      </c>
      <c r="F40" s="216" t="s">
        <v>98</v>
      </c>
      <c r="G40" s="216" t="s">
        <v>117</v>
      </c>
      <c r="H40" s="216" t="s">
        <v>118</v>
      </c>
      <c r="I40" s="216" t="s">
        <v>137</v>
      </c>
      <c r="J40" s="216" t="s">
        <v>138</v>
      </c>
      <c r="K40" s="216" t="s">
        <v>139</v>
      </c>
      <c r="L40" s="217"/>
      <c r="M40" s="217"/>
      <c r="N40" s="217"/>
      <c r="O40" s="217"/>
      <c r="P40" s="203">
        <f t="shared" si="1"/>
        <v>752000</v>
      </c>
      <c r="Q40" s="204">
        <f t="shared" si="2"/>
        <v>0</v>
      </c>
      <c r="R40" s="205">
        <f t="shared" si="3"/>
        <v>282000</v>
      </c>
      <c r="S40" s="205">
        <f t="shared" si="4"/>
        <v>376000</v>
      </c>
      <c r="T40" s="205">
        <f t="shared" si="5"/>
        <v>94000</v>
      </c>
      <c r="U40" s="206">
        <f t="shared" si="6"/>
        <v>0</v>
      </c>
      <c r="V40" s="281"/>
      <c r="W40" s="280"/>
      <c r="X40" s="224"/>
      <c r="Y40" s="281">
        <v>282000</v>
      </c>
      <c r="Z40" s="280"/>
      <c r="AA40" s="226"/>
      <c r="AB40" s="206">
        <v>376000</v>
      </c>
      <c r="AC40" s="207"/>
      <c r="AD40" s="209"/>
      <c r="AE40" s="208">
        <v>94000</v>
      </c>
      <c r="AF40" s="207"/>
      <c r="AG40" s="209"/>
      <c r="AH40" s="208"/>
      <c r="AI40" s="207"/>
      <c r="AJ40" s="207"/>
      <c r="AK40" s="218"/>
      <c r="AL40" s="211" t="s">
        <v>124</v>
      </c>
      <c r="AM40" s="218"/>
      <c r="AN40" s="261"/>
      <c r="AO40" s="255"/>
      <c r="AP40" s="193"/>
      <c r="AQ40" s="256"/>
      <c r="AR40" s="264" t="s">
        <v>422</v>
      </c>
    </row>
    <row r="41" spans="1:48" s="34" customFormat="1" ht="409.5" x14ac:dyDescent="0.25">
      <c r="A41" s="231" t="s">
        <v>114</v>
      </c>
      <c r="B41" s="215" t="s">
        <v>2</v>
      </c>
      <c r="C41" s="215" t="s">
        <v>115</v>
      </c>
      <c r="D41" s="216" t="s">
        <v>116</v>
      </c>
      <c r="E41" s="216" t="s">
        <v>97</v>
      </c>
      <c r="F41" s="216" t="s">
        <v>98</v>
      </c>
      <c r="G41" s="216" t="s">
        <v>117</v>
      </c>
      <c r="H41" s="216" t="s">
        <v>118</v>
      </c>
      <c r="I41" s="216" t="s">
        <v>140</v>
      </c>
      <c r="J41" s="216" t="s">
        <v>141</v>
      </c>
      <c r="K41" s="216" t="s">
        <v>142</v>
      </c>
      <c r="L41" s="217"/>
      <c r="M41" s="217"/>
      <c r="N41" s="217"/>
      <c r="O41" s="217"/>
      <c r="P41" s="203">
        <f t="shared" si="1"/>
        <v>1524000</v>
      </c>
      <c r="Q41" s="204">
        <f t="shared" si="2"/>
        <v>0</v>
      </c>
      <c r="R41" s="205">
        <f t="shared" si="3"/>
        <v>669000</v>
      </c>
      <c r="S41" s="205">
        <f t="shared" si="4"/>
        <v>684000</v>
      </c>
      <c r="T41" s="205">
        <f t="shared" si="5"/>
        <v>171000</v>
      </c>
      <c r="U41" s="206">
        <f t="shared" si="6"/>
        <v>0</v>
      </c>
      <c r="V41" s="281"/>
      <c r="W41" s="280"/>
      <c r="X41" s="224"/>
      <c r="Y41" s="281">
        <v>669000</v>
      </c>
      <c r="Z41" s="280"/>
      <c r="AA41" s="226"/>
      <c r="AB41" s="206">
        <v>684000</v>
      </c>
      <c r="AC41" s="207"/>
      <c r="AD41" s="209"/>
      <c r="AE41" s="208">
        <v>171000</v>
      </c>
      <c r="AF41" s="207"/>
      <c r="AG41" s="209"/>
      <c r="AH41" s="208"/>
      <c r="AI41" s="207"/>
      <c r="AJ41" s="207"/>
      <c r="AK41" s="218"/>
      <c r="AL41" s="211" t="s">
        <v>124</v>
      </c>
      <c r="AM41" s="218"/>
      <c r="AN41" s="261"/>
      <c r="AO41" s="255"/>
      <c r="AP41" s="193"/>
      <c r="AQ41" s="256"/>
      <c r="AR41" s="264" t="s">
        <v>422</v>
      </c>
    </row>
    <row r="42" spans="1:48" s="34" customFormat="1" ht="105" x14ac:dyDescent="0.25">
      <c r="A42" s="231" t="s">
        <v>114</v>
      </c>
      <c r="B42" s="215" t="s">
        <v>2</v>
      </c>
      <c r="C42" s="215" t="s">
        <v>115</v>
      </c>
      <c r="D42" s="216" t="s">
        <v>116</v>
      </c>
      <c r="E42" s="216" t="s">
        <v>97</v>
      </c>
      <c r="F42" s="216" t="s">
        <v>98</v>
      </c>
      <c r="G42" s="216" t="s">
        <v>117</v>
      </c>
      <c r="H42" s="216" t="s">
        <v>118</v>
      </c>
      <c r="I42" s="216" t="s">
        <v>143</v>
      </c>
      <c r="J42" s="216" t="s">
        <v>144</v>
      </c>
      <c r="K42" s="216" t="s">
        <v>145</v>
      </c>
      <c r="L42" s="217"/>
      <c r="M42" s="217"/>
      <c r="N42" s="217"/>
      <c r="O42" s="217"/>
      <c r="P42" s="203">
        <f t="shared" si="1"/>
        <v>156000</v>
      </c>
      <c r="Q42" s="204">
        <f t="shared" si="2"/>
        <v>0</v>
      </c>
      <c r="R42" s="205">
        <f t="shared" si="3"/>
        <v>0</v>
      </c>
      <c r="S42" s="205">
        <f t="shared" si="4"/>
        <v>156000</v>
      </c>
      <c r="T42" s="205">
        <f t="shared" si="5"/>
        <v>0</v>
      </c>
      <c r="U42" s="206">
        <f t="shared" si="6"/>
        <v>0</v>
      </c>
      <c r="V42" s="281"/>
      <c r="W42" s="280"/>
      <c r="X42" s="224"/>
      <c r="Y42" s="281"/>
      <c r="Z42" s="280"/>
      <c r="AA42" s="226"/>
      <c r="AB42" s="206">
        <v>156000</v>
      </c>
      <c r="AC42" s="207"/>
      <c r="AD42" s="209"/>
      <c r="AE42" s="208"/>
      <c r="AF42" s="207"/>
      <c r="AG42" s="209"/>
      <c r="AH42" s="208"/>
      <c r="AI42" s="207"/>
      <c r="AJ42" s="207"/>
      <c r="AK42" s="218"/>
      <c r="AL42" s="211" t="s">
        <v>124</v>
      </c>
      <c r="AM42" s="218"/>
      <c r="AN42" s="261"/>
      <c r="AO42" s="255"/>
      <c r="AP42" s="193"/>
      <c r="AQ42" s="256"/>
      <c r="AR42" s="264" t="s">
        <v>428</v>
      </c>
    </row>
    <row r="43" spans="1:48" s="34" customFormat="1" ht="120" x14ac:dyDescent="0.25">
      <c r="A43" s="231" t="s">
        <v>146</v>
      </c>
      <c r="B43" s="215" t="s">
        <v>2</v>
      </c>
      <c r="C43" s="215" t="s">
        <v>115</v>
      </c>
      <c r="D43" s="216" t="s">
        <v>116</v>
      </c>
      <c r="E43" s="216" t="s">
        <v>97</v>
      </c>
      <c r="F43" s="216" t="s">
        <v>147</v>
      </c>
      <c r="G43" s="216" t="s">
        <v>99</v>
      </c>
      <c r="H43" s="216" t="s">
        <v>118</v>
      </c>
      <c r="I43" s="216" t="s">
        <v>148</v>
      </c>
      <c r="J43" s="216" t="s">
        <v>149</v>
      </c>
      <c r="K43" s="216" t="s">
        <v>150</v>
      </c>
      <c r="L43" s="217"/>
      <c r="M43" s="217"/>
      <c r="N43" s="217"/>
      <c r="O43" s="217"/>
      <c r="P43" s="203">
        <f t="shared" si="1"/>
        <v>304200</v>
      </c>
      <c r="Q43" s="204">
        <f t="shared" si="2"/>
        <v>0</v>
      </c>
      <c r="R43" s="205">
        <f t="shared" si="3"/>
        <v>304200</v>
      </c>
      <c r="S43" s="205">
        <f t="shared" si="4"/>
        <v>0</v>
      </c>
      <c r="T43" s="205">
        <f t="shared" si="5"/>
        <v>0</v>
      </c>
      <c r="U43" s="206">
        <f t="shared" si="6"/>
        <v>0</v>
      </c>
      <c r="V43" s="281"/>
      <c r="W43" s="280"/>
      <c r="X43" s="224"/>
      <c r="Y43" s="281">
        <v>304200</v>
      </c>
      <c r="Z43" s="280"/>
      <c r="AA43" s="226"/>
      <c r="AB43" s="206"/>
      <c r="AC43" s="207"/>
      <c r="AD43" s="209"/>
      <c r="AE43" s="208"/>
      <c r="AF43" s="207"/>
      <c r="AG43" s="209"/>
      <c r="AH43" s="208"/>
      <c r="AI43" s="207"/>
      <c r="AJ43" s="207"/>
      <c r="AK43" s="218"/>
      <c r="AL43" s="211" t="s">
        <v>124</v>
      </c>
      <c r="AM43" s="218"/>
      <c r="AN43" s="261"/>
      <c r="AO43" s="255"/>
      <c r="AP43" s="193"/>
      <c r="AQ43" s="256"/>
      <c r="AR43" s="264" t="s">
        <v>429</v>
      </c>
    </row>
    <row r="44" spans="1:48" s="34" customFormat="1" ht="135" x14ac:dyDescent="0.25">
      <c r="A44" s="231" t="s">
        <v>114</v>
      </c>
      <c r="B44" s="215" t="s">
        <v>2</v>
      </c>
      <c r="C44" s="215" t="s">
        <v>115</v>
      </c>
      <c r="D44" s="216" t="s">
        <v>116</v>
      </c>
      <c r="E44" s="216" t="s">
        <v>97</v>
      </c>
      <c r="F44" s="216" t="s">
        <v>151</v>
      </c>
      <c r="G44" s="216" t="s">
        <v>117</v>
      </c>
      <c r="H44" s="216" t="s">
        <v>118</v>
      </c>
      <c r="I44" s="216" t="s">
        <v>152</v>
      </c>
      <c r="J44" s="216" t="s">
        <v>153</v>
      </c>
      <c r="K44" s="216" t="s">
        <v>154</v>
      </c>
      <c r="L44" s="217"/>
      <c r="M44" s="217"/>
      <c r="N44" s="217"/>
      <c r="O44" s="217"/>
      <c r="P44" s="203">
        <f t="shared" si="1"/>
        <v>658000</v>
      </c>
      <c r="Q44" s="204">
        <f t="shared" si="2"/>
        <v>0</v>
      </c>
      <c r="R44" s="205">
        <f t="shared" si="3"/>
        <v>282000</v>
      </c>
      <c r="S44" s="205">
        <f t="shared" si="4"/>
        <v>376000</v>
      </c>
      <c r="T44" s="205">
        <f t="shared" si="5"/>
        <v>0</v>
      </c>
      <c r="U44" s="206">
        <f t="shared" si="6"/>
        <v>0</v>
      </c>
      <c r="V44" s="281"/>
      <c r="W44" s="280"/>
      <c r="X44" s="224"/>
      <c r="Y44" s="281">
        <v>282000</v>
      </c>
      <c r="Z44" s="280"/>
      <c r="AA44" s="226"/>
      <c r="AB44" s="206">
        <v>376000</v>
      </c>
      <c r="AC44" s="207"/>
      <c r="AD44" s="209"/>
      <c r="AE44" s="208"/>
      <c r="AF44" s="207"/>
      <c r="AG44" s="209"/>
      <c r="AH44" s="208"/>
      <c r="AI44" s="207"/>
      <c r="AJ44" s="207"/>
      <c r="AK44" s="218"/>
      <c r="AL44" s="211" t="s">
        <v>124</v>
      </c>
      <c r="AM44" s="218"/>
      <c r="AN44" s="261"/>
      <c r="AO44" s="255"/>
      <c r="AP44" s="193"/>
      <c r="AQ44" s="256"/>
      <c r="AR44" s="264" t="s">
        <v>422</v>
      </c>
    </row>
    <row r="45" spans="1:48" s="34" customFormat="1" ht="105" x14ac:dyDescent="0.25">
      <c r="A45" s="231" t="s">
        <v>114</v>
      </c>
      <c r="B45" s="215" t="s">
        <v>2</v>
      </c>
      <c r="C45" s="215" t="s">
        <v>115</v>
      </c>
      <c r="D45" s="216" t="s">
        <v>116</v>
      </c>
      <c r="E45" s="216" t="s">
        <v>97</v>
      </c>
      <c r="F45" s="216" t="s">
        <v>155</v>
      </c>
      <c r="G45" s="216" t="s">
        <v>117</v>
      </c>
      <c r="H45" s="216" t="s">
        <v>118</v>
      </c>
      <c r="I45" s="216" t="s">
        <v>430</v>
      </c>
      <c r="J45" s="216" t="s">
        <v>431</v>
      </c>
      <c r="K45" s="216" t="s">
        <v>432</v>
      </c>
      <c r="L45" s="217"/>
      <c r="M45" s="217"/>
      <c r="N45" s="217"/>
      <c r="O45" s="217"/>
      <c r="P45" s="203">
        <f t="shared" si="1"/>
        <v>650000</v>
      </c>
      <c r="Q45" s="204">
        <f t="shared" si="2"/>
        <v>0</v>
      </c>
      <c r="R45" s="205">
        <f t="shared" si="3"/>
        <v>650000</v>
      </c>
      <c r="S45" s="205">
        <f t="shared" si="4"/>
        <v>0</v>
      </c>
      <c r="T45" s="205">
        <f t="shared" si="5"/>
        <v>0</v>
      </c>
      <c r="U45" s="206">
        <f t="shared" si="6"/>
        <v>0</v>
      </c>
      <c r="V45" s="281">
        <v>0</v>
      </c>
      <c r="W45" s="280"/>
      <c r="X45" s="224"/>
      <c r="Y45" s="281">
        <v>650000</v>
      </c>
      <c r="Z45" s="280"/>
      <c r="AA45" s="226"/>
      <c r="AB45" s="206"/>
      <c r="AC45" s="207"/>
      <c r="AD45" s="209"/>
      <c r="AE45" s="208"/>
      <c r="AF45" s="207"/>
      <c r="AG45" s="209"/>
      <c r="AH45" s="208"/>
      <c r="AI45" s="207"/>
      <c r="AJ45" s="207"/>
      <c r="AK45" s="218"/>
      <c r="AL45" s="211" t="s">
        <v>124</v>
      </c>
      <c r="AM45" s="218"/>
      <c r="AN45" s="261"/>
      <c r="AO45" s="255"/>
      <c r="AP45" s="193"/>
      <c r="AQ45" s="256"/>
      <c r="AR45" s="264" t="s">
        <v>433</v>
      </c>
    </row>
    <row r="46" spans="1:48" s="19" customFormat="1" ht="165" x14ac:dyDescent="0.25">
      <c r="A46" s="231" t="s">
        <v>114</v>
      </c>
      <c r="B46" s="215" t="s">
        <v>2</v>
      </c>
      <c r="C46" s="215" t="s">
        <v>115</v>
      </c>
      <c r="D46" s="216" t="s">
        <v>116</v>
      </c>
      <c r="E46" s="216" t="s">
        <v>97</v>
      </c>
      <c r="F46" s="216" t="s">
        <v>147</v>
      </c>
      <c r="G46" s="216" t="s">
        <v>117</v>
      </c>
      <c r="H46" s="216" t="s">
        <v>118</v>
      </c>
      <c r="I46" s="216" t="s">
        <v>159</v>
      </c>
      <c r="J46" s="216" t="s">
        <v>160</v>
      </c>
      <c r="K46" s="216" t="s">
        <v>161</v>
      </c>
      <c r="L46" s="217"/>
      <c r="M46" s="217"/>
      <c r="N46" s="217"/>
      <c r="O46" s="217"/>
      <c r="P46" s="203">
        <f t="shared" si="1"/>
        <v>150000</v>
      </c>
      <c r="Q46" s="204">
        <f t="shared" si="2"/>
        <v>150000</v>
      </c>
      <c r="R46" s="205">
        <f t="shared" si="3"/>
        <v>0</v>
      </c>
      <c r="S46" s="205">
        <f t="shared" si="4"/>
        <v>0</v>
      </c>
      <c r="T46" s="205">
        <f t="shared" si="5"/>
        <v>0</v>
      </c>
      <c r="U46" s="206">
        <f t="shared" si="6"/>
        <v>0</v>
      </c>
      <c r="V46" s="281">
        <v>150000</v>
      </c>
      <c r="W46" s="280"/>
      <c r="X46" s="224"/>
      <c r="Y46" s="281"/>
      <c r="Z46" s="280"/>
      <c r="AA46" s="226"/>
      <c r="AB46" s="206"/>
      <c r="AC46" s="207"/>
      <c r="AD46" s="209"/>
      <c r="AE46" s="208"/>
      <c r="AF46" s="207"/>
      <c r="AG46" s="209"/>
      <c r="AH46" s="208"/>
      <c r="AI46" s="207"/>
      <c r="AJ46" s="207"/>
      <c r="AK46" s="218"/>
      <c r="AL46" s="211" t="s">
        <v>124</v>
      </c>
      <c r="AM46" s="218"/>
      <c r="AN46" s="261"/>
      <c r="AO46" s="255"/>
      <c r="AP46" s="193"/>
      <c r="AQ46" s="256"/>
      <c r="AR46" s="264" t="s">
        <v>434</v>
      </c>
    </row>
    <row r="47" spans="1:48" s="19" customFormat="1" ht="30" x14ac:dyDescent="0.25">
      <c r="A47" s="401" t="s">
        <v>173</v>
      </c>
      <c r="B47" s="215"/>
      <c r="C47" s="215"/>
      <c r="D47" s="216"/>
      <c r="E47" s="216"/>
      <c r="F47" s="216"/>
      <c r="G47" s="216"/>
      <c r="H47" s="216"/>
      <c r="I47" s="216"/>
      <c r="J47" s="216"/>
      <c r="K47" s="216"/>
      <c r="L47" s="217"/>
      <c r="M47" s="217"/>
      <c r="N47" s="217"/>
      <c r="O47" s="217"/>
      <c r="P47" s="203">
        <f t="shared" si="1"/>
        <v>0</v>
      </c>
      <c r="Q47" s="204">
        <f t="shared" si="2"/>
        <v>0</v>
      </c>
      <c r="R47" s="205">
        <f t="shared" si="3"/>
        <v>0</v>
      </c>
      <c r="S47" s="205">
        <f t="shared" si="4"/>
        <v>0</v>
      </c>
      <c r="T47" s="205">
        <f t="shared" si="5"/>
        <v>0</v>
      </c>
      <c r="U47" s="206">
        <f t="shared" si="6"/>
        <v>0</v>
      </c>
      <c r="V47" s="281"/>
      <c r="W47" s="280"/>
      <c r="X47" s="224"/>
      <c r="Y47" s="281"/>
      <c r="Z47" s="280"/>
      <c r="AA47" s="226"/>
      <c r="AB47" s="206"/>
      <c r="AC47" s="207"/>
      <c r="AD47" s="209"/>
      <c r="AE47" s="208"/>
      <c r="AF47" s="207"/>
      <c r="AG47" s="209"/>
      <c r="AH47" s="208"/>
      <c r="AI47" s="207"/>
      <c r="AJ47" s="207"/>
      <c r="AK47" s="218"/>
      <c r="AL47" s="211"/>
      <c r="AM47" s="218"/>
      <c r="AN47" s="261"/>
      <c r="AO47" s="255"/>
      <c r="AP47" s="193"/>
      <c r="AQ47" s="256"/>
      <c r="AR47" s="264"/>
    </row>
    <row r="48" spans="1:48" s="34" customFormat="1" ht="409.5" x14ac:dyDescent="0.25">
      <c r="A48" s="231" t="s">
        <v>114</v>
      </c>
      <c r="B48" s="215" t="s">
        <v>174</v>
      </c>
      <c r="C48" s="215" t="s">
        <v>115</v>
      </c>
      <c r="D48" s="216" t="s">
        <v>184</v>
      </c>
      <c r="E48" s="216" t="s">
        <v>97</v>
      </c>
      <c r="F48" s="216" t="s">
        <v>108</v>
      </c>
      <c r="G48" s="216" t="s">
        <v>117</v>
      </c>
      <c r="H48" s="216" t="s">
        <v>176</v>
      </c>
      <c r="I48" s="216" t="s">
        <v>177</v>
      </c>
      <c r="J48" s="216" t="s">
        <v>178</v>
      </c>
      <c r="K48" s="216" t="s">
        <v>435</v>
      </c>
      <c r="L48" s="217"/>
      <c r="M48" s="217"/>
      <c r="N48" s="217"/>
      <c r="O48" s="217"/>
      <c r="P48" s="203">
        <f t="shared" si="1"/>
        <v>613340</v>
      </c>
      <c r="Q48" s="204">
        <f t="shared" si="2"/>
        <v>0</v>
      </c>
      <c r="R48" s="205">
        <f t="shared" si="3"/>
        <v>445592</v>
      </c>
      <c r="S48" s="205">
        <f t="shared" si="4"/>
        <v>167748</v>
      </c>
      <c r="T48" s="205">
        <f t="shared" si="5"/>
        <v>0</v>
      </c>
      <c r="U48" s="206">
        <f t="shared" si="6"/>
        <v>0</v>
      </c>
      <c r="V48" s="281">
        <v>0</v>
      </c>
      <c r="W48" s="280"/>
      <c r="X48" s="224"/>
      <c r="Y48" s="281">
        <v>445592</v>
      </c>
      <c r="Z48" s="280"/>
      <c r="AA48" s="226"/>
      <c r="AB48" s="206">
        <v>167748</v>
      </c>
      <c r="AC48" s="207"/>
      <c r="AD48" s="209"/>
      <c r="AE48" s="208"/>
      <c r="AF48" s="207"/>
      <c r="AG48" s="209"/>
      <c r="AH48" s="208"/>
      <c r="AI48" s="207"/>
      <c r="AJ48" s="207"/>
      <c r="AK48" s="218" t="s">
        <v>436</v>
      </c>
      <c r="AL48" s="211" t="s">
        <v>124</v>
      </c>
      <c r="AM48" s="218"/>
      <c r="AN48" s="261"/>
      <c r="AO48" s="255"/>
      <c r="AP48" s="193"/>
      <c r="AQ48" s="256"/>
      <c r="AR48" s="264" t="s">
        <v>437</v>
      </c>
    </row>
    <row r="49" spans="1:44" s="19" customFormat="1" ht="165" x14ac:dyDescent="0.25">
      <c r="A49" s="231" t="s">
        <v>114</v>
      </c>
      <c r="B49" s="215" t="s">
        <v>174</v>
      </c>
      <c r="C49" s="215" t="s">
        <v>115</v>
      </c>
      <c r="D49" s="216" t="s">
        <v>184</v>
      </c>
      <c r="E49" s="216"/>
      <c r="F49" s="216" t="s">
        <v>185</v>
      </c>
      <c r="G49" s="216" t="s">
        <v>99</v>
      </c>
      <c r="H49" s="216" t="s">
        <v>186</v>
      </c>
      <c r="I49" s="216" t="s">
        <v>187</v>
      </c>
      <c r="J49" s="216" t="s">
        <v>188</v>
      </c>
      <c r="K49" s="216" t="s">
        <v>189</v>
      </c>
      <c r="L49" s="217"/>
      <c r="M49" s="217"/>
      <c r="N49" s="217"/>
      <c r="O49" s="217"/>
      <c r="P49" s="203">
        <f t="shared" si="1"/>
        <v>1228680</v>
      </c>
      <c r="Q49" s="204">
        <f t="shared" si="2"/>
        <v>0</v>
      </c>
      <c r="R49" s="205">
        <f t="shared" si="3"/>
        <v>648737</v>
      </c>
      <c r="S49" s="205">
        <f t="shared" si="4"/>
        <v>82686</v>
      </c>
      <c r="T49" s="205">
        <f t="shared" si="5"/>
        <v>454295</v>
      </c>
      <c r="U49" s="206">
        <f t="shared" si="6"/>
        <v>42962</v>
      </c>
      <c r="V49" s="281"/>
      <c r="W49" s="280"/>
      <c r="X49" s="224"/>
      <c r="Y49" s="281"/>
      <c r="Z49" s="280"/>
      <c r="AA49" s="226">
        <v>648737</v>
      </c>
      <c r="AB49" s="206"/>
      <c r="AC49" s="207"/>
      <c r="AD49" s="209">
        <v>82686</v>
      </c>
      <c r="AE49" s="208"/>
      <c r="AF49" s="207"/>
      <c r="AG49" s="209">
        <v>454295</v>
      </c>
      <c r="AH49" s="208"/>
      <c r="AI49" s="207"/>
      <c r="AJ49" s="207">
        <v>42962</v>
      </c>
      <c r="AK49" s="218"/>
      <c r="AL49" s="211"/>
      <c r="AM49" s="218"/>
      <c r="AN49" s="261"/>
      <c r="AO49" s="255"/>
      <c r="AP49" s="193"/>
      <c r="AQ49" s="256"/>
      <c r="AR49" s="264" t="s">
        <v>438</v>
      </c>
    </row>
    <row r="50" spans="1:44" s="34" customFormat="1" ht="405" x14ac:dyDescent="0.25">
      <c r="A50" s="231" t="s">
        <v>114</v>
      </c>
      <c r="B50" s="215" t="s">
        <v>174</v>
      </c>
      <c r="C50" s="215" t="s">
        <v>115</v>
      </c>
      <c r="D50" s="216" t="s">
        <v>175</v>
      </c>
      <c r="E50" s="216" t="s">
        <v>97</v>
      </c>
      <c r="F50" s="216" t="s">
        <v>185</v>
      </c>
      <c r="G50" s="216" t="s">
        <v>117</v>
      </c>
      <c r="H50" s="216" t="s">
        <v>176</v>
      </c>
      <c r="I50" s="216" t="s">
        <v>195</v>
      </c>
      <c r="J50" s="216" t="s">
        <v>196</v>
      </c>
      <c r="K50" s="216" t="s">
        <v>439</v>
      </c>
      <c r="L50" s="217"/>
      <c r="M50" s="217"/>
      <c r="N50" s="217"/>
      <c r="O50" s="217"/>
      <c r="P50" s="203">
        <f t="shared" si="1"/>
        <v>99726</v>
      </c>
      <c r="Q50" s="204">
        <f t="shared" si="2"/>
        <v>0</v>
      </c>
      <c r="R50" s="205">
        <f t="shared" si="3"/>
        <v>99726</v>
      </c>
      <c r="S50" s="205">
        <f t="shared" si="4"/>
        <v>0</v>
      </c>
      <c r="T50" s="205">
        <f t="shared" si="5"/>
        <v>0</v>
      </c>
      <c r="U50" s="206">
        <f t="shared" si="6"/>
        <v>0</v>
      </c>
      <c r="V50" s="281">
        <v>0</v>
      </c>
      <c r="W50" s="280"/>
      <c r="X50" s="224"/>
      <c r="Y50" s="281">
        <v>99726</v>
      </c>
      <c r="Z50" s="280"/>
      <c r="AA50" s="226"/>
      <c r="AB50" s="206"/>
      <c r="AC50" s="207"/>
      <c r="AD50" s="209"/>
      <c r="AE50" s="208"/>
      <c r="AF50" s="207"/>
      <c r="AG50" s="209"/>
      <c r="AH50" s="208"/>
      <c r="AI50" s="207"/>
      <c r="AJ50" s="207"/>
      <c r="AK50" s="218" t="s">
        <v>199</v>
      </c>
      <c r="AL50" s="211" t="s">
        <v>200</v>
      </c>
      <c r="AM50" s="218"/>
      <c r="AN50" s="261"/>
      <c r="AO50" s="255"/>
      <c r="AP50" s="193"/>
      <c r="AQ50" s="256"/>
      <c r="AR50" s="264" t="s">
        <v>440</v>
      </c>
    </row>
    <row r="51" spans="1:44" s="34" customFormat="1" ht="135" x14ac:dyDescent="0.25">
      <c r="A51" s="231" t="s">
        <v>114</v>
      </c>
      <c r="B51" s="215" t="s">
        <v>174</v>
      </c>
      <c r="C51" s="215" t="s">
        <v>115</v>
      </c>
      <c r="D51" s="216" t="s">
        <v>175</v>
      </c>
      <c r="E51" s="216" t="s">
        <v>97</v>
      </c>
      <c r="F51" s="216" t="s">
        <v>185</v>
      </c>
      <c r="G51" s="216" t="s">
        <v>117</v>
      </c>
      <c r="H51" s="216" t="s">
        <v>176</v>
      </c>
      <c r="I51" s="216"/>
      <c r="J51" s="216" t="s">
        <v>441</v>
      </c>
      <c r="K51" s="216" t="s">
        <v>442</v>
      </c>
      <c r="L51" s="217"/>
      <c r="M51" s="217"/>
      <c r="N51" s="217"/>
      <c r="O51" s="217"/>
      <c r="P51" s="203">
        <f t="shared" si="1"/>
        <v>781362</v>
      </c>
      <c r="Q51" s="204">
        <f t="shared" si="2"/>
        <v>0</v>
      </c>
      <c r="R51" s="205">
        <f t="shared" si="3"/>
        <v>0</v>
      </c>
      <c r="S51" s="205">
        <f t="shared" si="4"/>
        <v>0</v>
      </c>
      <c r="T51" s="205">
        <f t="shared" si="5"/>
        <v>781362</v>
      </c>
      <c r="U51" s="206">
        <f t="shared" si="6"/>
        <v>0</v>
      </c>
      <c r="V51" s="281"/>
      <c r="W51" s="280"/>
      <c r="X51" s="224"/>
      <c r="Y51" s="281">
        <v>0</v>
      </c>
      <c r="Z51" s="280"/>
      <c r="AA51" s="226"/>
      <c r="AB51" s="206"/>
      <c r="AC51" s="207"/>
      <c r="AD51" s="209"/>
      <c r="AE51" s="208">
        <v>781362</v>
      </c>
      <c r="AF51" s="207"/>
      <c r="AG51" s="209"/>
      <c r="AH51" s="208"/>
      <c r="AI51" s="207"/>
      <c r="AJ51" s="207"/>
      <c r="AK51" s="218" t="s">
        <v>199</v>
      </c>
      <c r="AL51" s="211" t="s">
        <v>200</v>
      </c>
      <c r="AM51" s="218"/>
      <c r="AN51" s="261"/>
      <c r="AO51" s="255"/>
      <c r="AP51" s="193"/>
      <c r="AQ51" s="256"/>
      <c r="AR51" s="264" t="s">
        <v>427</v>
      </c>
    </row>
    <row r="52" spans="1:44" s="34" customFormat="1" ht="105" x14ac:dyDescent="0.25">
      <c r="A52" s="231" t="s">
        <v>114</v>
      </c>
      <c r="B52" s="215" t="s">
        <v>174</v>
      </c>
      <c r="C52" s="215" t="s">
        <v>115</v>
      </c>
      <c r="D52" s="216" t="s">
        <v>175</v>
      </c>
      <c r="E52" s="216" t="s">
        <v>97</v>
      </c>
      <c r="F52" s="216" t="s">
        <v>185</v>
      </c>
      <c r="G52" s="216" t="s">
        <v>117</v>
      </c>
      <c r="H52" s="216" t="s">
        <v>176</v>
      </c>
      <c r="I52" s="216"/>
      <c r="J52" s="216" t="s">
        <v>443</v>
      </c>
      <c r="K52" s="216" t="s">
        <v>444</v>
      </c>
      <c r="L52" s="217"/>
      <c r="M52" s="217"/>
      <c r="N52" s="217"/>
      <c r="O52" s="217"/>
      <c r="P52" s="203">
        <f t="shared" si="1"/>
        <v>1421376</v>
      </c>
      <c r="Q52" s="204">
        <f t="shared" si="2"/>
        <v>0</v>
      </c>
      <c r="R52" s="205">
        <f t="shared" si="3"/>
        <v>0</v>
      </c>
      <c r="S52" s="205">
        <f t="shared" si="4"/>
        <v>0</v>
      </c>
      <c r="T52" s="205">
        <f t="shared" si="5"/>
        <v>704296</v>
      </c>
      <c r="U52" s="206">
        <f t="shared" si="6"/>
        <v>717080</v>
      </c>
      <c r="V52" s="281"/>
      <c r="W52" s="280"/>
      <c r="X52" s="224"/>
      <c r="Y52" s="281"/>
      <c r="Z52" s="280"/>
      <c r="AA52" s="226"/>
      <c r="AB52" s="206">
        <v>0</v>
      </c>
      <c r="AC52" s="207"/>
      <c r="AD52" s="209"/>
      <c r="AE52" s="208">
        <v>704296</v>
      </c>
      <c r="AF52" s="207"/>
      <c r="AG52" s="209"/>
      <c r="AH52" s="208">
        <v>717080</v>
      </c>
      <c r="AI52" s="207"/>
      <c r="AJ52" s="207"/>
      <c r="AK52" s="218" t="s">
        <v>199</v>
      </c>
      <c r="AL52" s="211" t="s">
        <v>200</v>
      </c>
      <c r="AM52" s="218"/>
      <c r="AN52" s="261"/>
      <c r="AO52" s="255"/>
      <c r="AP52" s="193"/>
      <c r="AQ52" s="256"/>
      <c r="AR52" s="264" t="s">
        <v>440</v>
      </c>
    </row>
    <row r="53" spans="1:44" s="19" customFormat="1" ht="255" x14ac:dyDescent="0.25">
      <c r="A53" s="231" t="s">
        <v>114</v>
      </c>
      <c r="B53" s="215" t="s">
        <v>174</v>
      </c>
      <c r="C53" s="215" t="s">
        <v>115</v>
      </c>
      <c r="D53" s="216" t="s">
        <v>175</v>
      </c>
      <c r="E53" s="216" t="s">
        <v>97</v>
      </c>
      <c r="F53" s="216" t="s">
        <v>185</v>
      </c>
      <c r="G53" s="216" t="s">
        <v>117</v>
      </c>
      <c r="H53" s="216" t="s">
        <v>176</v>
      </c>
      <c r="I53" s="216" t="s">
        <v>203</v>
      </c>
      <c r="J53" s="216" t="s">
        <v>204</v>
      </c>
      <c r="K53" s="216" t="s">
        <v>445</v>
      </c>
      <c r="L53" s="217"/>
      <c r="M53" s="217"/>
      <c r="N53" s="217"/>
      <c r="O53" s="217"/>
      <c r="P53" s="203">
        <f t="shared" si="1"/>
        <v>96960</v>
      </c>
      <c r="Q53" s="204">
        <f t="shared" si="2"/>
        <v>0</v>
      </c>
      <c r="R53" s="205">
        <f t="shared" si="3"/>
        <v>96960</v>
      </c>
      <c r="S53" s="205">
        <f t="shared" si="4"/>
        <v>0</v>
      </c>
      <c r="T53" s="205">
        <f t="shared" si="5"/>
        <v>0</v>
      </c>
      <c r="U53" s="206">
        <f t="shared" si="6"/>
        <v>0</v>
      </c>
      <c r="V53" s="281"/>
      <c r="W53" s="280"/>
      <c r="X53" s="224"/>
      <c r="Y53" s="281">
        <v>96960</v>
      </c>
      <c r="Z53" s="280"/>
      <c r="AA53" s="226"/>
      <c r="AB53" s="206"/>
      <c r="AC53" s="207"/>
      <c r="AD53" s="209"/>
      <c r="AE53" s="208"/>
      <c r="AF53" s="207"/>
      <c r="AG53" s="209"/>
      <c r="AH53" s="208"/>
      <c r="AI53" s="207"/>
      <c r="AJ53" s="207"/>
      <c r="AK53" s="218" t="s">
        <v>199</v>
      </c>
      <c r="AL53" s="211" t="s">
        <v>200</v>
      </c>
      <c r="AM53" s="218"/>
      <c r="AN53" s="261"/>
      <c r="AO53" s="255"/>
      <c r="AP53" s="193"/>
      <c r="AQ53" s="256"/>
      <c r="AR53" s="264" t="s">
        <v>440</v>
      </c>
    </row>
    <row r="54" spans="1:44" s="34" customFormat="1" ht="105" x14ac:dyDescent="0.25">
      <c r="A54" s="231" t="s">
        <v>114</v>
      </c>
      <c r="B54" s="215" t="s">
        <v>174</v>
      </c>
      <c r="C54" s="215" t="s">
        <v>115</v>
      </c>
      <c r="D54" s="216" t="s">
        <v>175</v>
      </c>
      <c r="E54" s="216" t="s">
        <v>97</v>
      </c>
      <c r="F54" s="216" t="s">
        <v>185</v>
      </c>
      <c r="G54" s="216" t="s">
        <v>117</v>
      </c>
      <c r="H54" s="216" t="s">
        <v>176</v>
      </c>
      <c r="I54" s="216"/>
      <c r="J54" s="216" t="s">
        <v>446</v>
      </c>
      <c r="K54" s="216" t="s">
        <v>447</v>
      </c>
      <c r="L54" s="217"/>
      <c r="M54" s="217"/>
      <c r="N54" s="217"/>
      <c r="O54" s="217"/>
      <c r="P54" s="203">
        <f t="shared" si="1"/>
        <v>1174602</v>
      </c>
      <c r="Q54" s="204">
        <f t="shared" si="2"/>
        <v>0</v>
      </c>
      <c r="R54" s="205">
        <f t="shared" si="3"/>
        <v>0</v>
      </c>
      <c r="S54" s="205">
        <f t="shared" si="4"/>
        <v>390000</v>
      </c>
      <c r="T54" s="205">
        <f t="shared" si="5"/>
        <v>361936</v>
      </c>
      <c r="U54" s="206">
        <f t="shared" si="6"/>
        <v>422666</v>
      </c>
      <c r="V54" s="281"/>
      <c r="W54" s="280"/>
      <c r="X54" s="224"/>
      <c r="Y54" s="281">
        <v>0</v>
      </c>
      <c r="Z54" s="280"/>
      <c r="AA54" s="226"/>
      <c r="AB54" s="206">
        <v>390000</v>
      </c>
      <c r="AC54" s="207"/>
      <c r="AD54" s="209"/>
      <c r="AE54" s="208">
        <v>361936</v>
      </c>
      <c r="AF54" s="207"/>
      <c r="AG54" s="209"/>
      <c r="AH54" s="208">
        <v>422666</v>
      </c>
      <c r="AI54" s="207"/>
      <c r="AJ54" s="207"/>
      <c r="AK54" s="218" t="s">
        <v>199</v>
      </c>
      <c r="AL54" s="211" t="s">
        <v>200</v>
      </c>
      <c r="AM54" s="218"/>
      <c r="AN54" s="261"/>
      <c r="AO54" s="255"/>
      <c r="AP54" s="193"/>
      <c r="AQ54" s="256"/>
      <c r="AR54" s="264" t="s">
        <v>440</v>
      </c>
    </row>
    <row r="55" spans="1:44" s="34" customFormat="1" ht="375" x14ac:dyDescent="0.25">
      <c r="A55" s="231" t="s">
        <v>210</v>
      </c>
      <c r="B55" s="215" t="s">
        <v>174</v>
      </c>
      <c r="C55" s="215" t="s">
        <v>115</v>
      </c>
      <c r="D55" s="216" t="s">
        <v>175</v>
      </c>
      <c r="E55" s="216" t="s">
        <v>97</v>
      </c>
      <c r="F55" s="216" t="s">
        <v>211</v>
      </c>
      <c r="G55" s="216" t="s">
        <v>117</v>
      </c>
      <c r="H55" s="216" t="s">
        <v>176</v>
      </c>
      <c r="I55" s="216" t="s">
        <v>212</v>
      </c>
      <c r="J55" s="216" t="s">
        <v>448</v>
      </c>
      <c r="K55" s="216" t="s">
        <v>449</v>
      </c>
      <c r="L55" s="217"/>
      <c r="M55" s="217"/>
      <c r="N55" s="217"/>
      <c r="O55" s="217"/>
      <c r="P55" s="203">
        <f t="shared" si="1"/>
        <v>100000</v>
      </c>
      <c r="Q55" s="204">
        <f t="shared" si="2"/>
        <v>0</v>
      </c>
      <c r="R55" s="205">
        <f t="shared" si="3"/>
        <v>100000</v>
      </c>
      <c r="S55" s="205">
        <f t="shared" si="4"/>
        <v>0</v>
      </c>
      <c r="T55" s="205">
        <f t="shared" si="5"/>
        <v>0</v>
      </c>
      <c r="U55" s="206">
        <f t="shared" si="6"/>
        <v>0</v>
      </c>
      <c r="V55" s="281"/>
      <c r="W55" s="280"/>
      <c r="X55" s="224"/>
      <c r="Y55" s="281">
        <v>100000</v>
      </c>
      <c r="Z55" s="280"/>
      <c r="AA55" s="226"/>
      <c r="AB55" s="206"/>
      <c r="AC55" s="207"/>
      <c r="AD55" s="209"/>
      <c r="AE55" s="208"/>
      <c r="AF55" s="207"/>
      <c r="AG55" s="209"/>
      <c r="AH55" s="208"/>
      <c r="AI55" s="207"/>
      <c r="AJ55" s="207"/>
      <c r="AK55" s="218" t="s">
        <v>199</v>
      </c>
      <c r="AL55" s="211" t="s">
        <v>200</v>
      </c>
      <c r="AM55" s="218"/>
      <c r="AN55" s="261"/>
      <c r="AO55" s="255"/>
      <c r="AP55" s="193"/>
      <c r="AQ55" s="256"/>
      <c r="AR55" s="264" t="s">
        <v>440</v>
      </c>
    </row>
    <row r="56" spans="1:44" s="19" customFormat="1" ht="375" x14ac:dyDescent="0.25">
      <c r="A56" s="231" t="s">
        <v>114</v>
      </c>
      <c r="B56" s="215" t="s">
        <v>174</v>
      </c>
      <c r="C56" s="215" t="s">
        <v>115</v>
      </c>
      <c r="D56" s="216" t="s">
        <v>175</v>
      </c>
      <c r="E56" s="216" t="s">
        <v>97</v>
      </c>
      <c r="F56" s="216" t="s">
        <v>211</v>
      </c>
      <c r="G56" s="216" t="s">
        <v>117</v>
      </c>
      <c r="H56" s="216" t="s">
        <v>176</v>
      </c>
      <c r="I56" s="216" t="s">
        <v>212</v>
      </c>
      <c r="J56" s="216" t="s">
        <v>215</v>
      </c>
      <c r="K56" s="216" t="s">
        <v>450</v>
      </c>
      <c r="L56" s="217"/>
      <c r="M56" s="217"/>
      <c r="N56" s="217"/>
      <c r="O56" s="217"/>
      <c r="P56" s="203">
        <f t="shared" si="1"/>
        <v>413482</v>
      </c>
      <c r="Q56" s="204">
        <f t="shared" si="2"/>
        <v>0</v>
      </c>
      <c r="R56" s="205">
        <f t="shared" si="3"/>
        <v>0</v>
      </c>
      <c r="S56" s="205">
        <f t="shared" si="4"/>
        <v>206741</v>
      </c>
      <c r="T56" s="205">
        <f t="shared" si="5"/>
        <v>206741</v>
      </c>
      <c r="U56" s="206">
        <f t="shared" si="6"/>
        <v>0</v>
      </c>
      <c r="V56" s="281"/>
      <c r="W56" s="280"/>
      <c r="X56" s="224"/>
      <c r="Y56" s="281"/>
      <c r="Z56" s="280"/>
      <c r="AA56" s="226"/>
      <c r="AB56" s="206">
        <v>206741</v>
      </c>
      <c r="AC56" s="207"/>
      <c r="AD56" s="209"/>
      <c r="AE56" s="208">
        <v>206741</v>
      </c>
      <c r="AF56" s="207"/>
      <c r="AG56" s="209"/>
      <c r="AH56" s="208"/>
      <c r="AI56" s="207"/>
      <c r="AJ56" s="207"/>
      <c r="AK56" s="218" t="s">
        <v>199</v>
      </c>
      <c r="AL56" s="211" t="s">
        <v>200</v>
      </c>
      <c r="AM56" s="218"/>
      <c r="AN56" s="261"/>
      <c r="AO56" s="255"/>
      <c r="AP56" s="193"/>
      <c r="AQ56" s="256"/>
      <c r="AR56" s="264" t="s">
        <v>440</v>
      </c>
    </row>
    <row r="57" spans="1:44" s="34" customFormat="1" ht="409.5" x14ac:dyDescent="0.25">
      <c r="A57" s="231" t="s">
        <v>114</v>
      </c>
      <c r="B57" s="215" t="s">
        <v>174</v>
      </c>
      <c r="C57" s="215" t="s">
        <v>115</v>
      </c>
      <c r="D57" s="216" t="s">
        <v>217</v>
      </c>
      <c r="E57" s="216" t="s">
        <v>97</v>
      </c>
      <c r="F57" s="216" t="s">
        <v>185</v>
      </c>
      <c r="G57" s="216" t="s">
        <v>117</v>
      </c>
      <c r="H57" s="216" t="s">
        <v>186</v>
      </c>
      <c r="I57" s="216" t="s">
        <v>218</v>
      </c>
      <c r="J57" s="216" t="s">
        <v>219</v>
      </c>
      <c r="K57" s="216" t="s">
        <v>220</v>
      </c>
      <c r="L57" s="217"/>
      <c r="M57" s="217"/>
      <c r="N57" s="217"/>
      <c r="O57" s="217"/>
      <c r="P57" s="203">
        <f t="shared" si="1"/>
        <v>327800</v>
      </c>
      <c r="Q57" s="204">
        <f t="shared" si="2"/>
        <v>0</v>
      </c>
      <c r="R57" s="205">
        <f t="shared" si="3"/>
        <v>327800</v>
      </c>
      <c r="S57" s="205">
        <f t="shared" si="4"/>
        <v>0</v>
      </c>
      <c r="T57" s="205">
        <f t="shared" si="5"/>
        <v>0</v>
      </c>
      <c r="U57" s="206">
        <f t="shared" si="6"/>
        <v>0</v>
      </c>
      <c r="V57" s="281"/>
      <c r="W57" s="280"/>
      <c r="X57" s="224"/>
      <c r="Y57" s="281">
        <v>327800</v>
      </c>
      <c r="Z57" s="280"/>
      <c r="AA57" s="226"/>
      <c r="AB57" s="206"/>
      <c r="AC57" s="207"/>
      <c r="AD57" s="209"/>
      <c r="AE57" s="208"/>
      <c r="AF57" s="207"/>
      <c r="AG57" s="209"/>
      <c r="AH57" s="208"/>
      <c r="AI57" s="207"/>
      <c r="AJ57" s="207"/>
      <c r="AK57" s="218" t="s">
        <v>199</v>
      </c>
      <c r="AL57" s="211" t="s">
        <v>200</v>
      </c>
      <c r="AM57" s="218"/>
      <c r="AN57" s="261"/>
      <c r="AO57" s="255"/>
      <c r="AP57" s="193"/>
      <c r="AQ57" s="256"/>
      <c r="AR57" s="264" t="s">
        <v>440</v>
      </c>
    </row>
    <row r="58" spans="1:44" s="19" customFormat="1" ht="409.5" x14ac:dyDescent="0.25">
      <c r="A58" s="231" t="s">
        <v>114</v>
      </c>
      <c r="B58" s="215" t="s">
        <v>174</v>
      </c>
      <c r="C58" s="215" t="s">
        <v>115</v>
      </c>
      <c r="D58" s="216" t="s">
        <v>175</v>
      </c>
      <c r="E58" s="216" t="s">
        <v>97</v>
      </c>
      <c r="F58" s="216" t="s">
        <v>185</v>
      </c>
      <c r="G58" s="216" t="s">
        <v>117</v>
      </c>
      <c r="H58" s="216" t="s">
        <v>176</v>
      </c>
      <c r="I58" s="216" t="s">
        <v>222</v>
      </c>
      <c r="J58" s="216" t="s">
        <v>451</v>
      </c>
      <c r="K58" s="216" t="s">
        <v>452</v>
      </c>
      <c r="L58" s="217"/>
      <c r="M58" s="217"/>
      <c r="N58" s="217"/>
      <c r="O58" s="217"/>
      <c r="P58" s="203">
        <f t="shared" si="1"/>
        <v>833280</v>
      </c>
      <c r="Q58" s="204">
        <f t="shared" si="2"/>
        <v>0</v>
      </c>
      <c r="R58" s="205">
        <f t="shared" si="3"/>
        <v>583296</v>
      </c>
      <c r="S58" s="205">
        <f t="shared" si="4"/>
        <v>249984</v>
      </c>
      <c r="T58" s="205">
        <f t="shared" si="5"/>
        <v>0</v>
      </c>
      <c r="U58" s="206">
        <f t="shared" si="6"/>
        <v>0</v>
      </c>
      <c r="V58" s="281"/>
      <c r="W58" s="280"/>
      <c r="X58" s="224"/>
      <c r="Y58" s="281">
        <v>583296</v>
      </c>
      <c r="Z58" s="280"/>
      <c r="AA58" s="226"/>
      <c r="AB58" s="206">
        <v>249984</v>
      </c>
      <c r="AC58" s="207"/>
      <c r="AD58" s="209"/>
      <c r="AE58" s="208"/>
      <c r="AF58" s="207"/>
      <c r="AG58" s="209"/>
      <c r="AH58" s="208"/>
      <c r="AI58" s="207"/>
      <c r="AJ58" s="207"/>
      <c r="AK58" s="218" t="s">
        <v>199</v>
      </c>
      <c r="AL58" s="211" t="s">
        <v>200</v>
      </c>
      <c r="AM58" s="218"/>
      <c r="AN58" s="261"/>
      <c r="AO58" s="255"/>
      <c r="AP58" s="193"/>
      <c r="AQ58" s="256"/>
      <c r="AR58" s="264" t="s">
        <v>440</v>
      </c>
    </row>
    <row r="59" spans="1:44" s="34" customFormat="1" ht="409.5" x14ac:dyDescent="0.25">
      <c r="A59" s="231" t="s">
        <v>114</v>
      </c>
      <c r="B59" s="215" t="s">
        <v>174</v>
      </c>
      <c r="C59" s="215" t="s">
        <v>115</v>
      </c>
      <c r="D59" s="216" t="s">
        <v>175</v>
      </c>
      <c r="E59" s="216" t="s">
        <v>97</v>
      </c>
      <c r="F59" s="216" t="s">
        <v>108</v>
      </c>
      <c r="G59" s="216" t="s">
        <v>117</v>
      </c>
      <c r="H59" s="216" t="s">
        <v>176</v>
      </c>
      <c r="I59" s="216" t="s">
        <v>225</v>
      </c>
      <c r="J59" s="216" t="s">
        <v>453</v>
      </c>
      <c r="K59" s="216" t="s">
        <v>454</v>
      </c>
      <c r="L59" s="217"/>
      <c r="M59" s="217"/>
      <c r="N59" s="217"/>
      <c r="O59" s="217"/>
      <c r="P59" s="203">
        <f t="shared" si="1"/>
        <v>285353</v>
      </c>
      <c r="Q59" s="204">
        <f t="shared" si="2"/>
        <v>0</v>
      </c>
      <c r="R59" s="205">
        <f t="shared" si="3"/>
        <v>285353</v>
      </c>
      <c r="S59" s="205">
        <f t="shared" si="4"/>
        <v>0</v>
      </c>
      <c r="T59" s="205">
        <f t="shared" si="5"/>
        <v>0</v>
      </c>
      <c r="U59" s="206">
        <f t="shared" si="6"/>
        <v>0</v>
      </c>
      <c r="V59" s="281">
        <v>0</v>
      </c>
      <c r="W59" s="280"/>
      <c r="X59" s="224"/>
      <c r="Y59" s="281">
        <v>285353</v>
      </c>
      <c r="Z59" s="280"/>
      <c r="AA59" s="226"/>
      <c r="AB59" s="206"/>
      <c r="AC59" s="207"/>
      <c r="AD59" s="209"/>
      <c r="AE59" s="208"/>
      <c r="AF59" s="207"/>
      <c r="AG59" s="209"/>
      <c r="AH59" s="208"/>
      <c r="AI59" s="207"/>
      <c r="AJ59" s="207"/>
      <c r="AK59" s="218" t="s">
        <v>199</v>
      </c>
      <c r="AL59" s="211" t="s">
        <v>200</v>
      </c>
      <c r="AM59" s="218"/>
      <c r="AN59" s="261"/>
      <c r="AO59" s="255"/>
      <c r="AP59" s="193"/>
      <c r="AQ59" s="256"/>
      <c r="AR59" s="264" t="s">
        <v>440</v>
      </c>
    </row>
    <row r="60" spans="1:44" s="34" customFormat="1" ht="135" x14ac:dyDescent="0.25">
      <c r="A60" s="231" t="s">
        <v>114</v>
      </c>
      <c r="B60" s="215" t="s">
        <v>174</v>
      </c>
      <c r="C60" s="215" t="s">
        <v>115</v>
      </c>
      <c r="D60" s="216" t="s">
        <v>175</v>
      </c>
      <c r="E60" s="216" t="s">
        <v>97</v>
      </c>
      <c r="F60" s="216" t="s">
        <v>108</v>
      </c>
      <c r="G60" s="216" t="s">
        <v>117</v>
      </c>
      <c r="H60" s="216" t="s">
        <v>176</v>
      </c>
      <c r="I60" s="216"/>
      <c r="J60" s="216" t="s">
        <v>455</v>
      </c>
      <c r="K60" s="216" t="s">
        <v>456</v>
      </c>
      <c r="L60" s="217"/>
      <c r="M60" s="217"/>
      <c r="N60" s="217"/>
      <c r="O60" s="217"/>
      <c r="P60" s="203">
        <f t="shared" si="1"/>
        <v>372000</v>
      </c>
      <c r="Q60" s="204">
        <f t="shared" si="2"/>
        <v>0</v>
      </c>
      <c r="R60" s="205">
        <f t="shared" si="3"/>
        <v>0</v>
      </c>
      <c r="S60" s="205">
        <f t="shared" si="4"/>
        <v>372000</v>
      </c>
      <c r="T60" s="205">
        <f t="shared" si="5"/>
        <v>0</v>
      </c>
      <c r="U60" s="206">
        <f t="shared" si="6"/>
        <v>0</v>
      </c>
      <c r="V60" s="281"/>
      <c r="W60" s="280"/>
      <c r="X60" s="224"/>
      <c r="Y60" s="281"/>
      <c r="Z60" s="280"/>
      <c r="AA60" s="226"/>
      <c r="AB60" s="206">
        <v>372000</v>
      </c>
      <c r="AC60" s="207"/>
      <c r="AD60" s="209"/>
      <c r="AE60" s="208"/>
      <c r="AF60" s="207"/>
      <c r="AG60" s="209"/>
      <c r="AH60" s="208"/>
      <c r="AI60" s="207"/>
      <c r="AJ60" s="207"/>
      <c r="AK60" s="218" t="s">
        <v>199</v>
      </c>
      <c r="AL60" s="211" t="s">
        <v>200</v>
      </c>
      <c r="AM60" s="218"/>
      <c r="AN60" s="261"/>
      <c r="AO60" s="255"/>
      <c r="AP60" s="193"/>
      <c r="AQ60" s="256"/>
      <c r="AR60" s="264" t="s">
        <v>440</v>
      </c>
    </row>
    <row r="61" spans="1:44" s="34" customFormat="1" ht="105" x14ac:dyDescent="0.25">
      <c r="A61" s="231" t="s">
        <v>114</v>
      </c>
      <c r="B61" s="215" t="s">
        <v>174</v>
      </c>
      <c r="C61" s="215" t="s">
        <v>115</v>
      </c>
      <c r="D61" s="216" t="s">
        <v>175</v>
      </c>
      <c r="E61" s="216" t="s">
        <v>97</v>
      </c>
      <c r="F61" s="216" t="s">
        <v>108</v>
      </c>
      <c r="G61" s="216" t="s">
        <v>117</v>
      </c>
      <c r="H61" s="216" t="s">
        <v>176</v>
      </c>
      <c r="I61" s="216"/>
      <c r="J61" s="216" t="s">
        <v>457</v>
      </c>
      <c r="K61" s="216" t="s">
        <v>458</v>
      </c>
      <c r="L61" s="217"/>
      <c r="M61" s="217"/>
      <c r="N61" s="217"/>
      <c r="O61" s="217"/>
      <c r="P61" s="203">
        <f t="shared" si="1"/>
        <v>930457</v>
      </c>
      <c r="Q61" s="204">
        <f t="shared" si="2"/>
        <v>0</v>
      </c>
      <c r="R61" s="205">
        <f t="shared" si="3"/>
        <v>0</v>
      </c>
      <c r="S61" s="205">
        <f t="shared" si="4"/>
        <v>249906</v>
      </c>
      <c r="T61" s="205">
        <f t="shared" si="5"/>
        <v>680551</v>
      </c>
      <c r="U61" s="206">
        <f t="shared" si="6"/>
        <v>0</v>
      </c>
      <c r="V61" s="281"/>
      <c r="W61" s="280"/>
      <c r="X61" s="224"/>
      <c r="Y61" s="281"/>
      <c r="Z61" s="280"/>
      <c r="AA61" s="226"/>
      <c r="AB61" s="206">
        <v>249906</v>
      </c>
      <c r="AC61" s="207"/>
      <c r="AD61" s="209"/>
      <c r="AE61" s="208">
        <v>680551</v>
      </c>
      <c r="AF61" s="207"/>
      <c r="AG61" s="209"/>
      <c r="AH61" s="208"/>
      <c r="AI61" s="207"/>
      <c r="AJ61" s="207"/>
      <c r="AK61" s="218" t="s">
        <v>199</v>
      </c>
      <c r="AL61" s="211" t="s">
        <v>200</v>
      </c>
      <c r="AM61" s="218"/>
      <c r="AN61" s="261"/>
      <c r="AO61" s="255"/>
      <c r="AP61" s="193"/>
      <c r="AQ61" s="256"/>
      <c r="AR61" s="264" t="s">
        <v>440</v>
      </c>
    </row>
    <row r="62" spans="1:44" s="34" customFormat="1" ht="409.5" x14ac:dyDescent="0.25">
      <c r="A62" s="231" t="s">
        <v>114</v>
      </c>
      <c r="B62" s="215" t="s">
        <v>174</v>
      </c>
      <c r="C62" s="215" t="s">
        <v>115</v>
      </c>
      <c r="D62" s="216" t="s">
        <v>175</v>
      </c>
      <c r="E62" s="216" t="s">
        <v>97</v>
      </c>
      <c r="F62" s="216" t="s">
        <v>151</v>
      </c>
      <c r="G62" s="216" t="s">
        <v>117</v>
      </c>
      <c r="H62" s="216" t="s">
        <v>176</v>
      </c>
      <c r="I62" s="216" t="s">
        <v>229</v>
      </c>
      <c r="J62" s="216" t="s">
        <v>230</v>
      </c>
      <c r="K62" s="216" t="s">
        <v>459</v>
      </c>
      <c r="L62" s="217"/>
      <c r="M62" s="217"/>
      <c r="N62" s="217"/>
      <c r="O62" s="217"/>
      <c r="P62" s="203">
        <f t="shared" si="1"/>
        <v>1578877</v>
      </c>
      <c r="Q62" s="204">
        <f t="shared" si="2"/>
        <v>0</v>
      </c>
      <c r="R62" s="205">
        <f t="shared" si="3"/>
        <v>776032</v>
      </c>
      <c r="S62" s="205">
        <f t="shared" si="4"/>
        <v>802845</v>
      </c>
      <c r="T62" s="205">
        <f t="shared" si="5"/>
        <v>0</v>
      </c>
      <c r="U62" s="206">
        <f t="shared" si="6"/>
        <v>0</v>
      </c>
      <c r="V62" s="281">
        <v>0</v>
      </c>
      <c r="W62" s="280"/>
      <c r="X62" s="224"/>
      <c r="Y62" s="281">
        <v>776032</v>
      </c>
      <c r="Z62" s="280"/>
      <c r="AA62" s="226"/>
      <c r="AB62" s="206">
        <v>802845</v>
      </c>
      <c r="AC62" s="207"/>
      <c r="AD62" s="209"/>
      <c r="AE62" s="208"/>
      <c r="AF62" s="207"/>
      <c r="AG62" s="209"/>
      <c r="AH62" s="208"/>
      <c r="AI62" s="207"/>
      <c r="AJ62" s="207"/>
      <c r="AK62" s="218" t="s">
        <v>199</v>
      </c>
      <c r="AL62" s="211" t="s">
        <v>200</v>
      </c>
      <c r="AM62" s="218"/>
      <c r="AN62" s="261"/>
      <c r="AO62" s="255"/>
      <c r="AP62" s="193"/>
      <c r="AQ62" s="256"/>
      <c r="AR62" s="264" t="s">
        <v>460</v>
      </c>
    </row>
    <row r="63" spans="1:44" s="34" customFormat="1" ht="165" x14ac:dyDescent="0.25">
      <c r="A63" s="231" t="s">
        <v>114</v>
      </c>
      <c r="B63" s="215" t="s">
        <v>174</v>
      </c>
      <c r="C63" s="215" t="s">
        <v>115</v>
      </c>
      <c r="D63" s="216" t="s">
        <v>175</v>
      </c>
      <c r="E63" s="216" t="s">
        <v>97</v>
      </c>
      <c r="F63" s="216" t="s">
        <v>151</v>
      </c>
      <c r="G63" s="216" t="s">
        <v>117</v>
      </c>
      <c r="H63" s="216" t="s">
        <v>176</v>
      </c>
      <c r="I63" s="216" t="s">
        <v>232</v>
      </c>
      <c r="J63" s="216" t="s">
        <v>233</v>
      </c>
      <c r="K63" s="216" t="s">
        <v>234</v>
      </c>
      <c r="L63" s="217"/>
      <c r="M63" s="217"/>
      <c r="N63" s="217"/>
      <c r="O63" s="217"/>
      <c r="P63" s="203">
        <f t="shared" si="1"/>
        <v>858181</v>
      </c>
      <c r="Q63" s="204">
        <f t="shared" si="2"/>
        <v>0</v>
      </c>
      <c r="R63" s="205">
        <f t="shared" si="3"/>
        <v>0</v>
      </c>
      <c r="S63" s="205">
        <f t="shared" si="4"/>
        <v>79844</v>
      </c>
      <c r="T63" s="205">
        <f t="shared" si="5"/>
        <v>414893</v>
      </c>
      <c r="U63" s="206">
        <f t="shared" si="6"/>
        <v>363444</v>
      </c>
      <c r="V63" s="281"/>
      <c r="W63" s="280"/>
      <c r="X63" s="224"/>
      <c r="Y63" s="281"/>
      <c r="Z63" s="280"/>
      <c r="AA63" s="226"/>
      <c r="AB63" s="206">
        <v>79844</v>
      </c>
      <c r="AC63" s="207"/>
      <c r="AD63" s="209"/>
      <c r="AE63" s="208">
        <v>414893</v>
      </c>
      <c r="AF63" s="207"/>
      <c r="AG63" s="209"/>
      <c r="AH63" s="208">
        <v>363444</v>
      </c>
      <c r="AI63" s="207"/>
      <c r="AJ63" s="209"/>
      <c r="AK63" s="218" t="s">
        <v>199</v>
      </c>
      <c r="AL63" s="211" t="s">
        <v>200</v>
      </c>
      <c r="AM63" s="218"/>
      <c r="AN63" s="261"/>
      <c r="AO63" s="255"/>
      <c r="AP63" s="193"/>
      <c r="AQ63" s="256"/>
      <c r="AR63" s="264" t="s">
        <v>461</v>
      </c>
    </row>
    <row r="64" spans="1:44" s="19" customFormat="1" ht="180" x14ac:dyDescent="0.25">
      <c r="A64" s="231" t="s">
        <v>114</v>
      </c>
      <c r="B64" s="215" t="s">
        <v>174</v>
      </c>
      <c r="C64" s="215" t="s">
        <v>235</v>
      </c>
      <c r="D64" s="216" t="s">
        <v>175</v>
      </c>
      <c r="E64" s="216" t="s">
        <v>97</v>
      </c>
      <c r="F64" s="216" t="s">
        <v>151</v>
      </c>
      <c r="G64" s="216" t="s">
        <v>117</v>
      </c>
      <c r="H64" s="216" t="s">
        <v>176</v>
      </c>
      <c r="I64" s="216" t="s">
        <v>236</v>
      </c>
      <c r="J64" s="216" t="s">
        <v>237</v>
      </c>
      <c r="K64" s="216" t="s">
        <v>238</v>
      </c>
      <c r="L64" s="217"/>
      <c r="M64" s="217"/>
      <c r="N64" s="217"/>
      <c r="O64" s="217"/>
      <c r="P64" s="203">
        <f t="shared" si="1"/>
        <v>161214</v>
      </c>
      <c r="Q64" s="204">
        <f t="shared" si="2"/>
        <v>0</v>
      </c>
      <c r="R64" s="205">
        <f t="shared" si="3"/>
        <v>51510</v>
      </c>
      <c r="S64" s="205">
        <f t="shared" si="4"/>
        <v>53560</v>
      </c>
      <c r="T64" s="205">
        <f t="shared" si="5"/>
        <v>56144</v>
      </c>
      <c r="U64" s="206">
        <f t="shared" si="6"/>
        <v>0</v>
      </c>
      <c r="V64" s="281"/>
      <c r="W64" s="280"/>
      <c r="X64" s="224"/>
      <c r="Y64" s="281"/>
      <c r="Z64" s="280">
        <v>51510</v>
      </c>
      <c r="AA64" s="226">
        <v>0</v>
      </c>
      <c r="AB64" s="206"/>
      <c r="AC64" s="207">
        <v>53560</v>
      </c>
      <c r="AD64" s="209">
        <v>0</v>
      </c>
      <c r="AE64" s="208"/>
      <c r="AF64" s="207">
        <v>56144</v>
      </c>
      <c r="AG64" s="209"/>
      <c r="AH64" s="208"/>
      <c r="AI64" s="207"/>
      <c r="AJ64" s="207"/>
      <c r="AK64" s="218"/>
      <c r="AL64" s="211"/>
      <c r="AM64" s="218"/>
      <c r="AN64" s="261"/>
      <c r="AO64" s="255"/>
      <c r="AP64" s="193"/>
      <c r="AQ64" s="256"/>
      <c r="AR64" s="264" t="s">
        <v>421</v>
      </c>
    </row>
    <row r="65" spans="1:44" s="19" customFormat="1" ht="180" x14ac:dyDescent="0.25">
      <c r="A65" s="231" t="s">
        <v>114</v>
      </c>
      <c r="B65" s="215" t="s">
        <v>115</v>
      </c>
      <c r="C65" s="215" t="s">
        <v>115</v>
      </c>
      <c r="D65" s="216" t="s">
        <v>242</v>
      </c>
      <c r="E65" s="216" t="s">
        <v>97</v>
      </c>
      <c r="F65" s="216" t="s">
        <v>151</v>
      </c>
      <c r="G65" s="216" t="s">
        <v>117</v>
      </c>
      <c r="H65" s="216" t="s">
        <v>176</v>
      </c>
      <c r="I65" s="216" t="s">
        <v>243</v>
      </c>
      <c r="J65" s="216" t="s">
        <v>244</v>
      </c>
      <c r="K65" s="216" t="s">
        <v>245</v>
      </c>
      <c r="L65" s="217"/>
      <c r="M65" s="217"/>
      <c r="N65" s="217"/>
      <c r="O65" s="217"/>
      <c r="P65" s="203">
        <f t="shared" si="1"/>
        <v>245911</v>
      </c>
      <c r="Q65" s="204">
        <f t="shared" si="2"/>
        <v>0</v>
      </c>
      <c r="R65" s="205">
        <f t="shared" si="3"/>
        <v>78584</v>
      </c>
      <c r="S65" s="205">
        <f t="shared" si="4"/>
        <v>81669</v>
      </c>
      <c r="T65" s="205">
        <f t="shared" si="5"/>
        <v>85658</v>
      </c>
      <c r="U65" s="206">
        <f t="shared" si="6"/>
        <v>0</v>
      </c>
      <c r="V65" s="281"/>
      <c r="W65" s="280"/>
      <c r="X65" s="224"/>
      <c r="Y65" s="281"/>
      <c r="Z65" s="280">
        <v>78584</v>
      </c>
      <c r="AA65" s="226">
        <v>0</v>
      </c>
      <c r="AB65" s="206"/>
      <c r="AC65" s="207">
        <v>81669</v>
      </c>
      <c r="AD65" s="209">
        <v>0</v>
      </c>
      <c r="AE65" s="208"/>
      <c r="AF65" s="207">
        <v>85658</v>
      </c>
      <c r="AG65" s="209">
        <v>0</v>
      </c>
      <c r="AH65" s="208"/>
      <c r="AI65" s="207"/>
      <c r="AJ65" s="207"/>
      <c r="AK65" s="218"/>
      <c r="AL65" s="211"/>
      <c r="AM65" s="218"/>
      <c r="AN65" s="261"/>
      <c r="AO65" s="255"/>
      <c r="AP65" s="193"/>
      <c r="AQ65" s="256"/>
      <c r="AR65" s="264" t="s">
        <v>421</v>
      </c>
    </row>
    <row r="66" spans="1:44" s="19" customFormat="1" ht="375" x14ac:dyDescent="0.25">
      <c r="A66" s="231" t="s">
        <v>114</v>
      </c>
      <c r="B66" s="215" t="s">
        <v>174</v>
      </c>
      <c r="C66" s="215" t="s">
        <v>115</v>
      </c>
      <c r="D66" s="216" t="s">
        <v>175</v>
      </c>
      <c r="E66" s="216" t="s">
        <v>97</v>
      </c>
      <c r="F66" s="216" t="s">
        <v>185</v>
      </c>
      <c r="G66" s="216" t="s">
        <v>117</v>
      </c>
      <c r="H66" s="216" t="s">
        <v>176</v>
      </c>
      <c r="I66" s="216" t="s">
        <v>246</v>
      </c>
      <c r="J66" s="216" t="s">
        <v>247</v>
      </c>
      <c r="K66" s="216" t="s">
        <v>248</v>
      </c>
      <c r="L66" s="217"/>
      <c r="M66" s="217"/>
      <c r="N66" s="217"/>
      <c r="O66" s="217"/>
      <c r="P66" s="203">
        <f t="shared" si="1"/>
        <v>2955187</v>
      </c>
      <c r="Q66" s="204">
        <f t="shared" si="2"/>
        <v>398333</v>
      </c>
      <c r="R66" s="205">
        <f t="shared" si="3"/>
        <v>694630</v>
      </c>
      <c r="S66" s="205">
        <f t="shared" si="4"/>
        <v>751218</v>
      </c>
      <c r="T66" s="205">
        <f t="shared" si="5"/>
        <v>687738</v>
      </c>
      <c r="U66" s="206">
        <f t="shared" si="6"/>
        <v>423268</v>
      </c>
      <c r="V66" s="281"/>
      <c r="W66" s="280">
        <v>358049</v>
      </c>
      <c r="X66" s="224">
        <v>40284</v>
      </c>
      <c r="Y66" s="281"/>
      <c r="Z66" s="280">
        <v>630214</v>
      </c>
      <c r="AA66" s="226">
        <v>64416</v>
      </c>
      <c r="AB66" s="206"/>
      <c r="AC66" s="207">
        <v>692238</v>
      </c>
      <c r="AD66" s="209">
        <v>58980</v>
      </c>
      <c r="AE66" s="208"/>
      <c r="AF66" s="207">
        <v>632372</v>
      </c>
      <c r="AG66" s="209">
        <v>55366</v>
      </c>
      <c r="AH66" s="208"/>
      <c r="AI66" s="207">
        <v>388918</v>
      </c>
      <c r="AJ66" s="207">
        <v>34350</v>
      </c>
      <c r="AK66" s="218" t="s">
        <v>249</v>
      </c>
      <c r="AL66" s="211" t="s">
        <v>200</v>
      </c>
      <c r="AM66" s="260"/>
      <c r="AN66" s="261"/>
      <c r="AO66" s="255"/>
      <c r="AP66" s="193"/>
      <c r="AQ66" s="256"/>
      <c r="AR66" s="264" t="s">
        <v>462</v>
      </c>
    </row>
    <row r="67" spans="1:44" s="19" customFormat="1" ht="15.75" x14ac:dyDescent="0.25">
      <c r="A67" s="231" t="s">
        <v>253</v>
      </c>
      <c r="B67" s="215"/>
      <c r="C67" s="215"/>
      <c r="D67" s="216"/>
      <c r="E67" s="216"/>
      <c r="F67" s="216"/>
      <c r="G67" s="216"/>
      <c r="H67" s="216"/>
      <c r="I67" s="216"/>
      <c r="J67" s="215"/>
      <c r="K67" s="216"/>
      <c r="L67" s="217"/>
      <c r="M67" s="217"/>
      <c r="N67" s="216"/>
      <c r="O67" s="217"/>
      <c r="P67" s="203">
        <f t="shared" ref="P67:P96" si="7">SUM(Q67:U67)</f>
        <v>0</v>
      </c>
      <c r="Q67" s="204">
        <f t="shared" si="2"/>
        <v>0</v>
      </c>
      <c r="R67" s="205">
        <f t="shared" ref="R67:R96" si="8">SUM(Y67:AA67)</f>
        <v>0</v>
      </c>
      <c r="S67" s="205">
        <f t="shared" ref="S67:S96" si="9">SUM(AB67:AD67)</f>
        <v>0</v>
      </c>
      <c r="T67" s="205">
        <f t="shared" ref="T67:T96" si="10">SUM(AE67:AG67)</f>
        <v>0</v>
      </c>
      <c r="U67" s="206">
        <f t="shared" ref="U67:U96" si="11">SUM(AH67:AJ67)</f>
        <v>0</v>
      </c>
      <c r="V67" s="281"/>
      <c r="W67" s="280"/>
      <c r="X67" s="224"/>
      <c r="Y67" s="281"/>
      <c r="Z67" s="280"/>
      <c r="AA67" s="226"/>
      <c r="AB67" s="206"/>
      <c r="AC67" s="207"/>
      <c r="AD67" s="209"/>
      <c r="AE67" s="208"/>
      <c r="AF67" s="207"/>
      <c r="AG67" s="209"/>
      <c r="AH67" s="208"/>
      <c r="AI67" s="207"/>
      <c r="AJ67" s="207"/>
      <c r="AK67" s="218"/>
      <c r="AL67" s="211"/>
      <c r="AM67" s="260"/>
      <c r="AN67" s="261"/>
      <c r="AO67" s="255"/>
      <c r="AP67" s="193"/>
      <c r="AQ67" s="256"/>
      <c r="AR67" s="264"/>
    </row>
    <row r="68" spans="1:44" s="19" customFormat="1" ht="180" x14ac:dyDescent="0.25">
      <c r="A68" s="231" t="s">
        <v>114</v>
      </c>
      <c r="B68" s="215" t="s">
        <v>174</v>
      </c>
      <c r="C68" s="215" t="s">
        <v>115</v>
      </c>
      <c r="D68" s="216" t="s">
        <v>254</v>
      </c>
      <c r="E68" s="216" t="s">
        <v>255</v>
      </c>
      <c r="F68" s="216" t="s">
        <v>185</v>
      </c>
      <c r="G68" s="216" t="s">
        <v>117</v>
      </c>
      <c r="H68" s="220" t="s">
        <v>256</v>
      </c>
      <c r="I68" s="220" t="s">
        <v>257</v>
      </c>
      <c r="J68" s="221" t="s">
        <v>258</v>
      </c>
      <c r="K68" s="220" t="s">
        <v>463</v>
      </c>
      <c r="L68" s="219"/>
      <c r="M68" s="219"/>
      <c r="N68" s="219"/>
      <c r="O68" s="220"/>
      <c r="P68" s="203">
        <f t="shared" si="7"/>
        <v>236800</v>
      </c>
      <c r="Q68" s="204">
        <f t="shared" si="2"/>
        <v>0</v>
      </c>
      <c r="R68" s="205">
        <f t="shared" si="8"/>
        <v>236800</v>
      </c>
      <c r="S68" s="205">
        <f t="shared" si="9"/>
        <v>0</v>
      </c>
      <c r="T68" s="205">
        <f t="shared" si="10"/>
        <v>0</v>
      </c>
      <c r="U68" s="206">
        <f t="shared" si="11"/>
        <v>0</v>
      </c>
      <c r="V68" s="281">
        <v>0</v>
      </c>
      <c r="W68" s="280">
        <v>0</v>
      </c>
      <c r="X68" s="224">
        <v>0</v>
      </c>
      <c r="Y68" s="281">
        <v>236800</v>
      </c>
      <c r="Z68" s="280"/>
      <c r="AA68" s="226"/>
      <c r="AB68" s="223"/>
      <c r="AC68" s="224"/>
      <c r="AD68" s="226"/>
      <c r="AE68" s="225"/>
      <c r="AF68" s="224"/>
      <c r="AG68" s="226"/>
      <c r="AH68" s="225"/>
      <c r="AI68" s="224"/>
      <c r="AJ68" s="224"/>
      <c r="AK68" s="260"/>
      <c r="AL68" s="211" t="s">
        <v>200</v>
      </c>
      <c r="AM68" s="260"/>
      <c r="AN68" s="261"/>
      <c r="AO68" s="255"/>
      <c r="AP68" s="193"/>
      <c r="AQ68" s="256"/>
      <c r="AR68" s="264" t="s">
        <v>464</v>
      </c>
    </row>
    <row r="69" spans="1:44" s="19" customFormat="1" ht="409.5" x14ac:dyDescent="0.25">
      <c r="A69" s="231" t="s">
        <v>114</v>
      </c>
      <c r="B69" s="215" t="s">
        <v>174</v>
      </c>
      <c r="C69" s="215" t="s">
        <v>115</v>
      </c>
      <c r="D69" s="216" t="s">
        <v>254</v>
      </c>
      <c r="E69" s="216" t="s">
        <v>97</v>
      </c>
      <c r="F69" s="216" t="s">
        <v>185</v>
      </c>
      <c r="G69" s="216" t="s">
        <v>117</v>
      </c>
      <c r="H69" s="220" t="s">
        <v>263</v>
      </c>
      <c r="I69" s="220" t="s">
        <v>264</v>
      </c>
      <c r="J69" s="221" t="s">
        <v>265</v>
      </c>
      <c r="K69" s="220" t="s">
        <v>465</v>
      </c>
      <c r="L69" s="219"/>
      <c r="M69" s="219"/>
      <c r="N69" s="219"/>
      <c r="O69" s="220"/>
      <c r="P69" s="203">
        <f t="shared" si="7"/>
        <v>493800</v>
      </c>
      <c r="Q69" s="204">
        <f t="shared" si="2"/>
        <v>0</v>
      </c>
      <c r="R69" s="205">
        <f t="shared" si="8"/>
        <v>493800</v>
      </c>
      <c r="S69" s="205">
        <f t="shared" si="9"/>
        <v>0</v>
      </c>
      <c r="T69" s="205">
        <f t="shared" si="10"/>
        <v>0</v>
      </c>
      <c r="U69" s="206">
        <f t="shared" si="11"/>
        <v>0</v>
      </c>
      <c r="V69" s="281">
        <v>0</v>
      </c>
      <c r="W69" s="280">
        <v>0</v>
      </c>
      <c r="X69" s="224">
        <v>0</v>
      </c>
      <c r="Y69" s="281">
        <v>493800</v>
      </c>
      <c r="Z69" s="280"/>
      <c r="AA69" s="226"/>
      <c r="AB69" s="223"/>
      <c r="AC69" s="224"/>
      <c r="AD69" s="226"/>
      <c r="AE69" s="225"/>
      <c r="AF69" s="224"/>
      <c r="AG69" s="226"/>
      <c r="AH69" s="225"/>
      <c r="AI69" s="224"/>
      <c r="AJ69" s="224"/>
      <c r="AK69" s="260"/>
      <c r="AL69" s="211" t="s">
        <v>200</v>
      </c>
      <c r="AM69" s="260"/>
      <c r="AN69" s="261"/>
      <c r="AO69" s="255"/>
      <c r="AP69" s="193"/>
      <c r="AQ69" s="256"/>
      <c r="AR69" s="264" t="s">
        <v>464</v>
      </c>
    </row>
    <row r="70" spans="1:44" s="34" customFormat="1" ht="75" x14ac:dyDescent="0.25">
      <c r="A70" s="231" t="s">
        <v>114</v>
      </c>
      <c r="B70" s="215" t="s">
        <v>174</v>
      </c>
      <c r="C70" s="215" t="s">
        <v>174</v>
      </c>
      <c r="D70" s="216" t="s">
        <v>254</v>
      </c>
      <c r="E70" s="216"/>
      <c r="F70" s="216" t="s">
        <v>108</v>
      </c>
      <c r="G70" s="216" t="s">
        <v>99</v>
      </c>
      <c r="H70" s="216"/>
      <c r="I70" s="216" t="s">
        <v>269</v>
      </c>
      <c r="J70" s="230" t="s">
        <v>270</v>
      </c>
      <c r="K70" s="216" t="s">
        <v>466</v>
      </c>
      <c r="L70" s="217"/>
      <c r="M70" s="217"/>
      <c r="N70" s="216"/>
      <c r="O70" s="217"/>
      <c r="P70" s="203">
        <f t="shared" si="7"/>
        <v>85188</v>
      </c>
      <c r="Q70" s="204">
        <f t="shared" si="2"/>
        <v>0</v>
      </c>
      <c r="R70" s="205">
        <f t="shared" si="8"/>
        <v>28396</v>
      </c>
      <c r="S70" s="205">
        <f t="shared" si="9"/>
        <v>28396</v>
      </c>
      <c r="T70" s="205">
        <f t="shared" si="10"/>
        <v>28396</v>
      </c>
      <c r="U70" s="206">
        <f t="shared" si="11"/>
        <v>0</v>
      </c>
      <c r="V70" s="281">
        <v>0</v>
      </c>
      <c r="W70" s="280">
        <v>0</v>
      </c>
      <c r="X70" s="224">
        <v>0</v>
      </c>
      <c r="Y70" s="281">
        <v>0</v>
      </c>
      <c r="Z70" s="280">
        <v>27496</v>
      </c>
      <c r="AA70" s="226">
        <v>900</v>
      </c>
      <c r="AB70" s="206">
        <v>0</v>
      </c>
      <c r="AC70" s="207">
        <v>27496</v>
      </c>
      <c r="AD70" s="209">
        <v>900</v>
      </c>
      <c r="AE70" s="208">
        <v>0</v>
      </c>
      <c r="AF70" s="207">
        <v>27496</v>
      </c>
      <c r="AG70" s="209">
        <v>900</v>
      </c>
      <c r="AH70" s="208"/>
      <c r="AI70" s="207"/>
      <c r="AJ70" s="207"/>
      <c r="AK70" s="218"/>
      <c r="AL70" s="211"/>
      <c r="AM70" s="218"/>
      <c r="AN70" s="261"/>
      <c r="AO70" s="255"/>
      <c r="AP70" s="193"/>
      <c r="AQ70" s="256"/>
      <c r="AR70" s="264" t="s">
        <v>467</v>
      </c>
    </row>
    <row r="71" spans="1:44" s="34" customFormat="1" ht="180" x14ac:dyDescent="0.25">
      <c r="A71" s="231" t="s">
        <v>114</v>
      </c>
      <c r="B71" s="215" t="s">
        <v>174</v>
      </c>
      <c r="C71" s="215" t="s">
        <v>115</v>
      </c>
      <c r="D71" s="216" t="s">
        <v>254</v>
      </c>
      <c r="E71" s="216" t="s">
        <v>97</v>
      </c>
      <c r="F71" s="216" t="s">
        <v>98</v>
      </c>
      <c r="G71" s="216" t="s">
        <v>117</v>
      </c>
      <c r="H71" s="216" t="s">
        <v>273</v>
      </c>
      <c r="I71" s="216" t="s">
        <v>274</v>
      </c>
      <c r="J71" s="216" t="s">
        <v>275</v>
      </c>
      <c r="K71" s="216" t="s">
        <v>468</v>
      </c>
      <c r="L71" s="217"/>
      <c r="M71" s="217"/>
      <c r="N71" s="216"/>
      <c r="O71" s="217"/>
      <c r="P71" s="203">
        <f t="shared" si="7"/>
        <v>313600</v>
      </c>
      <c r="Q71" s="204">
        <f t="shared" si="2"/>
        <v>0</v>
      </c>
      <c r="R71" s="205">
        <f t="shared" si="8"/>
        <v>0</v>
      </c>
      <c r="S71" s="205">
        <f t="shared" si="9"/>
        <v>313600</v>
      </c>
      <c r="T71" s="205">
        <f t="shared" si="10"/>
        <v>0</v>
      </c>
      <c r="U71" s="206">
        <f t="shared" si="11"/>
        <v>0</v>
      </c>
      <c r="V71" s="281">
        <v>0</v>
      </c>
      <c r="W71" s="280">
        <v>0</v>
      </c>
      <c r="X71" s="224">
        <v>0</v>
      </c>
      <c r="Y71" s="281">
        <v>0</v>
      </c>
      <c r="Z71" s="280">
        <v>0</v>
      </c>
      <c r="AA71" s="226">
        <v>0</v>
      </c>
      <c r="AB71" s="206">
        <v>313600</v>
      </c>
      <c r="AC71" s="207"/>
      <c r="AD71" s="209"/>
      <c r="AE71" s="208"/>
      <c r="AF71" s="207"/>
      <c r="AG71" s="209"/>
      <c r="AH71" s="208"/>
      <c r="AI71" s="207"/>
      <c r="AJ71" s="209"/>
      <c r="AK71" s="218"/>
      <c r="AL71" s="211" t="s">
        <v>200</v>
      </c>
      <c r="AM71" s="218"/>
      <c r="AN71" s="261"/>
      <c r="AO71" s="255"/>
      <c r="AP71" s="193"/>
      <c r="AQ71" s="256"/>
      <c r="AR71" s="264" t="s">
        <v>464</v>
      </c>
    </row>
    <row r="72" spans="1:44" s="19" customFormat="1" ht="195" x14ac:dyDescent="0.25">
      <c r="A72" s="231" t="s">
        <v>114</v>
      </c>
      <c r="B72" s="215" t="s">
        <v>174</v>
      </c>
      <c r="C72" s="215" t="s">
        <v>115</v>
      </c>
      <c r="D72" s="216" t="s">
        <v>254</v>
      </c>
      <c r="E72" s="216" t="s">
        <v>97</v>
      </c>
      <c r="F72" s="220" t="s">
        <v>151</v>
      </c>
      <c r="G72" s="220" t="s">
        <v>117</v>
      </c>
      <c r="H72" s="220" t="s">
        <v>256</v>
      </c>
      <c r="I72" s="221" t="s">
        <v>277</v>
      </c>
      <c r="J72" s="221" t="s">
        <v>278</v>
      </c>
      <c r="K72" s="221" t="s">
        <v>279</v>
      </c>
      <c r="L72" s="219"/>
      <c r="M72" s="219"/>
      <c r="N72" s="219"/>
      <c r="O72" s="217"/>
      <c r="P72" s="203">
        <f t="shared" si="7"/>
        <v>107680</v>
      </c>
      <c r="Q72" s="204">
        <f t="shared" si="2"/>
        <v>0</v>
      </c>
      <c r="R72" s="205">
        <f t="shared" si="8"/>
        <v>0</v>
      </c>
      <c r="S72" s="205">
        <f t="shared" si="9"/>
        <v>107680</v>
      </c>
      <c r="T72" s="205">
        <f t="shared" si="10"/>
        <v>0</v>
      </c>
      <c r="U72" s="206">
        <f t="shared" si="11"/>
        <v>0</v>
      </c>
      <c r="V72" s="281">
        <v>0</v>
      </c>
      <c r="W72" s="280"/>
      <c r="X72" s="224"/>
      <c r="Y72" s="281">
        <v>0</v>
      </c>
      <c r="Z72" s="280"/>
      <c r="AA72" s="226"/>
      <c r="AB72" s="405">
        <v>107680</v>
      </c>
      <c r="AC72" s="406"/>
      <c r="AD72" s="407"/>
      <c r="AE72" s="408"/>
      <c r="AF72" s="406"/>
      <c r="AG72" s="407"/>
      <c r="AH72" s="408"/>
      <c r="AI72" s="406"/>
      <c r="AJ72" s="407"/>
      <c r="AK72" s="260"/>
      <c r="AL72" s="211" t="s">
        <v>200</v>
      </c>
      <c r="AM72" s="260"/>
      <c r="AN72" s="261"/>
      <c r="AO72" s="255"/>
      <c r="AP72" s="193"/>
      <c r="AQ72" s="256"/>
      <c r="AR72" s="264" t="s">
        <v>464</v>
      </c>
    </row>
    <row r="73" spans="1:44" s="19" customFormat="1" ht="180" x14ac:dyDescent="0.25">
      <c r="A73" s="231" t="s">
        <v>114</v>
      </c>
      <c r="B73" s="215" t="s">
        <v>174</v>
      </c>
      <c r="C73" s="215" t="s">
        <v>115</v>
      </c>
      <c r="D73" s="216" t="s">
        <v>254</v>
      </c>
      <c r="E73" s="216" t="s">
        <v>97</v>
      </c>
      <c r="F73" s="220" t="s">
        <v>151</v>
      </c>
      <c r="G73" s="220" t="s">
        <v>117</v>
      </c>
      <c r="H73" s="220" t="s">
        <v>256</v>
      </c>
      <c r="I73" s="221" t="s">
        <v>280</v>
      </c>
      <c r="J73" s="221" t="s">
        <v>281</v>
      </c>
      <c r="K73" s="221" t="s">
        <v>282</v>
      </c>
      <c r="L73" s="219"/>
      <c r="M73" s="219"/>
      <c r="N73" s="219"/>
      <c r="O73" s="217"/>
      <c r="P73" s="203">
        <f t="shared" si="7"/>
        <v>183600</v>
      </c>
      <c r="Q73" s="204">
        <f t="shared" si="2"/>
        <v>0</v>
      </c>
      <c r="R73" s="205">
        <f t="shared" si="8"/>
        <v>183600</v>
      </c>
      <c r="S73" s="205">
        <f t="shared" si="9"/>
        <v>0</v>
      </c>
      <c r="T73" s="205">
        <f t="shared" si="10"/>
        <v>0</v>
      </c>
      <c r="U73" s="206">
        <f t="shared" si="11"/>
        <v>0</v>
      </c>
      <c r="V73" s="281">
        <v>0</v>
      </c>
      <c r="W73" s="280"/>
      <c r="X73" s="224"/>
      <c r="Y73" s="281">
        <v>183600</v>
      </c>
      <c r="Z73" s="280"/>
      <c r="AA73" s="226"/>
      <c r="AB73" s="223"/>
      <c r="AC73" s="224"/>
      <c r="AD73" s="226"/>
      <c r="AE73" s="223"/>
      <c r="AF73" s="224"/>
      <c r="AG73" s="226"/>
      <c r="AH73" s="223"/>
      <c r="AI73" s="224"/>
      <c r="AJ73" s="226"/>
      <c r="AK73" s="260"/>
      <c r="AL73" s="211" t="s">
        <v>200</v>
      </c>
      <c r="AM73" s="260"/>
      <c r="AN73" s="261"/>
      <c r="AO73" s="255"/>
      <c r="AP73" s="193"/>
      <c r="AQ73" s="256"/>
      <c r="AR73" s="264" t="s">
        <v>464</v>
      </c>
    </row>
    <row r="74" spans="1:44" s="19" customFormat="1" ht="180" x14ac:dyDescent="0.25">
      <c r="A74" s="231" t="s">
        <v>114</v>
      </c>
      <c r="B74" s="215" t="s">
        <v>174</v>
      </c>
      <c r="C74" s="215" t="s">
        <v>115</v>
      </c>
      <c r="D74" s="216" t="s">
        <v>254</v>
      </c>
      <c r="E74" s="216" t="s">
        <v>97</v>
      </c>
      <c r="F74" s="220" t="s">
        <v>151</v>
      </c>
      <c r="G74" s="220" t="s">
        <v>117</v>
      </c>
      <c r="H74" s="220" t="s">
        <v>256</v>
      </c>
      <c r="I74" s="221" t="s">
        <v>283</v>
      </c>
      <c r="J74" s="221" t="s">
        <v>284</v>
      </c>
      <c r="K74" s="221" t="s">
        <v>285</v>
      </c>
      <c r="L74" s="219"/>
      <c r="M74" s="219"/>
      <c r="N74" s="219"/>
      <c r="O74" s="217"/>
      <c r="P74" s="203">
        <f t="shared" si="7"/>
        <v>64000</v>
      </c>
      <c r="Q74" s="204">
        <f t="shared" si="2"/>
        <v>0</v>
      </c>
      <c r="R74" s="205">
        <f t="shared" si="8"/>
        <v>0</v>
      </c>
      <c r="S74" s="205">
        <f t="shared" si="9"/>
        <v>64000</v>
      </c>
      <c r="T74" s="205">
        <f t="shared" si="10"/>
        <v>0</v>
      </c>
      <c r="U74" s="206">
        <f t="shared" si="11"/>
        <v>0</v>
      </c>
      <c r="V74" s="281"/>
      <c r="W74" s="280"/>
      <c r="X74" s="224"/>
      <c r="Y74" s="281"/>
      <c r="Z74" s="280"/>
      <c r="AA74" s="226"/>
      <c r="AB74" s="223">
        <v>0</v>
      </c>
      <c r="AC74" s="224">
        <v>64000</v>
      </c>
      <c r="AD74" s="226"/>
      <c r="AE74" s="223"/>
      <c r="AF74" s="224"/>
      <c r="AG74" s="226"/>
      <c r="AH74" s="223"/>
      <c r="AI74" s="224"/>
      <c r="AJ74" s="226"/>
      <c r="AK74" s="260"/>
      <c r="AL74" s="211" t="s">
        <v>200</v>
      </c>
      <c r="AM74" s="260"/>
      <c r="AN74" s="261"/>
      <c r="AO74" s="255"/>
      <c r="AP74" s="193"/>
      <c r="AQ74" s="256"/>
      <c r="AR74" s="264" t="s">
        <v>464</v>
      </c>
    </row>
    <row r="75" spans="1:44" s="19" customFormat="1" ht="210" x14ac:dyDescent="0.25">
      <c r="A75" s="231" t="s">
        <v>114</v>
      </c>
      <c r="B75" s="215" t="s">
        <v>174</v>
      </c>
      <c r="C75" s="215" t="s">
        <v>115</v>
      </c>
      <c r="D75" s="216" t="s">
        <v>254</v>
      </c>
      <c r="E75" s="216" t="s">
        <v>97</v>
      </c>
      <c r="F75" s="220" t="s">
        <v>98</v>
      </c>
      <c r="G75" s="220" t="s">
        <v>117</v>
      </c>
      <c r="H75" s="220" t="s">
        <v>256</v>
      </c>
      <c r="I75" s="221" t="s">
        <v>286</v>
      </c>
      <c r="J75" s="221" t="s">
        <v>287</v>
      </c>
      <c r="K75" s="221" t="s">
        <v>469</v>
      </c>
      <c r="L75" s="219"/>
      <c r="M75" s="219"/>
      <c r="N75" s="219"/>
      <c r="O75" s="217"/>
      <c r="P75" s="203">
        <f t="shared" si="7"/>
        <v>679200</v>
      </c>
      <c r="Q75" s="204">
        <f t="shared" si="2"/>
        <v>0</v>
      </c>
      <c r="R75" s="205">
        <f t="shared" si="8"/>
        <v>0</v>
      </c>
      <c r="S75" s="205">
        <f t="shared" si="9"/>
        <v>71200</v>
      </c>
      <c r="T75" s="205">
        <f t="shared" si="10"/>
        <v>608000</v>
      </c>
      <c r="U75" s="206">
        <f t="shared" si="11"/>
        <v>0</v>
      </c>
      <c r="V75" s="281">
        <v>0</v>
      </c>
      <c r="W75" s="280"/>
      <c r="X75" s="224"/>
      <c r="Y75" s="281">
        <v>0</v>
      </c>
      <c r="Z75" s="280"/>
      <c r="AA75" s="226"/>
      <c r="AB75" s="223">
        <v>71200</v>
      </c>
      <c r="AC75" s="224"/>
      <c r="AD75" s="226"/>
      <c r="AE75" s="223">
        <v>608000</v>
      </c>
      <c r="AF75" s="224"/>
      <c r="AG75" s="226"/>
      <c r="AH75" s="223"/>
      <c r="AI75" s="224"/>
      <c r="AJ75" s="226"/>
      <c r="AK75" s="260"/>
      <c r="AL75" s="211" t="s">
        <v>200</v>
      </c>
      <c r="AM75" s="260"/>
      <c r="AN75" s="261"/>
      <c r="AO75" s="255"/>
      <c r="AP75" s="193"/>
      <c r="AQ75" s="256"/>
      <c r="AR75" s="264" t="s">
        <v>464</v>
      </c>
    </row>
    <row r="76" spans="1:44" s="19" customFormat="1" ht="225" x14ac:dyDescent="0.25">
      <c r="A76" s="231" t="s">
        <v>114</v>
      </c>
      <c r="B76" s="215" t="s">
        <v>174</v>
      </c>
      <c r="C76" s="215" t="s">
        <v>115</v>
      </c>
      <c r="D76" s="216" t="s">
        <v>254</v>
      </c>
      <c r="E76" s="216" t="s">
        <v>97</v>
      </c>
      <c r="F76" s="220" t="s">
        <v>151</v>
      </c>
      <c r="G76" s="220" t="s">
        <v>117</v>
      </c>
      <c r="H76" s="220" t="s">
        <v>256</v>
      </c>
      <c r="I76" s="221" t="s">
        <v>289</v>
      </c>
      <c r="J76" s="221" t="s">
        <v>290</v>
      </c>
      <c r="K76" s="221" t="s">
        <v>291</v>
      </c>
      <c r="L76" s="219"/>
      <c r="M76" s="219"/>
      <c r="N76" s="219"/>
      <c r="O76" s="217"/>
      <c r="P76" s="203">
        <f t="shared" si="7"/>
        <v>345600</v>
      </c>
      <c r="Q76" s="204">
        <f t="shared" si="2"/>
        <v>0</v>
      </c>
      <c r="R76" s="205">
        <f t="shared" si="8"/>
        <v>0</v>
      </c>
      <c r="S76" s="205">
        <f t="shared" si="9"/>
        <v>185600</v>
      </c>
      <c r="T76" s="205">
        <f t="shared" si="10"/>
        <v>160000</v>
      </c>
      <c r="U76" s="206">
        <f t="shared" si="11"/>
        <v>0</v>
      </c>
      <c r="V76" s="281">
        <v>0</v>
      </c>
      <c r="W76" s="280"/>
      <c r="X76" s="224"/>
      <c r="Y76" s="281">
        <v>0</v>
      </c>
      <c r="Z76" s="280"/>
      <c r="AA76" s="226"/>
      <c r="AB76" s="223">
        <v>185600</v>
      </c>
      <c r="AC76" s="224"/>
      <c r="AD76" s="226"/>
      <c r="AE76" s="223">
        <v>160000</v>
      </c>
      <c r="AF76" s="224"/>
      <c r="AG76" s="226"/>
      <c r="AH76" s="223"/>
      <c r="AI76" s="224"/>
      <c r="AJ76" s="226"/>
      <c r="AK76" s="260"/>
      <c r="AL76" s="211" t="s">
        <v>200</v>
      </c>
      <c r="AM76" s="260"/>
      <c r="AN76" s="261"/>
      <c r="AO76" s="255"/>
      <c r="AP76" s="193"/>
      <c r="AQ76" s="256"/>
      <c r="AR76" s="264" t="s">
        <v>464</v>
      </c>
    </row>
    <row r="77" spans="1:44" s="19" customFormat="1" ht="180" x14ac:dyDescent="0.25">
      <c r="A77" s="231" t="s">
        <v>114</v>
      </c>
      <c r="B77" s="215" t="s">
        <v>174</v>
      </c>
      <c r="C77" s="215" t="s">
        <v>115</v>
      </c>
      <c r="D77" s="216" t="s">
        <v>254</v>
      </c>
      <c r="E77" s="216" t="s">
        <v>97</v>
      </c>
      <c r="F77" s="220" t="s">
        <v>185</v>
      </c>
      <c r="G77" s="220" t="s">
        <v>117</v>
      </c>
      <c r="H77" s="220" t="s">
        <v>256</v>
      </c>
      <c r="I77" s="221" t="s">
        <v>292</v>
      </c>
      <c r="J77" s="221" t="s">
        <v>293</v>
      </c>
      <c r="K77" s="221" t="s">
        <v>294</v>
      </c>
      <c r="L77" s="219"/>
      <c r="M77" s="219"/>
      <c r="N77" s="219"/>
      <c r="O77" s="217"/>
      <c r="P77" s="203">
        <f t="shared" si="7"/>
        <v>2417686</v>
      </c>
      <c r="Q77" s="204">
        <f t="shared" si="2"/>
        <v>200126</v>
      </c>
      <c r="R77" s="205">
        <f t="shared" si="8"/>
        <v>527431</v>
      </c>
      <c r="S77" s="205">
        <f t="shared" si="9"/>
        <v>528199</v>
      </c>
      <c r="T77" s="205">
        <f t="shared" si="10"/>
        <v>484334</v>
      </c>
      <c r="U77" s="206">
        <f t="shared" si="11"/>
        <v>677596</v>
      </c>
      <c r="V77" s="281">
        <v>0</v>
      </c>
      <c r="W77" s="280">
        <v>170286</v>
      </c>
      <c r="X77" s="224">
        <v>29840</v>
      </c>
      <c r="Y77" s="281">
        <v>0</v>
      </c>
      <c r="Z77" s="280">
        <v>476203</v>
      </c>
      <c r="AA77" s="226">
        <v>51228</v>
      </c>
      <c r="AB77" s="405">
        <v>0</v>
      </c>
      <c r="AC77" s="406">
        <v>476203</v>
      </c>
      <c r="AD77" s="407">
        <v>51996</v>
      </c>
      <c r="AE77" s="408">
        <v>0</v>
      </c>
      <c r="AF77" s="406">
        <v>421211</v>
      </c>
      <c r="AG77" s="407">
        <v>63123</v>
      </c>
      <c r="AH77" s="408">
        <v>0</v>
      </c>
      <c r="AI77" s="406">
        <v>613211</v>
      </c>
      <c r="AJ77" s="407">
        <v>64385</v>
      </c>
      <c r="AK77" s="260"/>
      <c r="AL77" s="211" t="s">
        <v>295</v>
      </c>
      <c r="AM77" s="260"/>
      <c r="AN77" s="261"/>
      <c r="AO77" s="255"/>
      <c r="AP77" s="193"/>
      <c r="AQ77" s="256"/>
      <c r="AR77" s="264" t="s">
        <v>464</v>
      </c>
    </row>
    <row r="78" spans="1:44" s="19" customFormat="1" ht="180" x14ac:dyDescent="0.25">
      <c r="A78" s="231" t="s">
        <v>114</v>
      </c>
      <c r="B78" s="215" t="s">
        <v>298</v>
      </c>
      <c r="C78" s="215" t="s">
        <v>115</v>
      </c>
      <c r="D78" s="216" t="s">
        <v>299</v>
      </c>
      <c r="E78" s="216" t="s">
        <v>97</v>
      </c>
      <c r="F78" s="220" t="s">
        <v>185</v>
      </c>
      <c r="G78" s="220" t="s">
        <v>117</v>
      </c>
      <c r="H78" s="220" t="s">
        <v>300</v>
      </c>
      <c r="I78" s="221" t="s">
        <v>301</v>
      </c>
      <c r="J78" s="221" t="s">
        <v>470</v>
      </c>
      <c r="K78" s="221" t="s">
        <v>471</v>
      </c>
      <c r="L78" s="219"/>
      <c r="M78" s="219"/>
      <c r="N78" s="219"/>
      <c r="O78" s="217"/>
      <c r="P78" s="203">
        <f t="shared" si="7"/>
        <v>1387500</v>
      </c>
      <c r="Q78" s="204">
        <f t="shared" si="2"/>
        <v>0</v>
      </c>
      <c r="R78" s="205">
        <f t="shared" si="8"/>
        <v>0</v>
      </c>
      <c r="S78" s="205">
        <f t="shared" si="9"/>
        <v>0</v>
      </c>
      <c r="T78" s="205">
        <f t="shared" si="10"/>
        <v>462500</v>
      </c>
      <c r="U78" s="206">
        <f t="shared" si="11"/>
        <v>925000</v>
      </c>
      <c r="V78" s="281"/>
      <c r="W78" s="280"/>
      <c r="X78" s="224"/>
      <c r="Y78" s="281">
        <v>0</v>
      </c>
      <c r="Z78" s="280"/>
      <c r="AA78" s="226"/>
      <c r="AB78" s="405">
        <v>0</v>
      </c>
      <c r="AC78" s="406"/>
      <c r="AD78" s="407"/>
      <c r="AE78" s="408">
        <v>462500</v>
      </c>
      <c r="AF78" s="406"/>
      <c r="AG78" s="407"/>
      <c r="AH78" s="408">
        <v>925000</v>
      </c>
      <c r="AI78" s="406"/>
      <c r="AJ78" s="407"/>
      <c r="AK78" s="260"/>
      <c r="AL78" s="211" t="s">
        <v>306</v>
      </c>
      <c r="AM78" s="260"/>
      <c r="AN78" s="261"/>
      <c r="AO78" s="255"/>
      <c r="AP78" s="193"/>
      <c r="AQ78" s="256"/>
      <c r="AR78" s="264" t="s">
        <v>464</v>
      </c>
    </row>
    <row r="79" spans="1:44" s="19" customFormat="1" ht="195" x14ac:dyDescent="0.25">
      <c r="A79" s="231" t="s">
        <v>114</v>
      </c>
      <c r="B79" s="215" t="s">
        <v>298</v>
      </c>
      <c r="C79" s="215" t="s">
        <v>115</v>
      </c>
      <c r="D79" s="216" t="s">
        <v>299</v>
      </c>
      <c r="E79" s="216" t="s">
        <v>97</v>
      </c>
      <c r="F79" s="220" t="s">
        <v>185</v>
      </c>
      <c r="G79" s="220" t="s">
        <v>117</v>
      </c>
      <c r="H79" s="220" t="s">
        <v>300</v>
      </c>
      <c r="I79" s="221" t="s">
        <v>301</v>
      </c>
      <c r="J79" s="221" t="s">
        <v>472</v>
      </c>
      <c r="K79" s="221" t="s">
        <v>473</v>
      </c>
      <c r="L79" s="219"/>
      <c r="M79" s="219"/>
      <c r="N79" s="219"/>
      <c r="O79" s="217"/>
      <c r="P79" s="203">
        <f t="shared" si="7"/>
        <v>1312500</v>
      </c>
      <c r="Q79" s="204">
        <f t="shared" si="2"/>
        <v>0</v>
      </c>
      <c r="R79" s="205">
        <f t="shared" si="8"/>
        <v>393750</v>
      </c>
      <c r="S79" s="205">
        <f t="shared" si="9"/>
        <v>787500</v>
      </c>
      <c r="T79" s="205">
        <f t="shared" si="10"/>
        <v>131250</v>
      </c>
      <c r="U79" s="206">
        <f t="shared" si="11"/>
        <v>0</v>
      </c>
      <c r="V79" s="281"/>
      <c r="W79" s="280"/>
      <c r="X79" s="224"/>
      <c r="Y79" s="281">
        <v>393750</v>
      </c>
      <c r="Z79" s="280"/>
      <c r="AA79" s="226"/>
      <c r="AB79" s="405">
        <v>787500</v>
      </c>
      <c r="AC79" s="406"/>
      <c r="AD79" s="407"/>
      <c r="AE79" s="408">
        <v>131250</v>
      </c>
      <c r="AF79" s="406"/>
      <c r="AG79" s="407"/>
      <c r="AH79" s="408"/>
      <c r="AI79" s="406"/>
      <c r="AJ79" s="407"/>
      <c r="AK79" s="260"/>
      <c r="AL79" s="211" t="s">
        <v>306</v>
      </c>
      <c r="AM79" s="260"/>
      <c r="AN79" s="261"/>
      <c r="AO79" s="255"/>
      <c r="AP79" s="193"/>
      <c r="AQ79" s="256"/>
      <c r="AR79" s="264" t="s">
        <v>474</v>
      </c>
    </row>
    <row r="80" spans="1:44" s="19" customFormat="1" ht="105" x14ac:dyDescent="0.25">
      <c r="A80" s="231" t="s">
        <v>114</v>
      </c>
      <c r="B80" s="215" t="s">
        <v>298</v>
      </c>
      <c r="C80" s="215" t="s">
        <v>115</v>
      </c>
      <c r="D80" s="216" t="s">
        <v>299</v>
      </c>
      <c r="E80" s="216" t="s">
        <v>97</v>
      </c>
      <c r="F80" s="220" t="s">
        <v>185</v>
      </c>
      <c r="G80" s="220" t="s">
        <v>117</v>
      </c>
      <c r="H80" s="220" t="s">
        <v>300</v>
      </c>
      <c r="I80" s="221" t="s">
        <v>310</v>
      </c>
      <c r="J80" s="221" t="s">
        <v>311</v>
      </c>
      <c r="K80" s="221" t="s">
        <v>475</v>
      </c>
      <c r="L80" s="219"/>
      <c r="M80" s="219"/>
      <c r="N80" s="219"/>
      <c r="O80" s="217"/>
      <c r="P80" s="203">
        <f t="shared" si="7"/>
        <v>750000</v>
      </c>
      <c r="Q80" s="204">
        <f t="shared" si="2"/>
        <v>100000</v>
      </c>
      <c r="R80" s="205">
        <f t="shared" si="8"/>
        <v>450000</v>
      </c>
      <c r="S80" s="205">
        <f t="shared" si="9"/>
        <v>100000</v>
      </c>
      <c r="T80" s="205">
        <f t="shared" si="10"/>
        <v>100000</v>
      </c>
      <c r="U80" s="206">
        <f t="shared" si="11"/>
        <v>0</v>
      </c>
      <c r="V80" s="281"/>
      <c r="W80" s="280"/>
      <c r="X80" s="224">
        <v>100000</v>
      </c>
      <c r="Y80" s="281">
        <v>200000</v>
      </c>
      <c r="Z80" s="280"/>
      <c r="AA80" s="226">
        <v>250000</v>
      </c>
      <c r="AB80" s="405">
        <v>100000</v>
      </c>
      <c r="AC80" s="406"/>
      <c r="AD80" s="407"/>
      <c r="AE80" s="408">
        <v>100000</v>
      </c>
      <c r="AF80" s="406"/>
      <c r="AG80" s="407"/>
      <c r="AH80" s="408"/>
      <c r="AI80" s="406"/>
      <c r="AJ80" s="407"/>
      <c r="AK80" s="260"/>
      <c r="AL80" s="211" t="s">
        <v>124</v>
      </c>
      <c r="AM80" s="260"/>
      <c r="AN80" s="261"/>
      <c r="AO80" s="255"/>
      <c r="AP80" s="193"/>
      <c r="AQ80" s="256"/>
      <c r="AR80" s="551" t="s">
        <v>476</v>
      </c>
    </row>
    <row r="81" spans="1:44" s="19" customFormat="1" ht="180" x14ac:dyDescent="0.25">
      <c r="A81" s="231" t="s">
        <v>114</v>
      </c>
      <c r="B81" s="215" t="s">
        <v>298</v>
      </c>
      <c r="C81" s="215" t="s">
        <v>115</v>
      </c>
      <c r="D81" s="216" t="s">
        <v>299</v>
      </c>
      <c r="E81" s="216" t="s">
        <v>97</v>
      </c>
      <c r="F81" s="220" t="s">
        <v>185</v>
      </c>
      <c r="G81" s="220" t="s">
        <v>117</v>
      </c>
      <c r="H81" s="220" t="s">
        <v>300</v>
      </c>
      <c r="I81" s="221" t="s">
        <v>301</v>
      </c>
      <c r="J81" s="221" t="s">
        <v>477</v>
      </c>
      <c r="K81" s="221" t="s">
        <v>478</v>
      </c>
      <c r="L81" s="219"/>
      <c r="M81" s="219"/>
      <c r="N81" s="219"/>
      <c r="O81" s="217"/>
      <c r="P81" s="203">
        <f t="shared" si="7"/>
        <v>1059992</v>
      </c>
      <c r="Q81" s="204">
        <f t="shared" si="2"/>
        <v>0</v>
      </c>
      <c r="R81" s="205">
        <f t="shared" si="8"/>
        <v>166541</v>
      </c>
      <c r="S81" s="205">
        <f t="shared" si="9"/>
        <v>297817</v>
      </c>
      <c r="T81" s="205">
        <f t="shared" si="10"/>
        <v>297817</v>
      </c>
      <c r="U81" s="206">
        <f t="shared" si="11"/>
        <v>297817</v>
      </c>
      <c r="V81" s="281"/>
      <c r="W81" s="280">
        <v>0</v>
      </c>
      <c r="X81" s="224">
        <v>0</v>
      </c>
      <c r="Y81" s="281"/>
      <c r="Z81" s="280">
        <v>139685</v>
      </c>
      <c r="AA81" s="226">
        <v>26856</v>
      </c>
      <c r="AB81" s="405"/>
      <c r="AC81" s="406">
        <v>270961</v>
      </c>
      <c r="AD81" s="407">
        <v>26856</v>
      </c>
      <c r="AE81" s="408"/>
      <c r="AF81" s="406">
        <v>270961</v>
      </c>
      <c r="AG81" s="407">
        <v>26856</v>
      </c>
      <c r="AH81" s="408"/>
      <c r="AI81" s="406">
        <v>270961</v>
      </c>
      <c r="AJ81" s="407">
        <v>26856</v>
      </c>
      <c r="AK81" s="260"/>
      <c r="AL81" s="211" t="s">
        <v>295</v>
      </c>
      <c r="AM81" s="260"/>
      <c r="AN81" s="261"/>
      <c r="AO81" s="255"/>
      <c r="AP81" s="193"/>
      <c r="AQ81" s="256"/>
      <c r="AR81" s="264" t="s">
        <v>479</v>
      </c>
    </row>
    <row r="82" spans="1:44" s="19" customFormat="1" ht="15.75" x14ac:dyDescent="0.25">
      <c r="A82" s="231" t="s">
        <v>316</v>
      </c>
      <c r="B82" s="215"/>
      <c r="C82" s="215"/>
      <c r="D82" s="216"/>
      <c r="E82" s="216"/>
      <c r="F82" s="220"/>
      <c r="G82" s="220"/>
      <c r="H82" s="220"/>
      <c r="I82" s="221"/>
      <c r="J82" s="221"/>
      <c r="K82" s="221"/>
      <c r="L82" s="219"/>
      <c r="M82" s="219"/>
      <c r="N82" s="219"/>
      <c r="O82" s="217"/>
      <c r="P82" s="203">
        <f t="shared" si="7"/>
        <v>0</v>
      </c>
      <c r="Q82" s="204">
        <f t="shared" si="2"/>
        <v>0</v>
      </c>
      <c r="R82" s="205">
        <f t="shared" si="8"/>
        <v>0</v>
      </c>
      <c r="S82" s="205">
        <f t="shared" si="9"/>
        <v>0</v>
      </c>
      <c r="T82" s="205">
        <f t="shared" si="10"/>
        <v>0</v>
      </c>
      <c r="U82" s="206">
        <f t="shared" si="11"/>
        <v>0</v>
      </c>
      <c r="V82" s="281"/>
      <c r="W82" s="280"/>
      <c r="X82" s="224"/>
      <c r="Y82" s="281"/>
      <c r="Z82" s="280"/>
      <c r="AA82" s="226"/>
      <c r="AB82" s="405"/>
      <c r="AC82" s="406"/>
      <c r="AD82" s="407"/>
      <c r="AE82" s="408"/>
      <c r="AF82" s="406"/>
      <c r="AG82" s="407"/>
      <c r="AH82" s="408"/>
      <c r="AI82" s="406"/>
      <c r="AJ82" s="407"/>
      <c r="AK82" s="260"/>
      <c r="AL82" s="211"/>
      <c r="AM82" s="260"/>
      <c r="AN82" s="261"/>
      <c r="AO82" s="255"/>
      <c r="AP82" s="193"/>
      <c r="AQ82" s="256"/>
      <c r="AR82" s="264"/>
    </row>
    <row r="83" spans="1:44" s="19" customFormat="1" ht="195" x14ac:dyDescent="0.25">
      <c r="A83" s="231" t="s">
        <v>114</v>
      </c>
      <c r="B83" s="215" t="s">
        <v>2</v>
      </c>
      <c r="C83" s="215" t="s">
        <v>115</v>
      </c>
      <c r="D83" s="216" t="s">
        <v>317</v>
      </c>
      <c r="E83" s="216" t="s">
        <v>255</v>
      </c>
      <c r="F83" s="220" t="s">
        <v>151</v>
      </c>
      <c r="G83" s="220" t="s">
        <v>117</v>
      </c>
      <c r="H83" s="220" t="s">
        <v>318</v>
      </c>
      <c r="I83" s="221"/>
      <c r="J83" s="221" t="s">
        <v>319</v>
      </c>
      <c r="K83" s="221" t="s">
        <v>320</v>
      </c>
      <c r="L83" s="219"/>
      <c r="M83" s="219"/>
      <c r="N83" s="219"/>
      <c r="O83" s="217"/>
      <c r="P83" s="203">
        <f t="shared" si="7"/>
        <v>312400</v>
      </c>
      <c r="Q83" s="204">
        <f t="shared" si="2"/>
        <v>0</v>
      </c>
      <c r="R83" s="205">
        <f t="shared" si="8"/>
        <v>112000</v>
      </c>
      <c r="S83" s="205">
        <f t="shared" si="9"/>
        <v>112000</v>
      </c>
      <c r="T83" s="205">
        <f t="shared" si="10"/>
        <v>88400</v>
      </c>
      <c r="U83" s="206">
        <f t="shared" si="11"/>
        <v>0</v>
      </c>
      <c r="V83" s="281"/>
      <c r="W83" s="280"/>
      <c r="X83" s="224"/>
      <c r="Y83" s="281">
        <v>112000</v>
      </c>
      <c r="Z83" s="280"/>
      <c r="AA83" s="226"/>
      <c r="AB83" s="405">
        <v>112000</v>
      </c>
      <c r="AC83" s="406"/>
      <c r="AD83" s="407"/>
      <c r="AE83" s="408">
        <v>88400</v>
      </c>
      <c r="AF83" s="406"/>
      <c r="AG83" s="407"/>
      <c r="AH83" s="408"/>
      <c r="AI83" s="406"/>
      <c r="AJ83" s="407"/>
      <c r="AK83" s="260"/>
      <c r="AL83" s="211" t="s">
        <v>306</v>
      </c>
      <c r="AM83" s="260"/>
      <c r="AN83" s="261"/>
      <c r="AO83" s="255"/>
      <c r="AP83" s="193"/>
      <c r="AQ83" s="256"/>
      <c r="AR83" s="264" t="s">
        <v>480</v>
      </c>
    </row>
    <row r="84" spans="1:44" s="19" customFormat="1" ht="90" x14ac:dyDescent="0.25">
      <c r="A84" s="231" t="s">
        <v>114</v>
      </c>
      <c r="B84" s="215" t="s">
        <v>2</v>
      </c>
      <c r="C84" s="215" t="s">
        <v>115</v>
      </c>
      <c r="D84" s="216" t="s">
        <v>317</v>
      </c>
      <c r="E84" s="216" t="s">
        <v>255</v>
      </c>
      <c r="F84" s="220" t="s">
        <v>185</v>
      </c>
      <c r="G84" s="220" t="s">
        <v>322</v>
      </c>
      <c r="H84" s="220" t="s">
        <v>318</v>
      </c>
      <c r="I84" s="221"/>
      <c r="J84" s="221" t="s">
        <v>323</v>
      </c>
      <c r="K84" s="221" t="s">
        <v>324</v>
      </c>
      <c r="L84" s="219"/>
      <c r="M84" s="219"/>
      <c r="N84" s="219"/>
      <c r="O84" s="217"/>
      <c r="P84" s="203">
        <f t="shared" si="7"/>
        <v>1054560</v>
      </c>
      <c r="Q84" s="204">
        <f t="shared" si="2"/>
        <v>0</v>
      </c>
      <c r="R84" s="205">
        <f t="shared" si="8"/>
        <v>263110</v>
      </c>
      <c r="S84" s="205">
        <f t="shared" si="9"/>
        <v>263415</v>
      </c>
      <c r="T84" s="205">
        <f t="shared" si="10"/>
        <v>263807</v>
      </c>
      <c r="U84" s="206">
        <f t="shared" si="11"/>
        <v>264228</v>
      </c>
      <c r="V84" s="281"/>
      <c r="W84" s="280"/>
      <c r="X84" s="224"/>
      <c r="Y84" s="281"/>
      <c r="Z84" s="280">
        <v>242767</v>
      </c>
      <c r="AA84" s="226">
        <v>20343</v>
      </c>
      <c r="AB84" s="405"/>
      <c r="AC84" s="406">
        <v>242767</v>
      </c>
      <c r="AD84" s="407">
        <v>20648</v>
      </c>
      <c r="AE84" s="408"/>
      <c r="AF84" s="406">
        <v>242767</v>
      </c>
      <c r="AG84" s="407">
        <v>21040</v>
      </c>
      <c r="AH84" s="408"/>
      <c r="AI84" s="406">
        <v>242767</v>
      </c>
      <c r="AJ84" s="407">
        <v>21461</v>
      </c>
      <c r="AK84" s="260"/>
      <c r="AL84" s="211" t="s">
        <v>295</v>
      </c>
      <c r="AM84" s="260"/>
      <c r="AN84" s="261"/>
      <c r="AO84" s="255"/>
      <c r="AP84" s="193"/>
      <c r="AQ84" s="256"/>
      <c r="AR84" s="264" t="s">
        <v>481</v>
      </c>
    </row>
    <row r="85" spans="1:44" s="19" customFormat="1" ht="195" x14ac:dyDescent="0.25">
      <c r="A85" s="231" t="s">
        <v>114</v>
      </c>
      <c r="B85" s="215" t="s">
        <v>2</v>
      </c>
      <c r="C85" s="215" t="s">
        <v>115</v>
      </c>
      <c r="D85" s="216" t="s">
        <v>317</v>
      </c>
      <c r="E85" s="216" t="s">
        <v>255</v>
      </c>
      <c r="F85" s="220" t="s">
        <v>151</v>
      </c>
      <c r="G85" s="220" t="s">
        <v>117</v>
      </c>
      <c r="H85" s="220" t="s">
        <v>318</v>
      </c>
      <c r="I85" s="221"/>
      <c r="J85" s="221" t="s">
        <v>327</v>
      </c>
      <c r="K85" s="221" t="s">
        <v>320</v>
      </c>
      <c r="L85" s="219"/>
      <c r="M85" s="219"/>
      <c r="N85" s="219"/>
      <c r="O85" s="217"/>
      <c r="P85" s="203">
        <f t="shared" si="7"/>
        <v>200400</v>
      </c>
      <c r="Q85" s="204">
        <f t="shared" si="2"/>
        <v>0</v>
      </c>
      <c r="R85" s="205">
        <f t="shared" si="8"/>
        <v>0</v>
      </c>
      <c r="S85" s="205">
        <f t="shared" si="9"/>
        <v>112000</v>
      </c>
      <c r="T85" s="205">
        <f t="shared" si="10"/>
        <v>88400</v>
      </c>
      <c r="U85" s="206">
        <f t="shared" si="11"/>
        <v>0</v>
      </c>
      <c r="V85" s="281">
        <v>0</v>
      </c>
      <c r="W85" s="280"/>
      <c r="X85" s="224"/>
      <c r="Y85" s="281">
        <v>0</v>
      </c>
      <c r="Z85" s="280"/>
      <c r="AA85" s="226"/>
      <c r="AB85" s="405">
        <v>112000</v>
      </c>
      <c r="AC85" s="406"/>
      <c r="AD85" s="407"/>
      <c r="AE85" s="408">
        <v>88400</v>
      </c>
      <c r="AF85" s="406"/>
      <c r="AG85" s="407"/>
      <c r="AH85" s="408"/>
      <c r="AI85" s="406"/>
      <c r="AJ85" s="407"/>
      <c r="AK85" s="260"/>
      <c r="AL85" s="211" t="s">
        <v>306</v>
      </c>
      <c r="AM85" s="260"/>
      <c r="AN85" s="261"/>
      <c r="AO85" s="255"/>
      <c r="AP85" s="193"/>
      <c r="AQ85" s="256"/>
      <c r="AR85" s="264" t="s">
        <v>481</v>
      </c>
    </row>
    <row r="86" spans="1:44" s="19" customFormat="1" ht="15.75" x14ac:dyDescent="0.25">
      <c r="A86" s="231" t="s">
        <v>329</v>
      </c>
      <c r="B86" s="215"/>
      <c r="C86" s="215"/>
      <c r="D86" s="216"/>
      <c r="E86" s="216"/>
      <c r="F86" s="220"/>
      <c r="G86" s="220"/>
      <c r="H86" s="220"/>
      <c r="I86" s="221"/>
      <c r="J86" s="221"/>
      <c r="K86" s="221"/>
      <c r="L86" s="219"/>
      <c r="M86" s="219"/>
      <c r="N86" s="219"/>
      <c r="O86" s="217"/>
      <c r="P86" s="203">
        <f t="shared" si="7"/>
        <v>0</v>
      </c>
      <c r="Q86" s="204">
        <f t="shared" si="2"/>
        <v>0</v>
      </c>
      <c r="R86" s="205">
        <f t="shared" si="8"/>
        <v>0</v>
      </c>
      <c r="S86" s="205">
        <f t="shared" si="9"/>
        <v>0</v>
      </c>
      <c r="T86" s="205">
        <f t="shared" si="10"/>
        <v>0</v>
      </c>
      <c r="U86" s="206">
        <f t="shared" si="11"/>
        <v>0</v>
      </c>
      <c r="V86" s="281"/>
      <c r="W86" s="280"/>
      <c r="X86" s="224"/>
      <c r="Y86" s="281"/>
      <c r="Z86" s="280"/>
      <c r="AA86" s="226"/>
      <c r="AB86" s="405"/>
      <c r="AC86" s="406"/>
      <c r="AD86" s="407"/>
      <c r="AE86" s="408"/>
      <c r="AF86" s="406"/>
      <c r="AG86" s="407"/>
      <c r="AH86" s="408"/>
      <c r="AI86" s="406"/>
      <c r="AJ86" s="407"/>
      <c r="AK86" s="260"/>
      <c r="AL86" s="211"/>
      <c r="AM86" s="260"/>
      <c r="AN86" s="261"/>
      <c r="AO86" s="255"/>
      <c r="AP86" s="193"/>
      <c r="AQ86" s="256"/>
      <c r="AR86" s="264"/>
    </row>
    <row r="87" spans="1:44" s="19" customFormat="1" ht="105" x14ac:dyDescent="0.25">
      <c r="A87" s="231" t="s">
        <v>114</v>
      </c>
      <c r="B87" s="215" t="s">
        <v>174</v>
      </c>
      <c r="C87" s="215" t="s">
        <v>115</v>
      </c>
      <c r="D87" s="216" t="s">
        <v>330</v>
      </c>
      <c r="E87" s="216" t="s">
        <v>97</v>
      </c>
      <c r="F87" s="220" t="s">
        <v>151</v>
      </c>
      <c r="G87" s="220" t="s">
        <v>117</v>
      </c>
      <c r="H87" s="220" t="s">
        <v>331</v>
      </c>
      <c r="I87" s="221"/>
      <c r="J87" s="221" t="s">
        <v>332</v>
      </c>
      <c r="K87" s="221"/>
      <c r="L87" s="219"/>
      <c r="M87" s="219"/>
      <c r="N87" s="219"/>
      <c r="O87" s="217"/>
      <c r="P87" s="203">
        <f t="shared" si="7"/>
        <v>320000</v>
      </c>
      <c r="Q87" s="204">
        <f t="shared" si="2"/>
        <v>0</v>
      </c>
      <c r="R87" s="205">
        <f t="shared" si="8"/>
        <v>320000</v>
      </c>
      <c r="S87" s="205">
        <f t="shared" si="9"/>
        <v>0</v>
      </c>
      <c r="T87" s="205">
        <f t="shared" si="10"/>
        <v>0</v>
      </c>
      <c r="U87" s="206">
        <f t="shared" si="11"/>
        <v>0</v>
      </c>
      <c r="V87" s="281"/>
      <c r="W87" s="280"/>
      <c r="X87" s="224"/>
      <c r="Y87" s="281">
        <v>320000</v>
      </c>
      <c r="Z87" s="280"/>
      <c r="AA87" s="226"/>
      <c r="AB87" s="405"/>
      <c r="AC87" s="406"/>
      <c r="AD87" s="407"/>
      <c r="AE87" s="408"/>
      <c r="AF87" s="406"/>
      <c r="AG87" s="407"/>
      <c r="AH87" s="408"/>
      <c r="AI87" s="406"/>
      <c r="AJ87" s="407"/>
      <c r="AK87" s="260"/>
      <c r="AL87" s="211" t="s">
        <v>124</v>
      </c>
      <c r="AM87" s="260"/>
      <c r="AN87" s="261"/>
      <c r="AO87" s="255"/>
      <c r="AP87" s="193"/>
      <c r="AQ87" s="256"/>
      <c r="AR87" s="264" t="s">
        <v>482</v>
      </c>
    </row>
    <row r="88" spans="1:44" s="19" customFormat="1" ht="105" x14ac:dyDescent="0.25">
      <c r="A88" s="231" t="s">
        <v>114</v>
      </c>
      <c r="B88" s="215" t="s">
        <v>174</v>
      </c>
      <c r="C88" s="215" t="s">
        <v>334</v>
      </c>
      <c r="D88" s="216" t="s">
        <v>335</v>
      </c>
      <c r="E88" s="216" t="s">
        <v>97</v>
      </c>
      <c r="F88" s="220" t="s">
        <v>151</v>
      </c>
      <c r="G88" s="220" t="s">
        <v>117</v>
      </c>
      <c r="H88" s="220" t="s">
        <v>336</v>
      </c>
      <c r="I88" s="221"/>
      <c r="J88" s="221" t="s">
        <v>337</v>
      </c>
      <c r="K88" s="221" t="s">
        <v>338</v>
      </c>
      <c r="L88" s="219"/>
      <c r="M88" s="219"/>
      <c r="N88" s="219"/>
      <c r="O88" s="217"/>
      <c r="P88" s="203">
        <f t="shared" si="7"/>
        <v>83334</v>
      </c>
      <c r="Q88" s="204">
        <f t="shared" si="2"/>
        <v>0</v>
      </c>
      <c r="R88" s="205">
        <f t="shared" si="8"/>
        <v>83334</v>
      </c>
      <c r="S88" s="205">
        <f t="shared" si="9"/>
        <v>0</v>
      </c>
      <c r="T88" s="205">
        <f t="shared" si="10"/>
        <v>0</v>
      </c>
      <c r="U88" s="206">
        <f t="shared" si="11"/>
        <v>0</v>
      </c>
      <c r="V88" s="281"/>
      <c r="W88" s="280"/>
      <c r="X88" s="224"/>
      <c r="Y88" s="281">
        <v>83334</v>
      </c>
      <c r="Z88" s="280"/>
      <c r="AA88" s="226"/>
      <c r="AB88" s="405"/>
      <c r="AC88" s="406"/>
      <c r="AD88" s="407"/>
      <c r="AE88" s="408"/>
      <c r="AF88" s="406"/>
      <c r="AG88" s="407"/>
      <c r="AH88" s="408"/>
      <c r="AI88" s="406"/>
      <c r="AJ88" s="407"/>
      <c r="AK88" s="260"/>
      <c r="AL88" s="211" t="s">
        <v>124</v>
      </c>
      <c r="AM88" s="260"/>
      <c r="AN88" s="261"/>
      <c r="AO88" s="255"/>
      <c r="AP88" s="193"/>
      <c r="AQ88" s="256"/>
      <c r="AR88" s="264" t="s">
        <v>483</v>
      </c>
    </row>
    <row r="89" spans="1:44" s="19" customFormat="1" ht="105" x14ac:dyDescent="0.25">
      <c r="A89" s="231" t="s">
        <v>114</v>
      </c>
      <c r="B89" s="215" t="s">
        <v>174</v>
      </c>
      <c r="C89" s="215" t="s">
        <v>115</v>
      </c>
      <c r="D89" s="216" t="s">
        <v>335</v>
      </c>
      <c r="E89" s="216" t="s">
        <v>97</v>
      </c>
      <c r="F89" s="220" t="s">
        <v>151</v>
      </c>
      <c r="G89" s="220" t="s">
        <v>117</v>
      </c>
      <c r="H89" s="220" t="s">
        <v>336</v>
      </c>
      <c r="I89" s="221"/>
      <c r="J89" s="221" t="s">
        <v>341</v>
      </c>
      <c r="K89" s="221" t="s">
        <v>342</v>
      </c>
      <c r="L89" s="219"/>
      <c r="M89" s="219"/>
      <c r="N89" s="219"/>
      <c r="O89" s="217"/>
      <c r="P89" s="203">
        <f t="shared" si="7"/>
        <v>500500</v>
      </c>
      <c r="Q89" s="204">
        <f t="shared" si="2"/>
        <v>0</v>
      </c>
      <c r="R89" s="205">
        <f t="shared" si="8"/>
        <v>429000</v>
      </c>
      <c r="S89" s="205">
        <f t="shared" si="9"/>
        <v>71500</v>
      </c>
      <c r="T89" s="205">
        <f t="shared" si="10"/>
        <v>0</v>
      </c>
      <c r="U89" s="206">
        <f t="shared" si="11"/>
        <v>0</v>
      </c>
      <c r="V89" s="281"/>
      <c r="W89" s="280"/>
      <c r="X89" s="224"/>
      <c r="Y89" s="281">
        <v>429000</v>
      </c>
      <c r="Z89" s="280"/>
      <c r="AA89" s="226"/>
      <c r="AB89" s="405">
        <v>71500</v>
      </c>
      <c r="AC89" s="406"/>
      <c r="AD89" s="407"/>
      <c r="AE89" s="408"/>
      <c r="AF89" s="406"/>
      <c r="AG89" s="407"/>
      <c r="AH89" s="408"/>
      <c r="AI89" s="406"/>
      <c r="AJ89" s="407"/>
      <c r="AK89" s="260"/>
      <c r="AL89" s="211" t="s">
        <v>124</v>
      </c>
      <c r="AM89" s="260"/>
      <c r="AN89" s="261"/>
      <c r="AO89" s="255"/>
      <c r="AP89" s="193"/>
      <c r="AQ89" s="256"/>
      <c r="AR89" s="264" t="s">
        <v>484</v>
      </c>
    </row>
    <row r="90" spans="1:44" s="35" customFormat="1" ht="105" x14ac:dyDescent="0.25">
      <c r="A90" s="231" t="s">
        <v>114</v>
      </c>
      <c r="B90" s="215" t="s">
        <v>174</v>
      </c>
      <c r="C90" s="215" t="s">
        <v>115</v>
      </c>
      <c r="D90" s="216" t="s">
        <v>335</v>
      </c>
      <c r="E90" s="216" t="s">
        <v>97</v>
      </c>
      <c r="F90" s="216" t="s">
        <v>151</v>
      </c>
      <c r="G90" s="216" t="s">
        <v>117</v>
      </c>
      <c r="H90" s="216" t="s">
        <v>336</v>
      </c>
      <c r="I90" s="216"/>
      <c r="J90" s="230" t="s">
        <v>343</v>
      </c>
      <c r="K90" s="216"/>
      <c r="L90" s="216"/>
      <c r="M90" s="216"/>
      <c r="N90" s="216"/>
      <c r="O90" s="217"/>
      <c r="P90" s="203">
        <f t="shared" si="7"/>
        <v>1234984</v>
      </c>
      <c r="Q90" s="204">
        <f t="shared" si="2"/>
        <v>0</v>
      </c>
      <c r="R90" s="205">
        <f t="shared" si="8"/>
        <v>542773</v>
      </c>
      <c r="S90" s="205">
        <f t="shared" si="9"/>
        <v>692211</v>
      </c>
      <c r="T90" s="205">
        <f t="shared" si="10"/>
        <v>0</v>
      </c>
      <c r="U90" s="206">
        <f t="shared" si="11"/>
        <v>0</v>
      </c>
      <c r="V90" s="281"/>
      <c r="W90" s="280"/>
      <c r="X90" s="224"/>
      <c r="Y90" s="281">
        <v>542773</v>
      </c>
      <c r="Z90" s="280"/>
      <c r="AA90" s="226"/>
      <c r="AB90" s="405">
        <v>692211</v>
      </c>
      <c r="AC90" s="406"/>
      <c r="AD90" s="407"/>
      <c r="AE90" s="408"/>
      <c r="AF90" s="406"/>
      <c r="AG90" s="407"/>
      <c r="AH90" s="408"/>
      <c r="AI90" s="406"/>
      <c r="AJ90" s="407"/>
      <c r="AK90" s="227"/>
      <c r="AL90" s="228" t="s">
        <v>124</v>
      </c>
      <c r="AM90" s="218"/>
      <c r="AN90" s="262"/>
      <c r="AO90" s="255"/>
      <c r="AP90" s="193"/>
      <c r="AQ90" s="256"/>
      <c r="AR90" s="264" t="s">
        <v>485</v>
      </c>
    </row>
    <row r="91" spans="1:44" s="35" customFormat="1" ht="15.75" x14ac:dyDescent="0.25">
      <c r="A91" s="231" t="s">
        <v>347</v>
      </c>
      <c r="B91" s="215"/>
      <c r="C91" s="215"/>
      <c r="D91" s="216"/>
      <c r="E91" s="216"/>
      <c r="F91" s="216"/>
      <c r="G91" s="216"/>
      <c r="H91" s="216"/>
      <c r="I91" s="216"/>
      <c r="J91" s="230"/>
      <c r="K91" s="216"/>
      <c r="L91" s="216"/>
      <c r="M91" s="216"/>
      <c r="N91" s="216"/>
      <c r="O91" s="217"/>
      <c r="P91" s="203"/>
      <c r="Q91" s="204"/>
      <c r="R91" s="205"/>
      <c r="S91" s="205"/>
      <c r="T91" s="205"/>
      <c r="U91" s="206"/>
      <c r="V91" s="281"/>
      <c r="W91" s="280"/>
      <c r="X91" s="224"/>
      <c r="Y91" s="281"/>
      <c r="Z91" s="280"/>
      <c r="AA91" s="226"/>
      <c r="AB91" s="405"/>
      <c r="AC91" s="406"/>
      <c r="AD91" s="407"/>
      <c r="AE91" s="408"/>
      <c r="AF91" s="406"/>
      <c r="AG91" s="407"/>
      <c r="AH91" s="408"/>
      <c r="AI91" s="406"/>
      <c r="AJ91" s="407"/>
      <c r="AK91" s="227"/>
      <c r="AL91" s="228"/>
      <c r="AM91" s="218"/>
      <c r="AN91" s="262"/>
      <c r="AO91" s="255"/>
      <c r="AP91" s="193"/>
      <c r="AQ91" s="256"/>
      <c r="AR91" s="264"/>
    </row>
    <row r="92" spans="1:44" s="35" customFormat="1" ht="195" x14ac:dyDescent="0.25">
      <c r="A92" s="231" t="s">
        <v>114</v>
      </c>
      <c r="B92" s="215" t="s">
        <v>174</v>
      </c>
      <c r="C92" s="215" t="s">
        <v>115</v>
      </c>
      <c r="D92" s="216" t="s">
        <v>364</v>
      </c>
      <c r="E92" s="216" t="s">
        <v>97</v>
      </c>
      <c r="F92" s="216" t="s">
        <v>151</v>
      </c>
      <c r="G92" s="216" t="s">
        <v>117</v>
      </c>
      <c r="H92" s="216" t="s">
        <v>349</v>
      </c>
      <c r="I92" s="216" t="s">
        <v>350</v>
      </c>
      <c r="J92" s="230" t="s">
        <v>351</v>
      </c>
      <c r="K92" s="216" t="s">
        <v>352</v>
      </c>
      <c r="L92" s="216"/>
      <c r="M92" s="216"/>
      <c r="N92" s="216"/>
      <c r="O92" s="217"/>
      <c r="P92" s="203">
        <f t="shared" si="7"/>
        <v>252500</v>
      </c>
      <c r="Q92" s="204">
        <f t="shared" si="2"/>
        <v>0</v>
      </c>
      <c r="R92" s="205">
        <f t="shared" si="8"/>
        <v>252500</v>
      </c>
      <c r="S92" s="205">
        <f t="shared" si="9"/>
        <v>0</v>
      </c>
      <c r="T92" s="205">
        <f t="shared" si="10"/>
        <v>0</v>
      </c>
      <c r="U92" s="206">
        <f t="shared" si="11"/>
        <v>0</v>
      </c>
      <c r="V92" s="281"/>
      <c r="W92" s="280"/>
      <c r="X92" s="224"/>
      <c r="Y92" s="281">
        <v>252500</v>
      </c>
      <c r="Z92" s="280"/>
      <c r="AA92" s="226"/>
      <c r="AB92" s="405"/>
      <c r="AC92" s="406"/>
      <c r="AD92" s="407"/>
      <c r="AE92" s="408"/>
      <c r="AF92" s="406"/>
      <c r="AG92" s="407"/>
      <c r="AH92" s="408"/>
      <c r="AI92" s="406"/>
      <c r="AJ92" s="407"/>
      <c r="AK92" s="227"/>
      <c r="AL92" s="228" t="s">
        <v>200</v>
      </c>
      <c r="AM92" s="218"/>
      <c r="AN92" s="262"/>
      <c r="AO92" s="255"/>
      <c r="AP92" s="193"/>
      <c r="AQ92" s="256"/>
      <c r="AR92" s="264" t="s">
        <v>486</v>
      </c>
    </row>
    <row r="93" spans="1:44" s="35" customFormat="1" ht="105" x14ac:dyDescent="0.25">
      <c r="A93" s="231" t="s">
        <v>114</v>
      </c>
      <c r="B93" s="215" t="s">
        <v>174</v>
      </c>
      <c r="C93" s="215" t="s">
        <v>115</v>
      </c>
      <c r="D93" s="216" t="s">
        <v>364</v>
      </c>
      <c r="E93" s="216" t="s">
        <v>97</v>
      </c>
      <c r="F93" s="216" t="s">
        <v>355</v>
      </c>
      <c r="G93" s="216" t="s">
        <v>117</v>
      </c>
      <c r="H93" s="216" t="s">
        <v>349</v>
      </c>
      <c r="I93" s="216"/>
      <c r="J93" s="230" t="s">
        <v>358</v>
      </c>
      <c r="K93" s="216" t="s">
        <v>359</v>
      </c>
      <c r="L93" s="216"/>
      <c r="M93" s="216"/>
      <c r="N93" s="216"/>
      <c r="O93" s="217"/>
      <c r="P93" s="203">
        <f t="shared" si="7"/>
        <v>398560</v>
      </c>
      <c r="Q93" s="204">
        <f t="shared" si="2"/>
        <v>0</v>
      </c>
      <c r="R93" s="205">
        <f t="shared" si="8"/>
        <v>0</v>
      </c>
      <c r="S93" s="205">
        <f t="shared" si="9"/>
        <v>398560</v>
      </c>
      <c r="T93" s="205">
        <f t="shared" si="10"/>
        <v>0</v>
      </c>
      <c r="U93" s="206">
        <f t="shared" si="11"/>
        <v>0</v>
      </c>
      <c r="V93" s="281"/>
      <c r="W93" s="280"/>
      <c r="X93" s="224"/>
      <c r="Y93" s="281"/>
      <c r="Z93" s="280"/>
      <c r="AA93" s="226"/>
      <c r="AB93" s="405">
        <v>398560</v>
      </c>
      <c r="AC93" s="406"/>
      <c r="AD93" s="407"/>
      <c r="AE93" s="408"/>
      <c r="AF93" s="406"/>
      <c r="AG93" s="407"/>
      <c r="AH93" s="408"/>
      <c r="AI93" s="406"/>
      <c r="AJ93" s="407"/>
      <c r="AK93" s="227"/>
      <c r="AL93" s="228" t="s">
        <v>200</v>
      </c>
      <c r="AM93" s="218"/>
      <c r="AN93" s="262"/>
      <c r="AO93" s="255"/>
      <c r="AP93" s="193"/>
      <c r="AQ93" s="256"/>
      <c r="AR93" s="264" t="s">
        <v>487</v>
      </c>
    </row>
    <row r="94" spans="1:44" s="19" customFormat="1" ht="105" x14ac:dyDescent="0.25">
      <c r="A94" s="231" t="s">
        <v>114</v>
      </c>
      <c r="B94" s="215" t="s">
        <v>174</v>
      </c>
      <c r="C94" s="215" t="s">
        <v>115</v>
      </c>
      <c r="D94" s="216" t="s">
        <v>364</v>
      </c>
      <c r="E94" s="216" t="s">
        <v>97</v>
      </c>
      <c r="F94" s="220" t="s">
        <v>355</v>
      </c>
      <c r="G94" s="220" t="s">
        <v>117</v>
      </c>
      <c r="H94" s="220" t="s">
        <v>349</v>
      </c>
      <c r="I94" s="221"/>
      <c r="J94" s="232" t="s">
        <v>362</v>
      </c>
      <c r="K94" s="221" t="s">
        <v>488</v>
      </c>
      <c r="L94" s="219"/>
      <c r="M94" s="219"/>
      <c r="N94" s="219"/>
      <c r="O94" s="217"/>
      <c r="P94" s="203">
        <f t="shared" si="7"/>
        <v>438120</v>
      </c>
      <c r="Q94" s="204">
        <f t="shared" si="2"/>
        <v>0</v>
      </c>
      <c r="R94" s="205">
        <f t="shared" si="8"/>
        <v>0</v>
      </c>
      <c r="S94" s="205">
        <f t="shared" si="9"/>
        <v>0</v>
      </c>
      <c r="T94" s="205">
        <f t="shared" si="10"/>
        <v>438120</v>
      </c>
      <c r="U94" s="206">
        <f t="shared" si="11"/>
        <v>0</v>
      </c>
      <c r="V94" s="281"/>
      <c r="W94" s="280"/>
      <c r="X94" s="224"/>
      <c r="Y94" s="281"/>
      <c r="Z94" s="280"/>
      <c r="AA94" s="226"/>
      <c r="AB94" s="405"/>
      <c r="AC94" s="406"/>
      <c r="AD94" s="407"/>
      <c r="AE94" s="408">
        <v>438120</v>
      </c>
      <c r="AF94" s="406"/>
      <c r="AG94" s="407"/>
      <c r="AH94" s="408">
        <v>0</v>
      </c>
      <c r="AI94" s="406"/>
      <c r="AJ94" s="407"/>
      <c r="AK94" s="260"/>
      <c r="AL94" s="211" t="s">
        <v>200</v>
      </c>
      <c r="AM94" s="260"/>
      <c r="AN94" s="261"/>
      <c r="AO94" s="255"/>
      <c r="AP94" s="193"/>
      <c r="AQ94" s="256"/>
      <c r="AR94" s="264" t="s">
        <v>489</v>
      </c>
    </row>
    <row r="95" spans="1:44" s="19" customFormat="1" ht="105" x14ac:dyDescent="0.25">
      <c r="A95" s="231" t="s">
        <v>114</v>
      </c>
      <c r="B95" s="215" t="s">
        <v>174</v>
      </c>
      <c r="C95" s="215" t="s">
        <v>115</v>
      </c>
      <c r="D95" s="216" t="s">
        <v>364</v>
      </c>
      <c r="E95" s="216" t="s">
        <v>97</v>
      </c>
      <c r="F95" s="220" t="s">
        <v>185</v>
      </c>
      <c r="G95" s="220" t="s">
        <v>322</v>
      </c>
      <c r="H95" s="220" t="s">
        <v>349</v>
      </c>
      <c r="I95" s="221"/>
      <c r="J95" s="232" t="s">
        <v>366</v>
      </c>
      <c r="K95" s="221"/>
      <c r="L95" s="219"/>
      <c r="M95" s="219"/>
      <c r="N95" s="219"/>
      <c r="O95" s="217"/>
      <c r="P95" s="203">
        <f t="shared" si="7"/>
        <v>337432</v>
      </c>
      <c r="Q95" s="204">
        <f t="shared" si="2"/>
        <v>0</v>
      </c>
      <c r="R95" s="205">
        <f t="shared" si="8"/>
        <v>84181</v>
      </c>
      <c r="S95" s="205">
        <f t="shared" si="9"/>
        <v>84283</v>
      </c>
      <c r="T95" s="205">
        <f t="shared" si="10"/>
        <v>84414</v>
      </c>
      <c r="U95" s="206">
        <f t="shared" si="11"/>
        <v>84554</v>
      </c>
      <c r="V95" s="281">
        <v>0</v>
      </c>
      <c r="W95" s="280">
        <v>0</v>
      </c>
      <c r="X95" s="224">
        <v>0</v>
      </c>
      <c r="Y95" s="281">
        <v>0</v>
      </c>
      <c r="Z95" s="280">
        <v>77400</v>
      </c>
      <c r="AA95" s="226">
        <v>6781</v>
      </c>
      <c r="AB95" s="405">
        <v>0</v>
      </c>
      <c r="AC95" s="406">
        <v>77400</v>
      </c>
      <c r="AD95" s="407">
        <v>6883</v>
      </c>
      <c r="AE95" s="408"/>
      <c r="AF95" s="406">
        <v>77400</v>
      </c>
      <c r="AG95" s="407">
        <v>7014</v>
      </c>
      <c r="AH95" s="408"/>
      <c r="AI95" s="406">
        <v>77400</v>
      </c>
      <c r="AJ95" s="407">
        <v>7154</v>
      </c>
      <c r="AK95" s="260"/>
      <c r="AL95" s="211" t="s">
        <v>295</v>
      </c>
      <c r="AM95" s="260"/>
      <c r="AN95" s="261"/>
      <c r="AO95" s="255"/>
      <c r="AP95" s="193"/>
      <c r="AQ95" s="256"/>
      <c r="AR95" s="264" t="s">
        <v>490</v>
      </c>
    </row>
    <row r="96" spans="1:44" s="19" customFormat="1" ht="15.6" customHeight="1" thickBot="1" x14ac:dyDescent="0.3">
      <c r="A96" s="36"/>
      <c r="B96" s="28"/>
      <c r="C96" s="37"/>
      <c r="D96" s="37"/>
      <c r="E96" s="37"/>
      <c r="F96" s="37"/>
      <c r="G96" s="37"/>
      <c r="H96" s="37"/>
      <c r="I96" s="37"/>
      <c r="J96" s="28"/>
      <c r="K96" s="37"/>
      <c r="L96" s="37"/>
      <c r="M96" s="37"/>
      <c r="N96" s="37"/>
      <c r="O96" s="37"/>
      <c r="P96" s="20">
        <f t="shared" si="7"/>
        <v>0</v>
      </c>
      <c r="Q96" s="175">
        <f t="shared" si="2"/>
        <v>0</v>
      </c>
      <c r="R96" s="254">
        <f t="shared" si="8"/>
        <v>0</v>
      </c>
      <c r="S96" s="254">
        <f t="shared" si="9"/>
        <v>0</v>
      </c>
      <c r="T96" s="254">
        <f t="shared" si="10"/>
        <v>0</v>
      </c>
      <c r="U96" s="274">
        <f t="shared" si="11"/>
        <v>0</v>
      </c>
      <c r="V96" s="245"/>
      <c r="W96" s="246"/>
      <c r="X96" s="30"/>
      <c r="Y96" s="257"/>
      <c r="Z96" s="258"/>
      <c r="AA96" s="138"/>
      <c r="AB96" s="136"/>
      <c r="AC96" s="137"/>
      <c r="AD96" s="138"/>
      <c r="AE96" s="139"/>
      <c r="AF96" s="137"/>
      <c r="AG96" s="138"/>
      <c r="AH96" s="139"/>
      <c r="AI96" s="137"/>
      <c r="AJ96" s="137"/>
      <c r="AK96" s="179"/>
      <c r="AL96" s="178"/>
      <c r="AM96" s="179"/>
      <c r="AN96" s="178"/>
      <c r="AO96" s="257"/>
      <c r="AP96" s="258"/>
      <c r="AQ96" s="138"/>
      <c r="AR96" s="178"/>
    </row>
    <row r="97" spans="5:38" x14ac:dyDescent="0.25">
      <c r="J97"/>
    </row>
    <row r="98" spans="5:38" x14ac:dyDescent="0.25">
      <c r="F98" s="15"/>
      <c r="J98"/>
    </row>
    <row r="99" spans="5:38" x14ac:dyDescent="0.25">
      <c r="E99" t="s">
        <v>97</v>
      </c>
      <c r="F99" s="14" t="s">
        <v>155</v>
      </c>
      <c r="G99" t="s">
        <v>7</v>
      </c>
      <c r="J99"/>
      <c r="O99" s="14" t="s">
        <v>379</v>
      </c>
      <c r="P99" s="14"/>
      <c r="AL99" t="s">
        <v>491</v>
      </c>
    </row>
    <row r="100" spans="5:38" x14ac:dyDescent="0.25">
      <c r="E100" t="s">
        <v>382</v>
      </c>
      <c r="F100" s="14" t="s">
        <v>383</v>
      </c>
      <c r="G100" t="s">
        <v>8</v>
      </c>
      <c r="J100"/>
      <c r="O100" s="14" t="s">
        <v>133</v>
      </c>
      <c r="P100" s="14"/>
      <c r="AL100" t="s">
        <v>295</v>
      </c>
    </row>
    <row r="101" spans="5:38" x14ac:dyDescent="0.25">
      <c r="E101" t="s">
        <v>255</v>
      </c>
      <c r="F101" s="14" t="s">
        <v>147</v>
      </c>
      <c r="G101" t="s">
        <v>391</v>
      </c>
      <c r="J101"/>
      <c r="O101" s="14" t="s">
        <v>191</v>
      </c>
      <c r="P101" s="14"/>
      <c r="AL101" t="s">
        <v>200</v>
      </c>
    </row>
    <row r="102" spans="5:38" x14ac:dyDescent="0.25">
      <c r="F102" s="14" t="s">
        <v>388</v>
      </c>
      <c r="G102" t="s">
        <v>10</v>
      </c>
      <c r="J102"/>
      <c r="O102" s="14" t="s">
        <v>389</v>
      </c>
      <c r="P102" s="14"/>
      <c r="AL102" t="s">
        <v>306</v>
      </c>
    </row>
    <row r="103" spans="5:38" x14ac:dyDescent="0.25">
      <c r="F103" s="14" t="s">
        <v>98</v>
      </c>
      <c r="J103"/>
      <c r="O103" s="14" t="s">
        <v>18</v>
      </c>
      <c r="P103" s="14"/>
      <c r="AL103" t="s">
        <v>124</v>
      </c>
    </row>
    <row r="104" spans="5:38" x14ac:dyDescent="0.25">
      <c r="F104" s="14" t="s">
        <v>151</v>
      </c>
      <c r="J104"/>
      <c r="O104" s="14" t="s">
        <v>390</v>
      </c>
      <c r="P104" s="14"/>
    </row>
    <row r="105" spans="5:38" x14ac:dyDescent="0.25">
      <c r="F105" s="14" t="s">
        <v>185</v>
      </c>
      <c r="J105"/>
      <c r="O105" s="14" t="s">
        <v>105</v>
      </c>
    </row>
    <row r="106" spans="5:38" x14ac:dyDescent="0.25">
      <c r="F106" s="14" t="s">
        <v>211</v>
      </c>
      <c r="J106"/>
    </row>
    <row r="107" spans="5:38" x14ac:dyDescent="0.25">
      <c r="F107" s="14" t="s">
        <v>392</v>
      </c>
      <c r="J107"/>
    </row>
    <row r="108" spans="5:38" x14ac:dyDescent="0.25">
      <c r="F108" s="14" t="s">
        <v>393</v>
      </c>
      <c r="J108"/>
    </row>
    <row r="109" spans="5:38" x14ac:dyDescent="0.25">
      <c r="F109" s="14" t="s">
        <v>108</v>
      </c>
      <c r="J109"/>
    </row>
    <row r="110" spans="5:38" x14ac:dyDescent="0.25">
      <c r="F110" s="14" t="s">
        <v>394</v>
      </c>
      <c r="J110"/>
    </row>
    <row r="111" spans="5:38" x14ac:dyDescent="0.25">
      <c r="F111" s="14" t="s">
        <v>395</v>
      </c>
      <c r="J111"/>
    </row>
    <row r="112" spans="5:38" x14ac:dyDescent="0.25">
      <c r="F112" s="14" t="s">
        <v>396</v>
      </c>
      <c r="J112"/>
    </row>
    <row r="113" spans="6:10" x14ac:dyDescent="0.25">
      <c r="F113" s="14" t="s">
        <v>397</v>
      </c>
      <c r="J113"/>
    </row>
    <row r="114" spans="6:10" x14ac:dyDescent="0.25">
      <c r="F114" s="14" t="s">
        <v>355</v>
      </c>
      <c r="J114"/>
    </row>
    <row r="115" spans="6:10" x14ac:dyDescent="0.25">
      <c r="F115" s="14" t="s">
        <v>399</v>
      </c>
      <c r="J115"/>
    </row>
    <row r="116" spans="6:10" x14ac:dyDescent="0.25">
      <c r="F116" s="14" t="s">
        <v>400</v>
      </c>
      <c r="J116"/>
    </row>
    <row r="117" spans="6:10" x14ac:dyDescent="0.25">
      <c r="F117" s="14" t="s">
        <v>401</v>
      </c>
      <c r="J117"/>
    </row>
    <row r="118" spans="6:10" x14ac:dyDescent="0.25">
      <c r="I118" s="3"/>
      <c r="J118"/>
    </row>
    <row r="119" spans="6:10" x14ac:dyDescent="0.25">
      <c r="H119" s="3"/>
      <c r="J119"/>
    </row>
  </sheetData>
  <sheetProtection algorithmName="SHA-512" hashValue="n59WKjheeeZ0Lrdct5Bnkor8mUq8A8oW2rDbRIhQ/jggrDeGWEPLAYeGMNhPHzW7I2iLn8QTN+Vkli5LAY3diQ==" saltValue="g1FnnUUrE2QA032qXrqulw==" spinCount="100000" sheet="1" objects="1" scenarios="1"/>
  <mergeCells count="22">
    <mergeCell ref="B2:D2"/>
    <mergeCell ref="V32:AJ32"/>
    <mergeCell ref="Q34:U34"/>
    <mergeCell ref="K28:Q28"/>
    <mergeCell ref="V33:X33"/>
    <mergeCell ref="Y33:AA33"/>
    <mergeCell ref="AB33:AD33"/>
    <mergeCell ref="AE33:AG33"/>
    <mergeCell ref="AH33:AJ33"/>
    <mergeCell ref="B20:I20"/>
    <mergeCell ref="K20:Q20"/>
    <mergeCell ref="B17:I17"/>
    <mergeCell ref="K17:Q17"/>
    <mergeCell ref="K19:Q19"/>
    <mergeCell ref="AO32:AQ32"/>
    <mergeCell ref="AO33:AQ33"/>
    <mergeCell ref="K22:Q22"/>
    <mergeCell ref="B23:I23"/>
    <mergeCell ref="K23:Q23"/>
    <mergeCell ref="K25:Q25"/>
    <mergeCell ref="B26:I26"/>
    <mergeCell ref="K26:Q26"/>
  </mergeCells>
  <dataValidations count="11">
    <dataValidation type="whole" allowBlank="1" showInputMessage="1" showErrorMessage="1" sqref="B22:I22 B25:I25 C28:I28" xr:uid="{6354FB09-3F04-481D-AA34-7454226EDE46}">
      <formula1>0</formula1>
      <formula2>100</formula2>
    </dataValidation>
    <dataValidation type="whole" allowBlank="1" showInputMessage="1" showErrorMessage="1" sqref="B19:I19" xr:uid="{3980CC6E-838C-41F0-8A69-93F3C95A17B4}">
      <formula1>0</formula1>
      <formula2>10000000</formula2>
    </dataValidation>
    <dataValidation type="list" allowBlank="1" showInputMessage="1" showErrorMessage="1" sqref="AL90:AL95" xr:uid="{CA4B89F0-D22F-4B8D-9164-4A6A1F094AC1}">
      <formula1>$AL$37:$AL$39</formula1>
    </dataValidation>
    <dataValidation type="list" allowBlank="1" showInputMessage="1" showErrorMessage="1" sqref="AL96" xr:uid="{27A462FF-1E33-497F-93FF-47302DEF6B27}">
      <formula1>$AL$99:$AL$103</formula1>
    </dataValidation>
    <dataValidation type="list" allowBlank="1" showInputMessage="1" showErrorMessage="1" sqref="AL73:AL81 AL87 AL35:AL71" xr:uid="{BA5FCC99-68C8-4A5E-9440-203A165E13C8}">
      <formula1>$AL$102:$AL$106</formula1>
    </dataValidation>
    <dataValidation type="list" allowBlank="1" showInputMessage="1" showErrorMessage="1" sqref="F119:F153 F31:F32" xr:uid="{03D7859E-A6E5-4C17-B004-E760432DB308}">
      <formula1>$F$3:$I$3</formula1>
    </dataValidation>
    <dataValidation type="list" allowBlank="1" showInputMessage="1" showErrorMessage="1" sqref="O120:O152 O31:O32 N118 M119" xr:uid="{BBFFE4F5-B39E-4BD3-A228-9D07A2CADEDD}">
      <formula1>$Q$19:$Q$22</formula1>
    </dataValidation>
    <dataValidation type="list" allowBlank="1" showInputMessage="1" showErrorMessage="1" sqref="G35:G96" xr:uid="{9D04FCB4-CBA8-47F4-9F40-087056B86FCA}">
      <formula1>$G$99:$G$102</formula1>
    </dataValidation>
    <dataValidation type="list" allowBlank="1" showInputMessage="1" showErrorMessage="1" sqref="F35:F96" xr:uid="{5688C0C7-B0C9-407E-8442-265EC5E5FE4E}">
      <formula1>$F$99:$F$117</formula1>
    </dataValidation>
    <dataValidation type="list" allowBlank="1" showInputMessage="1" showErrorMessage="1" sqref="E35:E96" xr:uid="{2025EB9E-EEB3-4670-8C14-06C466A53E87}">
      <formula1>$E$99:$E$101</formula1>
    </dataValidation>
    <dataValidation type="list" allowBlank="1" showInputMessage="1" showErrorMessage="1" sqref="O35:O96" xr:uid="{85CB3776-0F40-4C30-8DD6-0012CABB02A5}">
      <formula1>$O$99:$O$105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1C13A-16C7-4C54-A80F-3B0B5488E0B7}">
  <dimension ref="A2:L26"/>
  <sheetViews>
    <sheetView zoomScale="90" zoomScaleNormal="90" workbookViewId="0">
      <selection activeCell="E9" sqref="E9"/>
    </sheetView>
  </sheetViews>
  <sheetFormatPr defaultColWidth="8.7109375" defaultRowHeight="15" x14ac:dyDescent="0.25"/>
  <cols>
    <col min="1" max="1" width="52.28515625" style="38" customWidth="1"/>
    <col min="2" max="5" width="11.7109375" style="38" customWidth="1"/>
    <col min="6" max="12" width="14.5703125" style="38" customWidth="1"/>
    <col min="13" max="16384" width="8.7109375" style="38"/>
  </cols>
  <sheetData>
    <row r="2" spans="1:12" ht="15.75" thickBot="1" x14ac:dyDescent="0.3"/>
    <row r="3" spans="1:12" ht="180.75" thickBot="1" x14ac:dyDescent="0.3">
      <c r="A3" s="39" t="s">
        <v>492</v>
      </c>
      <c r="B3" s="40" t="s">
        <v>403</v>
      </c>
      <c r="C3" s="40">
        <v>2023</v>
      </c>
      <c r="D3" s="40">
        <v>2024</v>
      </c>
      <c r="E3" s="40">
        <v>2025</v>
      </c>
      <c r="F3" s="95" t="s">
        <v>493</v>
      </c>
      <c r="G3" s="96" t="s">
        <v>494</v>
      </c>
      <c r="H3" s="96" t="s">
        <v>495</v>
      </c>
      <c r="I3" s="96" t="s">
        <v>496</v>
      </c>
      <c r="J3" s="96" t="s">
        <v>497</v>
      </c>
      <c r="K3" s="96" t="s">
        <v>498</v>
      </c>
      <c r="L3" s="97" t="s">
        <v>499</v>
      </c>
    </row>
    <row r="4" spans="1:12" x14ac:dyDescent="0.25">
      <c r="A4" s="41" t="s">
        <v>500</v>
      </c>
      <c r="B4" s="42"/>
      <c r="C4" s="42"/>
      <c r="D4" s="43"/>
      <c r="E4" s="43"/>
      <c r="L4" s="44"/>
    </row>
    <row r="5" spans="1:12" ht="24" x14ac:dyDescent="0.25">
      <c r="A5" s="68" t="s">
        <v>7</v>
      </c>
      <c r="B5" s="94">
        <f>SUM(C5:E5)</f>
        <v>9431738.4000000004</v>
      </c>
      <c r="C5" s="45">
        <f>Tegevuskava!D22</f>
        <v>0</v>
      </c>
      <c r="D5" s="45">
        <f>Tegevuskava!E22</f>
        <v>3053120.5493333335</v>
      </c>
      <c r="E5" s="45">
        <f>Tegevuskava!F22</f>
        <v>6378617.8506666664</v>
      </c>
      <c r="F5" s="46" t="s">
        <v>501</v>
      </c>
      <c r="G5" s="46" t="s">
        <v>501</v>
      </c>
      <c r="H5" s="46" t="s">
        <v>501</v>
      </c>
      <c r="I5" s="46" t="s">
        <v>501</v>
      </c>
      <c r="J5" s="46" t="s">
        <v>501</v>
      </c>
      <c r="K5" s="46" t="s">
        <v>501</v>
      </c>
      <c r="L5" s="47" t="s">
        <v>501</v>
      </c>
    </row>
    <row r="6" spans="1:12" ht="24" x14ac:dyDescent="0.25">
      <c r="A6" s="68" t="s">
        <v>502</v>
      </c>
      <c r="B6" s="94">
        <f t="shared" ref="B6:B8" si="0">SUM(C6:E6)</f>
        <v>0</v>
      </c>
      <c r="C6" s="45">
        <f>Tegevuskava!D23</f>
        <v>0</v>
      </c>
      <c r="D6" s="45">
        <f>Tegevuskava!E23</f>
        <v>0</v>
      </c>
      <c r="E6" s="45">
        <f>Tegevuskava!F23</f>
        <v>0</v>
      </c>
      <c r="F6" s="46" t="s">
        <v>501</v>
      </c>
      <c r="G6" s="46" t="s">
        <v>501</v>
      </c>
      <c r="H6" s="46" t="s">
        <v>501</v>
      </c>
      <c r="I6" s="46" t="s">
        <v>501</v>
      </c>
      <c r="J6" s="46" t="s">
        <v>501</v>
      </c>
      <c r="K6" s="46" t="s">
        <v>501</v>
      </c>
      <c r="L6" s="47" t="s">
        <v>501</v>
      </c>
    </row>
    <row r="7" spans="1:12" ht="36" x14ac:dyDescent="0.25">
      <c r="A7" s="68" t="s">
        <v>503</v>
      </c>
      <c r="B7" s="94">
        <f t="shared" si="0"/>
        <v>0</v>
      </c>
      <c r="C7" s="45">
        <f>Tegevuskava!D24</f>
        <v>0</v>
      </c>
      <c r="D7" s="45">
        <f>Tegevuskava!E24</f>
        <v>0</v>
      </c>
      <c r="E7" s="45">
        <f>Tegevuskava!F24</f>
        <v>0</v>
      </c>
      <c r="F7" s="46" t="s">
        <v>501</v>
      </c>
      <c r="G7" s="46" t="s">
        <v>501</v>
      </c>
      <c r="H7" s="46" t="s">
        <v>501</v>
      </c>
      <c r="I7" s="46" t="s">
        <v>501</v>
      </c>
      <c r="J7" s="46" t="s">
        <v>501</v>
      </c>
      <c r="K7" s="46" t="s">
        <v>501</v>
      </c>
      <c r="L7" s="47" t="s">
        <v>501</v>
      </c>
    </row>
    <row r="8" spans="1:12" ht="24.75" thickBot="1" x14ac:dyDescent="0.3">
      <c r="A8" s="69" t="s">
        <v>504</v>
      </c>
      <c r="B8" s="94">
        <f t="shared" si="0"/>
        <v>205612</v>
      </c>
      <c r="C8" s="45">
        <f>Tegevuskava!D25</f>
        <v>0</v>
      </c>
      <c r="D8" s="45">
        <f>Tegevuskava!E25</f>
        <v>60448</v>
      </c>
      <c r="E8" s="45">
        <f>Tegevuskava!F25</f>
        <v>145164</v>
      </c>
      <c r="F8" s="46" t="s">
        <v>501</v>
      </c>
      <c r="G8" s="46" t="s">
        <v>501</v>
      </c>
      <c r="H8" s="46" t="s">
        <v>501</v>
      </c>
      <c r="I8" s="46" t="s">
        <v>501</v>
      </c>
      <c r="J8" s="46" t="s">
        <v>501</v>
      </c>
      <c r="K8" s="46" t="s">
        <v>501</v>
      </c>
      <c r="L8" s="47" t="s">
        <v>501</v>
      </c>
    </row>
    <row r="9" spans="1:12" ht="15.75" thickBot="1" x14ac:dyDescent="0.3">
      <c r="A9" s="48" t="s">
        <v>505</v>
      </c>
      <c r="B9" s="93">
        <f>SUM(B5:B8)</f>
        <v>9637350.4000000004</v>
      </c>
      <c r="C9" s="93">
        <f>SUM(C5:C8)</f>
        <v>0</v>
      </c>
      <c r="D9" s="93">
        <f>SUM(D5:D8)</f>
        <v>3113568.5493333335</v>
      </c>
      <c r="E9" s="93">
        <f>SUM(E5:E8)</f>
        <v>6523781.8506666664</v>
      </c>
      <c r="F9" s="49"/>
      <c r="G9" s="49"/>
      <c r="H9" s="49"/>
      <c r="I9" s="49"/>
      <c r="J9" s="49"/>
      <c r="K9" s="49"/>
      <c r="L9" s="50"/>
    </row>
    <row r="10" spans="1:12" ht="15.75" thickBot="1" x14ac:dyDescent="0.3"/>
    <row r="11" spans="1:12" x14ac:dyDescent="0.25">
      <c r="A11" s="51" t="s">
        <v>25</v>
      </c>
      <c r="B11" s="678" t="s">
        <v>26</v>
      </c>
      <c r="C11" s="679"/>
      <c r="D11" s="679"/>
      <c r="E11" s="679"/>
      <c r="F11" s="679"/>
      <c r="G11" s="679"/>
      <c r="H11" s="679"/>
      <c r="I11" s="716"/>
    </row>
    <row r="12" spans="1:12" ht="30" x14ac:dyDescent="0.25">
      <c r="A12" s="52" t="s">
        <v>29</v>
      </c>
      <c r="B12" s="98" t="s">
        <v>506</v>
      </c>
      <c r="C12" s="99" t="s">
        <v>507</v>
      </c>
      <c r="D12" s="99" t="s">
        <v>508</v>
      </c>
      <c r="E12" s="99" t="s">
        <v>509</v>
      </c>
      <c r="F12" s="99" t="s">
        <v>510</v>
      </c>
      <c r="G12" s="99" t="s">
        <v>511</v>
      </c>
      <c r="H12" s="99" t="s">
        <v>512</v>
      </c>
      <c r="I12" s="100" t="s">
        <v>513</v>
      </c>
    </row>
    <row r="13" spans="1:12" ht="15.75" thickBot="1" x14ac:dyDescent="0.3">
      <c r="A13" s="53" t="s">
        <v>38</v>
      </c>
      <c r="B13" s="101">
        <f>'kuni 2025 detsember tegevuskava'!B19</f>
        <v>0</v>
      </c>
      <c r="C13" s="101">
        <f>'kuni 2025 detsember tegevuskava'!C19</f>
        <v>0</v>
      </c>
      <c r="D13" s="101">
        <f>'kuni 2025 detsember tegevuskava'!D19</f>
        <v>0</v>
      </c>
      <c r="E13" s="101">
        <f>'kuni 2025 detsember tegevuskava'!E19</f>
        <v>0</v>
      </c>
      <c r="F13" s="101">
        <f>'kuni 2025 detsember tegevuskava'!F19</f>
        <v>2744036</v>
      </c>
      <c r="G13" s="101">
        <f>'kuni 2025 detsember tegevuskava'!G19</f>
        <v>2744036</v>
      </c>
      <c r="H13" s="101">
        <f>'kuni 2025 detsember tegevuskava'!H19</f>
        <v>2744036</v>
      </c>
      <c r="I13" s="102">
        <f>'kuni 2025 detsember tegevuskava'!I19</f>
        <v>2744036</v>
      </c>
    </row>
    <row r="14" spans="1:12" x14ac:dyDescent="0.25">
      <c r="A14" s="51" t="s">
        <v>40</v>
      </c>
      <c r="B14" s="678" t="s">
        <v>41</v>
      </c>
      <c r="C14" s="679"/>
      <c r="D14" s="679"/>
      <c r="E14" s="679"/>
      <c r="F14" s="679"/>
      <c r="G14" s="679"/>
      <c r="H14" s="679"/>
      <c r="I14" s="716"/>
    </row>
    <row r="15" spans="1:12" ht="30" x14ac:dyDescent="0.25">
      <c r="A15" s="52" t="s">
        <v>29</v>
      </c>
      <c r="B15" s="98" t="s">
        <v>506</v>
      </c>
      <c r="C15" s="99" t="s">
        <v>507</v>
      </c>
      <c r="D15" s="99" t="s">
        <v>508</v>
      </c>
      <c r="E15" s="99" t="s">
        <v>509</v>
      </c>
      <c r="F15" s="99" t="s">
        <v>510</v>
      </c>
      <c r="G15" s="99" t="s">
        <v>511</v>
      </c>
      <c r="H15" s="99" t="s">
        <v>512</v>
      </c>
      <c r="I15" s="100" t="s">
        <v>513</v>
      </c>
    </row>
    <row r="16" spans="1:12" ht="15.75" thickBot="1" x14ac:dyDescent="0.3">
      <c r="A16" s="53" t="s">
        <v>38</v>
      </c>
      <c r="B16" s="101">
        <f>'kuni 2025 detsember tegevuskava'!B22</f>
        <v>0</v>
      </c>
      <c r="C16" s="101">
        <f>'kuni 2025 detsember tegevuskava'!C22</f>
        <v>0</v>
      </c>
      <c r="D16" s="101">
        <f>'kuni 2025 detsember tegevuskava'!D22</f>
        <v>0</v>
      </c>
      <c r="E16" s="101">
        <f>'kuni 2025 detsember tegevuskava'!E22</f>
        <v>10</v>
      </c>
      <c r="F16" s="101">
        <f>'kuni 2025 detsember tegevuskava'!F22</f>
        <v>13</v>
      </c>
      <c r="G16" s="101">
        <f>'kuni 2025 detsember tegevuskava'!G22</f>
        <v>13</v>
      </c>
      <c r="H16" s="101">
        <f>'kuni 2025 detsember tegevuskava'!H22</f>
        <v>13</v>
      </c>
      <c r="I16" s="102">
        <f>'kuni 2025 detsember tegevuskava'!I22</f>
        <v>13</v>
      </c>
    </row>
    <row r="17" spans="1:9" x14ac:dyDescent="0.25">
      <c r="A17" s="51" t="s">
        <v>40</v>
      </c>
      <c r="B17" s="678" t="s">
        <v>44</v>
      </c>
      <c r="C17" s="679"/>
      <c r="D17" s="679"/>
      <c r="E17" s="679"/>
      <c r="F17" s="679"/>
      <c r="G17" s="679"/>
      <c r="H17" s="679"/>
      <c r="I17" s="716"/>
    </row>
    <row r="18" spans="1:9" ht="30" x14ac:dyDescent="0.25">
      <c r="A18" s="52" t="s">
        <v>29</v>
      </c>
      <c r="B18" s="98" t="s">
        <v>506</v>
      </c>
      <c r="C18" s="99" t="s">
        <v>507</v>
      </c>
      <c r="D18" s="99" t="s">
        <v>508</v>
      </c>
      <c r="E18" s="99" t="s">
        <v>509</v>
      </c>
      <c r="F18" s="99" t="s">
        <v>510</v>
      </c>
      <c r="G18" s="99" t="s">
        <v>511</v>
      </c>
      <c r="H18" s="99" t="s">
        <v>512</v>
      </c>
      <c r="I18" s="100" t="s">
        <v>513</v>
      </c>
    </row>
    <row r="19" spans="1:9" x14ac:dyDescent="0.25">
      <c r="A19" s="460" t="s">
        <v>38</v>
      </c>
      <c r="B19" s="472">
        <f>'kuni 2025 detsember tegevuskava'!B25</f>
        <v>0</v>
      </c>
      <c r="C19" s="472">
        <f>'kuni 2025 detsember tegevuskava'!C25</f>
        <v>0</v>
      </c>
      <c r="D19" s="472">
        <f>'kuni 2025 detsember tegevuskava'!D25</f>
        <v>0</v>
      </c>
      <c r="E19" s="472">
        <f>'kuni 2025 detsember tegevuskava'!E25</f>
        <v>4</v>
      </c>
      <c r="F19" s="472">
        <f>'kuni 2025 detsember tegevuskava'!F25</f>
        <v>5</v>
      </c>
      <c r="G19" s="472">
        <f>'kuni 2025 detsember tegevuskava'!G25</f>
        <v>5</v>
      </c>
      <c r="H19" s="472">
        <f>'kuni 2025 detsember tegevuskava'!H25</f>
        <v>8</v>
      </c>
      <c r="I19" s="473">
        <f>'kuni 2025 detsember tegevuskava'!I25</f>
        <v>8</v>
      </c>
    </row>
    <row r="20" spans="1:9" ht="30" x14ac:dyDescent="0.25">
      <c r="A20" s="454" t="s">
        <v>47</v>
      </c>
      <c r="B20" s="705" t="s">
        <v>48</v>
      </c>
      <c r="C20" s="717"/>
      <c r="D20" s="717"/>
      <c r="E20" s="717"/>
      <c r="F20" s="717"/>
      <c r="G20" s="717"/>
      <c r="H20" s="717"/>
      <c r="I20" s="718"/>
    </row>
    <row r="21" spans="1:9" ht="30" x14ac:dyDescent="0.25">
      <c r="A21" s="455" t="s">
        <v>29</v>
      </c>
      <c r="B21" s="98" t="s">
        <v>506</v>
      </c>
      <c r="C21" s="99" t="s">
        <v>507</v>
      </c>
      <c r="D21" s="99" t="s">
        <v>508</v>
      </c>
      <c r="E21" s="99" t="s">
        <v>509</v>
      </c>
      <c r="F21" s="99" t="s">
        <v>510</v>
      </c>
      <c r="G21" s="99" t="s">
        <v>511</v>
      </c>
      <c r="H21" s="99" t="s">
        <v>512</v>
      </c>
      <c r="I21" s="462" t="s">
        <v>513</v>
      </c>
    </row>
    <row r="22" spans="1:9" ht="15.75" thickBot="1" x14ac:dyDescent="0.3">
      <c r="A22" s="456" t="s">
        <v>38</v>
      </c>
      <c r="B22" s="470" t="str">
        <f>'kuni 2025 detsember tegevuskava'!B28&amp;"%"</f>
        <v>0%</v>
      </c>
      <c r="C22" s="470" t="str">
        <f>'kuni 2025 detsember tegevuskava'!C28&amp;"%"</f>
        <v>0%</v>
      </c>
      <c r="D22" s="470" t="str">
        <f>'kuni 2025 detsember tegevuskava'!D28&amp;"%"</f>
        <v>%</v>
      </c>
      <c r="E22" s="470" t="str">
        <f>'kuni 2025 detsember tegevuskava'!E28&amp;"%"</f>
        <v>%</v>
      </c>
      <c r="F22" s="470" t="str">
        <f>'kuni 2025 detsember tegevuskava'!F28&amp;"%"</f>
        <v>%</v>
      </c>
      <c r="G22" s="470" t="str">
        <f>'kuni 2025 detsember tegevuskava'!G28&amp;"%"</f>
        <v>%</v>
      </c>
      <c r="H22" s="470" t="str">
        <f>'kuni 2025 detsember tegevuskava'!H28&amp;"%"</f>
        <v>%</v>
      </c>
      <c r="I22" s="471" t="str">
        <f>'kuni 2025 detsember tegevuskava'!I28&amp;"%"</f>
        <v>90%</v>
      </c>
    </row>
    <row r="25" spans="1:9" x14ac:dyDescent="0.25">
      <c r="A25" s="54"/>
    </row>
    <row r="26" spans="1:9" x14ac:dyDescent="0.25">
      <c r="A26" s="54"/>
    </row>
  </sheetData>
  <sheetProtection algorithmName="SHA-512" hashValue="XEHpNAfDy0/VgCnkL89FYHdjpdHP7Z3aK6bxZ0Wg6LntFRGGja4qgA/ye8Rvnu3D5USWAUyJuipqUMRJQ13U3Q==" saltValue="zW4X9mL/71IMWIOkblQa5A==" spinCount="100000" sheet="1" objects="1" scenarios="1"/>
  <mergeCells count="4">
    <mergeCell ref="B17:I17"/>
    <mergeCell ref="B20:I20"/>
    <mergeCell ref="B11:I11"/>
    <mergeCell ref="B14:I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3734-566D-4164-9349-C7CB173FC323}">
  <dimension ref="B2:AH267"/>
  <sheetViews>
    <sheetView showGridLines="0" tabSelected="1" topLeftCell="A241" zoomScaleNormal="100" workbookViewId="0">
      <selection activeCell="T264" sqref="T264"/>
    </sheetView>
  </sheetViews>
  <sheetFormatPr defaultColWidth="8.5703125" defaultRowHeight="15" x14ac:dyDescent="0.25"/>
  <cols>
    <col min="1" max="1" width="2.5703125" style="1" customWidth="1"/>
    <col min="2" max="2" width="18.7109375" style="1" customWidth="1"/>
    <col min="3" max="3" width="37.7109375" style="1" customWidth="1"/>
    <col min="4" max="4" width="28.140625" style="1" customWidth="1"/>
    <col min="5" max="5" width="42.28515625" style="1" customWidth="1"/>
    <col min="6" max="6" width="11.28515625" style="1" customWidth="1"/>
    <col min="7" max="7" width="2" style="1" customWidth="1"/>
    <col min="8" max="8" width="2.5703125" style="1" customWidth="1"/>
    <col min="9" max="9" width="11.42578125" style="1" customWidth="1"/>
    <col min="10" max="10" width="5.5703125" style="1" customWidth="1"/>
    <col min="11" max="11" width="11.28515625" style="1" customWidth="1"/>
    <col min="12" max="12" width="4.85546875" style="1" customWidth="1"/>
    <col min="13" max="13" width="11.42578125" style="1" customWidth="1"/>
    <col min="14" max="14" width="5.42578125" style="1" customWidth="1"/>
    <col min="15" max="15" width="10.42578125" style="1" customWidth="1"/>
    <col min="16" max="16" width="4.42578125" style="1" customWidth="1"/>
    <col min="17" max="17" width="10.5703125" style="186" customWidth="1"/>
    <col min="18" max="19" width="10.7109375" style="623" customWidth="1"/>
    <col min="20" max="20" width="10.5703125" style="623" customWidth="1"/>
    <col min="21" max="34" width="8.5703125" style="623"/>
    <col min="35" max="16384" width="8.5703125" style="1"/>
  </cols>
  <sheetData>
    <row r="2" spans="2:27" ht="48.6" customHeight="1" x14ac:dyDescent="0.25">
      <c r="B2" s="720" t="s">
        <v>751</v>
      </c>
      <c r="C2" s="720"/>
      <c r="D2" s="720"/>
      <c r="E2" s="720"/>
      <c r="F2" s="720"/>
      <c r="G2" s="720"/>
      <c r="H2" s="720"/>
      <c r="I2" s="720"/>
      <c r="J2" s="720"/>
      <c r="K2" s="720"/>
      <c r="L2" s="720"/>
      <c r="M2" s="720"/>
      <c r="N2" s="720"/>
      <c r="O2" s="720"/>
      <c r="P2" s="720"/>
    </row>
    <row r="3" spans="2:27" x14ac:dyDescent="0.25">
      <c r="B3" s="284" t="s">
        <v>514</v>
      </c>
    </row>
    <row r="5" spans="2:27" x14ac:dyDescent="0.25">
      <c r="B5" s="33" t="s">
        <v>515</v>
      </c>
    </row>
    <row r="6" spans="2:27" ht="349.5" customHeight="1" x14ac:dyDescent="0.25">
      <c r="B6" s="741" t="s">
        <v>516</v>
      </c>
      <c r="C6" s="742"/>
      <c r="D6" s="742"/>
      <c r="E6" s="742"/>
      <c r="F6" s="742"/>
      <c r="G6" s="742"/>
      <c r="H6" s="742"/>
      <c r="I6" s="742"/>
      <c r="J6" s="742"/>
      <c r="K6" s="742"/>
      <c r="L6" s="742"/>
      <c r="M6" s="742"/>
      <c r="N6" s="742"/>
      <c r="O6" s="742"/>
      <c r="P6" s="743"/>
      <c r="Q6" s="633"/>
      <c r="R6" s="624"/>
      <c r="S6" s="624"/>
      <c r="T6" s="624"/>
      <c r="U6" s="624"/>
    </row>
    <row r="7" spans="2:27" ht="27.95" customHeight="1" x14ac:dyDescent="0.25"/>
    <row r="8" spans="2:27" x14ac:dyDescent="0.25">
      <c r="B8" s="33" t="s">
        <v>517</v>
      </c>
    </row>
    <row r="9" spans="2:27" ht="41.45" customHeight="1" x14ac:dyDescent="0.25">
      <c r="B9" s="741"/>
      <c r="C9" s="742"/>
      <c r="D9" s="742"/>
      <c r="E9" s="742"/>
      <c r="F9" s="742"/>
      <c r="G9" s="742"/>
      <c r="H9" s="742"/>
      <c r="I9" s="742"/>
      <c r="J9" s="742"/>
      <c r="K9" s="742"/>
      <c r="L9" s="742"/>
      <c r="M9" s="742"/>
      <c r="N9" s="742"/>
      <c r="O9" s="742"/>
      <c r="P9" s="743"/>
      <c r="Q9" s="633"/>
      <c r="R9" s="624"/>
      <c r="S9" s="624"/>
      <c r="T9" s="624"/>
      <c r="U9" s="624"/>
    </row>
    <row r="11" spans="2:27" ht="15.75" thickBot="1" x14ac:dyDescent="0.3">
      <c r="B11" s="355" t="s">
        <v>518</v>
      </c>
      <c r="C11" s="128"/>
      <c r="D11" s="128"/>
      <c r="E11" s="128"/>
      <c r="F11" s="128"/>
      <c r="G11" s="128"/>
      <c r="H11" s="70"/>
      <c r="I11" s="70"/>
      <c r="J11" s="70"/>
      <c r="K11" s="155"/>
      <c r="L11" s="70"/>
      <c r="M11" s="70"/>
      <c r="N11" s="70"/>
      <c r="O11" s="70"/>
    </row>
    <row r="12" spans="2:27" ht="15.75" thickBot="1" x14ac:dyDescent="0.3">
      <c r="B12" s="356"/>
      <c r="C12" s="445" t="s">
        <v>519</v>
      </c>
      <c r="D12" s="443" t="s">
        <v>520</v>
      </c>
      <c r="E12" s="449" t="s">
        <v>521</v>
      </c>
      <c r="F12" s="446">
        <v>2025</v>
      </c>
      <c r="G12" s="128"/>
      <c r="H12" s="70"/>
      <c r="I12" s="70"/>
      <c r="J12" s="70"/>
      <c r="K12" s="346"/>
      <c r="L12" s="347"/>
      <c r="M12" s="347"/>
      <c r="N12" s="347"/>
      <c r="O12" s="155"/>
    </row>
    <row r="13" spans="2:27" ht="15.75" thickBot="1" x14ac:dyDescent="0.3">
      <c r="B13" s="358" t="s">
        <v>519</v>
      </c>
      <c r="C13" s="448">
        <f>SUM(D13:F13)</f>
        <v>16310422.5</v>
      </c>
      <c r="D13" s="444">
        <f>SUM(D14:D16)</f>
        <v>478000</v>
      </c>
      <c r="E13" s="450">
        <f t="shared" ref="E13:F13" si="0">SUM(E14:E16)</f>
        <v>5362889.4666666668</v>
      </c>
      <c r="F13" s="447">
        <f t="shared" si="0"/>
        <v>10469533.033333333</v>
      </c>
      <c r="G13" s="128"/>
      <c r="H13" s="70"/>
      <c r="I13" s="70"/>
      <c r="J13" s="70"/>
      <c r="K13" s="348"/>
      <c r="L13" s="349"/>
      <c r="M13" s="350"/>
      <c r="N13" s="350"/>
      <c r="O13" s="350"/>
    </row>
    <row r="14" spans="2:27" ht="33.6" customHeight="1" x14ac:dyDescent="0.25">
      <c r="B14" s="359" t="s">
        <v>522</v>
      </c>
      <c r="C14" s="360">
        <f t="shared" ref="C14:C16" si="1">SUM(D14:F14)</f>
        <v>4506146.5</v>
      </c>
      <c r="D14" s="361" cm="1">
        <f t="array" ref="D14">SUM('kuni 2025 detsember tegevuskava'!X166:Z166+'kuni 2025 detsember tegevuskava'!X169:Z169+'kuni 2025 detsember tegevuskava'!X172:Z172+'kuni 2025 detsember tegevuskava'!X175:Z175)</f>
        <v>478000</v>
      </c>
      <c r="E14" s="362" cm="1">
        <f t="array" ref="E14">SUM('kuni 2025 detsember tegevuskava'!AA166:AC166+'kuni 2025 detsember tegevuskava'!AA169:AC169+'kuni 2025 detsember tegevuskava'!AA172:AC172+'kuni 2025 detsember tegevuskava'!AA175:AC175)</f>
        <v>2059266</v>
      </c>
      <c r="F14" s="363" cm="1">
        <f t="array" ref="F14">SUM('kuni 2025 detsember tegevuskava'!AD166:AF166+'kuni 2025 detsember tegevuskava'!AD169:AF169+'kuni 2025 detsember tegevuskava'!AD172:AF172+'kuni 2025 detsember tegevuskava'!AD175:AF175)</f>
        <v>1968880.5</v>
      </c>
      <c r="G14" s="128"/>
      <c r="H14" s="70"/>
      <c r="I14" s="70"/>
      <c r="J14" s="70"/>
      <c r="K14" s="348"/>
      <c r="L14" s="349"/>
      <c r="M14" s="351"/>
      <c r="N14" s="351"/>
      <c r="O14" s="352"/>
      <c r="Q14" s="721"/>
      <c r="R14" s="721"/>
      <c r="S14" s="721"/>
      <c r="T14" s="721"/>
      <c r="U14" s="721"/>
      <c r="V14" s="721"/>
      <c r="W14" s="721"/>
      <c r="X14" s="721"/>
      <c r="Y14" s="721"/>
      <c r="Z14" s="721"/>
      <c r="AA14" s="721"/>
    </row>
    <row r="15" spans="2:27" ht="36" customHeight="1" x14ac:dyDescent="0.25">
      <c r="B15" s="364" t="s">
        <v>523</v>
      </c>
      <c r="C15" s="365">
        <f t="shared" si="1"/>
        <v>8033359</v>
      </c>
      <c r="D15" s="366" cm="1">
        <f t="array" ref="D15">SUM('kuni 2025 detsember tegevuskava'!X151:Z151+'kuni 2025 detsember tegevuskava'!X154:Z154+'kuni 2025 detsember tegevuskava'!X157:Z157+'kuni 2025 detsember tegevuskava'!X160:Z160)</f>
        <v>0</v>
      </c>
      <c r="E15" s="367" cm="1">
        <f t="array" ref="E15">SUM('kuni 2025 detsember tegevuskava'!AA151:AC151+'kuni 2025 detsember tegevuskava'!AA154:AC154+'kuni 2025 detsember tegevuskava'!AA157:AC157+'kuni 2025 detsember tegevuskava'!AA160:AC160)</f>
        <v>2579912.4666666668</v>
      </c>
      <c r="F15" s="368" cm="1">
        <f t="array" ref="F15">SUM('kuni 2025 detsember tegevuskava'!AD151:AF151+'kuni 2025 detsember tegevuskava'!AD154:AF154+'kuni 2025 detsember tegevuskava'!AD157:AF157+'kuni 2025 detsember tegevuskava'!AD160:AF160)</f>
        <v>5453446.5333333332</v>
      </c>
      <c r="G15" s="128"/>
      <c r="H15" s="70"/>
      <c r="I15" s="70"/>
      <c r="J15" s="70"/>
      <c r="K15" s="348"/>
      <c r="L15" s="349"/>
      <c r="M15" s="351"/>
      <c r="N15" s="351"/>
      <c r="O15" s="352"/>
      <c r="Q15" s="721"/>
      <c r="R15" s="721"/>
      <c r="S15" s="721"/>
      <c r="T15" s="721"/>
      <c r="U15" s="721"/>
      <c r="V15" s="721"/>
      <c r="W15" s="721"/>
      <c r="X15" s="721"/>
      <c r="Y15" s="721"/>
      <c r="Z15" s="721"/>
      <c r="AA15" s="721"/>
    </row>
    <row r="16" spans="2:27" ht="35.1" customHeight="1" thickBot="1" x14ac:dyDescent="0.3">
      <c r="B16" s="369" t="s">
        <v>524</v>
      </c>
      <c r="C16" s="370">
        <f t="shared" si="1"/>
        <v>3770917</v>
      </c>
      <c r="D16" s="371" cm="1">
        <f t="array" ref="D16">SUM('kuni 2025 detsember tegevuskava'!X181:Z181+'kuni 2025 detsember tegevuskava'!X184:Z184+'kuni 2025 detsember tegevuskava'!X187:Z187+'kuni 2025 detsember tegevuskava'!X190:Z190)</f>
        <v>0</v>
      </c>
      <c r="E16" s="372" cm="1">
        <f t="array" ref="E16">SUM('kuni 2025 detsember tegevuskava'!AA181:AC181+'kuni 2025 detsember tegevuskava'!AA184:AC184+'kuni 2025 detsember tegevuskava'!AA187:AC187+'kuni 2025 detsember tegevuskava'!AA190:AC190)</f>
        <v>723711</v>
      </c>
      <c r="F16" s="373" cm="1">
        <f t="array" ref="F16">SUM('kuni 2025 detsember tegevuskava'!AD181:AF181+'kuni 2025 detsember tegevuskava'!AD184:AF184+'kuni 2025 detsember tegevuskava'!AD187:AF187+'kuni 2025 detsember tegevuskava'!AD190:AF190)</f>
        <v>3047206</v>
      </c>
      <c r="G16" s="128"/>
      <c r="H16" s="70"/>
      <c r="I16" s="70"/>
      <c r="J16" s="70"/>
      <c r="K16" s="348"/>
      <c r="L16" s="349"/>
      <c r="M16" s="351"/>
      <c r="N16" s="351"/>
      <c r="O16" s="352"/>
      <c r="Q16" s="721"/>
      <c r="R16" s="721"/>
      <c r="S16" s="721"/>
      <c r="T16" s="721"/>
      <c r="U16" s="721"/>
      <c r="V16" s="721"/>
      <c r="W16" s="721"/>
      <c r="X16" s="721"/>
      <c r="Y16" s="721"/>
      <c r="Z16" s="721"/>
      <c r="AA16" s="721"/>
    </row>
    <row r="17" spans="2:18" x14ac:dyDescent="0.25">
      <c r="B17" s="128"/>
      <c r="C17" s="128"/>
      <c r="D17" s="128"/>
      <c r="E17" s="128"/>
      <c r="F17" s="128"/>
      <c r="G17" s="128"/>
      <c r="H17" s="70"/>
      <c r="I17" s="70"/>
      <c r="J17" s="70"/>
      <c r="K17" s="70"/>
      <c r="L17" s="70"/>
      <c r="M17" s="70"/>
      <c r="N17" s="70"/>
      <c r="O17" s="70"/>
    </row>
    <row r="18" spans="2:18" x14ac:dyDescent="0.25">
      <c r="B18" s="128"/>
      <c r="C18" s="128"/>
      <c r="D18" s="128"/>
      <c r="E18" s="128"/>
      <c r="F18" s="128"/>
      <c r="G18" s="128"/>
      <c r="H18" s="70"/>
      <c r="I18" s="70"/>
      <c r="J18" s="70"/>
      <c r="K18" s="70"/>
      <c r="L18" s="70"/>
      <c r="M18" s="70"/>
      <c r="N18" s="70"/>
      <c r="O18" s="70"/>
    </row>
    <row r="19" spans="2:18" x14ac:dyDescent="0.25">
      <c r="B19" s="355" t="s">
        <v>525</v>
      </c>
      <c r="C19" s="128"/>
      <c r="D19" s="128"/>
      <c r="E19" s="128"/>
      <c r="F19" s="128"/>
      <c r="G19" s="128"/>
      <c r="H19" s="70"/>
      <c r="I19" s="70"/>
      <c r="J19" s="70"/>
      <c r="K19" s="70"/>
      <c r="L19" s="70"/>
      <c r="M19" s="70"/>
      <c r="N19" s="70"/>
      <c r="O19" s="70"/>
    </row>
    <row r="20" spans="2:18" ht="15.75" thickBot="1" x14ac:dyDescent="0.3">
      <c r="B20" s="356"/>
      <c r="C20" s="374" t="s">
        <v>519</v>
      </c>
      <c r="D20" s="445" t="s">
        <v>520</v>
      </c>
      <c r="E20" s="443" t="s">
        <v>521</v>
      </c>
      <c r="F20" s="357" t="s">
        <v>526</v>
      </c>
      <c r="G20" s="128"/>
      <c r="H20" s="70"/>
      <c r="I20" s="70"/>
      <c r="J20" s="70"/>
      <c r="K20" s="70"/>
      <c r="L20" s="70"/>
      <c r="M20" s="70"/>
      <c r="N20" s="70"/>
      <c r="O20" s="70"/>
    </row>
    <row r="21" spans="2:18" ht="15.75" thickBot="1" x14ac:dyDescent="0.3">
      <c r="B21" s="375" t="s">
        <v>523</v>
      </c>
      <c r="C21" s="376">
        <f>SUM(D21:F21)</f>
        <v>9637350.4000000004</v>
      </c>
      <c r="D21" s="452">
        <f>SUM(D22:D25)</f>
        <v>0</v>
      </c>
      <c r="E21" s="451">
        <f t="shared" ref="E21:F21" si="2">SUM(E22:E25)</f>
        <v>3113568.5493333335</v>
      </c>
      <c r="F21" s="453">
        <f t="shared" si="2"/>
        <v>6523781.8506666664</v>
      </c>
      <c r="G21" s="128"/>
      <c r="H21" s="70"/>
      <c r="I21" s="70"/>
      <c r="J21" s="70"/>
      <c r="K21" s="70"/>
      <c r="L21" s="70"/>
      <c r="M21" s="70"/>
      <c r="N21" s="70"/>
      <c r="O21" s="70"/>
    </row>
    <row r="22" spans="2:18" ht="48" x14ac:dyDescent="0.25">
      <c r="B22" s="377" t="s">
        <v>7</v>
      </c>
      <c r="C22" s="378">
        <f>SUM(D22:F22)</f>
        <v>9431738.4000000004</v>
      </c>
      <c r="D22" s="379">
        <f>SUM('kuni 2025 detsember tegevuskava'!X152:Z152)</f>
        <v>0</v>
      </c>
      <c r="E22" s="380">
        <f>SUM('kuni 2025 detsember tegevuskava'!AA152:AC152)</f>
        <v>3053120.5493333335</v>
      </c>
      <c r="F22" s="381">
        <f>SUM('kuni 2025 detsember tegevuskava'!AD152:AF152)</f>
        <v>6378617.8506666664</v>
      </c>
      <c r="G22" s="128"/>
      <c r="H22" s="70"/>
      <c r="I22" s="70"/>
      <c r="J22" s="70"/>
      <c r="K22" s="70"/>
      <c r="L22" s="70"/>
      <c r="M22" s="70"/>
      <c r="N22" s="70"/>
      <c r="O22" s="70"/>
    </row>
    <row r="23" spans="2:18" ht="72" x14ac:dyDescent="0.25">
      <c r="B23" s="377" t="s">
        <v>502</v>
      </c>
      <c r="C23" s="382">
        <f t="shared" ref="C23:C25" si="3">SUM(D23:F23)</f>
        <v>0</v>
      </c>
      <c r="D23" s="383">
        <f>SUM('kuni 2025 detsember tegevuskava'!X155:Z155)</f>
        <v>0</v>
      </c>
      <c r="E23" s="384">
        <f>SUM('kuni 2025 detsember tegevuskava'!AA155:AC155)</f>
        <v>0</v>
      </c>
      <c r="F23" s="385">
        <f>SUM('kuni 2025 detsember tegevuskava'!AD155:AF155)</f>
        <v>0</v>
      </c>
      <c r="G23" s="128"/>
      <c r="H23" s="70"/>
      <c r="I23" s="70"/>
      <c r="J23" s="70"/>
      <c r="K23" s="70"/>
      <c r="L23" s="70"/>
      <c r="M23" s="70"/>
      <c r="N23" s="70"/>
      <c r="O23" s="70"/>
    </row>
    <row r="24" spans="2:18" ht="108" x14ac:dyDescent="0.25">
      <c r="B24" s="377" t="s">
        <v>503</v>
      </c>
      <c r="C24" s="382">
        <f t="shared" si="3"/>
        <v>0</v>
      </c>
      <c r="D24" s="383">
        <f>SUM('kuni 2025 detsember tegevuskava'!X158:Z158)</f>
        <v>0</v>
      </c>
      <c r="E24" s="384">
        <f>SUM('kuni 2025 detsember tegevuskava'!AA158:AC158)</f>
        <v>0</v>
      </c>
      <c r="F24" s="385">
        <f>SUM('kuni 2025 detsember tegevuskava'!AD158:AF158)</f>
        <v>0</v>
      </c>
      <c r="G24" s="128"/>
      <c r="H24" s="70"/>
      <c r="I24" s="70"/>
      <c r="J24" s="70"/>
      <c r="K24" s="70"/>
      <c r="L24" s="70"/>
      <c r="M24" s="70"/>
      <c r="N24" s="70"/>
      <c r="O24" s="70"/>
    </row>
    <row r="25" spans="2:18" ht="72.75" thickBot="1" x14ac:dyDescent="0.3">
      <c r="B25" s="386" t="s">
        <v>504</v>
      </c>
      <c r="C25" s="387">
        <f t="shared" si="3"/>
        <v>205612</v>
      </c>
      <c r="D25" s="388">
        <f>SUM('kuni 2025 detsember tegevuskava'!X161:Z161)</f>
        <v>0</v>
      </c>
      <c r="E25" s="389">
        <f>SUM('kuni 2025 detsember tegevuskava'!AA161:AC161)</f>
        <v>60448</v>
      </c>
      <c r="F25" s="390">
        <f>SUM('kuni 2025 detsember tegevuskava'!AD161:AF161)</f>
        <v>145164</v>
      </c>
      <c r="G25" s="128"/>
      <c r="H25" s="70"/>
      <c r="I25" s="70"/>
      <c r="J25" s="70"/>
      <c r="K25" s="70"/>
      <c r="L25" s="70"/>
      <c r="M25" s="70"/>
      <c r="N25" s="70"/>
      <c r="O25" s="70"/>
    </row>
    <row r="27" spans="2:18" ht="15.75" thickBot="1" x14ac:dyDescent="0.3"/>
    <row r="28" spans="2:18" ht="30.6" customHeight="1" x14ac:dyDescent="0.25">
      <c r="B28" s="722" t="s">
        <v>527</v>
      </c>
      <c r="C28" s="724" t="s">
        <v>60</v>
      </c>
      <c r="D28" s="724" t="s">
        <v>61</v>
      </c>
      <c r="E28" s="129" t="s">
        <v>62</v>
      </c>
      <c r="F28" s="726" t="s">
        <v>528</v>
      </c>
      <c r="G28" s="727"/>
      <c r="H28" s="728"/>
      <c r="I28" s="731" t="s">
        <v>68</v>
      </c>
      <c r="J28" s="732"/>
      <c r="K28" s="731" t="s">
        <v>529</v>
      </c>
      <c r="L28" s="732"/>
      <c r="M28" s="731" t="s">
        <v>530</v>
      </c>
      <c r="N28" s="732"/>
      <c r="O28" s="731" t="s">
        <v>531</v>
      </c>
      <c r="P28" s="735"/>
    </row>
    <row r="29" spans="2:18" ht="15.75" thickBot="1" x14ac:dyDescent="0.3">
      <c r="B29" s="723"/>
      <c r="C29" s="725"/>
      <c r="D29" s="725"/>
      <c r="E29" s="398"/>
      <c r="F29" s="729"/>
      <c r="G29" s="729"/>
      <c r="H29" s="730"/>
      <c r="I29" s="733" t="s">
        <v>532</v>
      </c>
      <c r="J29" s="734"/>
      <c r="K29" s="733" t="s">
        <v>532</v>
      </c>
      <c r="L29" s="734"/>
      <c r="M29" s="733" t="s">
        <v>532</v>
      </c>
      <c r="N29" s="734"/>
      <c r="O29" s="733" t="s">
        <v>532</v>
      </c>
      <c r="P29" s="736"/>
    </row>
    <row r="30" spans="2:18" ht="17.45" customHeight="1" x14ac:dyDescent="0.25">
      <c r="B30" s="395" t="s">
        <v>533</v>
      </c>
      <c r="C30" s="396"/>
      <c r="D30" s="396"/>
      <c r="E30" s="396"/>
      <c r="F30" s="397"/>
      <c r="I30" s="630">
        <f>SUM(I31:I33)</f>
        <v>16166254.5</v>
      </c>
      <c r="J30" s="392"/>
      <c r="K30" s="630">
        <f>SUM(K31:K33)</f>
        <v>478000</v>
      </c>
      <c r="L30" s="634"/>
      <c r="M30" s="630">
        <f>SUM(M31:M33)</f>
        <v>5362889.4666666677</v>
      </c>
      <c r="N30" s="635"/>
      <c r="O30" s="630">
        <f>SUM(O31:O33)</f>
        <v>10325365.033333335</v>
      </c>
      <c r="P30" s="61"/>
    </row>
    <row r="31" spans="2:18" ht="17.100000000000001" customHeight="1" x14ac:dyDescent="0.25">
      <c r="B31" s="120"/>
      <c r="C31" s="8"/>
      <c r="D31" s="8"/>
      <c r="E31" s="8"/>
      <c r="F31" s="394"/>
      <c r="I31" s="671">
        <f>SUM(I45+I50+I55+I60+I65+I70+I75+I80+I95+I105+I110+I115+I120+I125+I130+I135+I157+I162+I172+I184+I189+I199+I204+I213+I218+I223+I228+I233+I245)</f>
        <v>12996400.5</v>
      </c>
      <c r="J31" s="392" t="str">
        <f>"(15)"</f>
        <v>(15)</v>
      </c>
      <c r="K31" s="631">
        <f>SUM(K45++K50+K55+K60+K65+K70+K75+K80+K95+K105+K110+K115+K120+K125+K130+K135+K157+K162+K172+K184+K189+K199+K204+K213+K218+K223+K228+K233+K245)</f>
        <v>478000</v>
      </c>
      <c r="L31" s="635" t="str">
        <f>"(15)"</f>
        <v>(15)</v>
      </c>
      <c r="M31" s="631">
        <f>SUM(M45+M50+M55+M60+M65+M70+M75+M80+M95+M105+M110+M115+M120+M125+M130+M135+M157+M162+M172+M184+M189+M199+M204+M213+M218+M223+M228+M233+M245)</f>
        <v>4900455.4666666677</v>
      </c>
      <c r="N31" s="635" t="str">
        <f>"(15)"</f>
        <v>(15)</v>
      </c>
      <c r="O31" s="631">
        <f>SUM(O45+O50+O55+O60+O65+O70+O75+O80+O95+O105+O110+O115+O120+O125+O130+O135+O157+O162+O172+O184+O189+O199+O204+O213+O218+O223+O228+O233+O245)</f>
        <v>7617945.0333333341</v>
      </c>
      <c r="P31" s="61" t="str">
        <f>"(15)"</f>
        <v>(15)</v>
      </c>
      <c r="Q31" s="352"/>
      <c r="R31" s="632"/>
    </row>
    <row r="32" spans="2:18" ht="17.100000000000001" customHeight="1" x14ac:dyDescent="0.25">
      <c r="B32" s="118"/>
      <c r="C32" s="8"/>
      <c r="D32" s="8"/>
      <c r="E32" s="8"/>
      <c r="F32" s="394"/>
      <c r="H32" s="391"/>
      <c r="I32" s="631">
        <f>SUM(I35+I40+I140+I145+I150+I167+I177+I194+I205+I238+I250+I257)</f>
        <v>2601823</v>
      </c>
      <c r="J32" s="392" t="str">
        <f>"(50)"</f>
        <v>(50)</v>
      </c>
      <c r="K32" s="631">
        <f>SUM(K35+K40+K140+K145+K150+K167+K177+K194+K205+K238+K250+K257)</f>
        <v>0</v>
      </c>
      <c r="L32" s="635" t="str">
        <f>"(50)"</f>
        <v>(50)</v>
      </c>
      <c r="M32" s="631">
        <f>SUM(M35+M40+M140+M145+M150+M167+M177+M194+M205+M238+M250+M257)</f>
        <v>398251</v>
      </c>
      <c r="N32" s="635" t="str">
        <f>"(50)"</f>
        <v>(50)</v>
      </c>
      <c r="O32" s="631">
        <f>SUM(O35+O40+O140+O145+O150+O167+O177+O194+O205+O238+O250+O257)</f>
        <v>2203572</v>
      </c>
      <c r="P32" s="61" t="str">
        <f>"(50)"</f>
        <v>(50)</v>
      </c>
    </row>
    <row r="33" spans="2:16" ht="17.100000000000001" customHeight="1" thickBot="1" x14ac:dyDescent="0.3">
      <c r="B33" s="118"/>
      <c r="C33" s="8"/>
      <c r="D33" s="8"/>
      <c r="E33" s="8"/>
      <c r="F33" s="394"/>
      <c r="H33" s="391"/>
      <c r="I33" s="631">
        <f>SUM(I100+I151+I178+I206+I239+I251+I258)</f>
        <v>568031</v>
      </c>
      <c r="J33" s="392" t="str">
        <f>"(55)"</f>
        <v>(55)</v>
      </c>
      <c r="K33" s="631">
        <f>SUM(K100+K151+K178+K206)</f>
        <v>0</v>
      </c>
      <c r="L33" s="635" t="str">
        <f>"(55)"</f>
        <v>(55)</v>
      </c>
      <c r="M33" s="631">
        <f>SUM(M100+M151+M178+M206+M239+M251+M258)</f>
        <v>64183</v>
      </c>
      <c r="N33" s="635" t="str">
        <f>"(55)"</f>
        <v>(55)</v>
      </c>
      <c r="O33" s="631">
        <f>SUM(O100+O151+O178+O206+O239+O251+O258)</f>
        <v>503848</v>
      </c>
      <c r="P33" s="61" t="str">
        <f>"(55)"</f>
        <v>(55)</v>
      </c>
    </row>
    <row r="34" spans="2:16" ht="14.65" customHeight="1" x14ac:dyDescent="0.25">
      <c r="B34" s="737" t="str">
        <f>'kuni 2025 detsember tegevuskava'!A35&amp;"/"&amp;'kuni 2025 detsember tegevuskava'!C35</f>
        <v>Siseministeerium/Siseministeerium</v>
      </c>
      <c r="C34" s="744" t="str">
        <f>'kuni 2025 detsember tegevuskava'!I35</f>
        <v xml:space="preserve">Siseministeeriumis) puudub võimekus valitsemisala-üleseks teenuspõhise juhtimise koordineerimiseks, mis tagaks valitsemisala üleselt teenuste korrastamise, ja tervikliku planeerimise ning eelarvestamise. </v>
      </c>
      <c r="D34" s="744">
        <f>'kuni 2025 detsember tegevuskava'!J35</f>
        <v>0</v>
      </c>
      <c r="E34" s="744" t="str">
        <f>'kuni 2025 detsember tegevuskava'!K35</f>
        <v>Siseminsteeriumis on tööl teenuste juht, alustatud on teenuste korrastamise valitsemisalaülest projekti (2024-2026).Teenuspõhise juhtimise juurutamist peab toetama IKT süsteem. Valitsemisalaüleselt on kasutusele võetud PlanPro keskkond.</v>
      </c>
      <c r="F34" s="744" t="str">
        <f>'kuni 2025 detsember tegevuskava'!P35&amp;"/"</f>
        <v>SF 21-27 (taotletav raha)/</v>
      </c>
      <c r="G34" s="647" cm="1">
        <f t="array" ref="G34">_xlfn.IFS('kuni 2025 detsember tegevuskava'!G35='kuni 2025 detsember tegevuskava'!$G$151,1,'kuni 2025 detsember tegevuskava'!G35='kuni 2025 detsember tegevuskava'!$G$152,2,'kuni 2025 detsember tegevuskava'!G35='kuni 2025 detsember tegevuskava'!$G$153,3,'kuni 2025 detsember tegevuskava'!G35='kuni 2025 detsember tegevuskava'!$G$154,4)</f>
        <v>4</v>
      </c>
      <c r="H34" s="354" cm="1">
        <f t="array" ref="H34">_xlfn.IFS(OR('kuni 2025 detsember tegevuskava'!P35='kuni 2025 detsember tegevuskava'!$P$151,'kuni 2025 detsember tegevuskava'!P35='kuni 2025 detsember tegevuskava'!$P$153,'kuni 2025 detsember tegevuskava'!P35='kuni 2025 detsember tegevuskava'!$P$154,'kuni 2025 detsember tegevuskava'!P35='kuni 2025 detsember tegevuskava'!$P$155),1,'kuni 2025 detsember tegevuskava'!P35='kuni 2025 detsember tegevuskava'!$P$156,2,'kuni 2025 detsember tegevuskava'!P35='kuni 2025 detsember tegevuskava'!$P$157,2,'kuni 2025 detsember tegevuskava'!P35='kuni 2025 detsember tegevuskava'!$P$152,3)</f>
        <v>2</v>
      </c>
      <c r="I34" s="117">
        <f>SUM(I35:I35)</f>
        <v>83850</v>
      </c>
      <c r="J34" s="648"/>
      <c r="K34" s="56">
        <f>SUM(K35:K35)</f>
        <v>0</v>
      </c>
      <c r="L34" s="649"/>
      <c r="M34" s="56">
        <f>SUM(M35:M35)</f>
        <v>31850</v>
      </c>
      <c r="N34" s="59"/>
      <c r="O34" s="56">
        <f>SUM(O35:O35)</f>
        <v>52000</v>
      </c>
      <c r="P34" s="60"/>
    </row>
    <row r="35" spans="2:16" ht="17.25" x14ac:dyDescent="0.25">
      <c r="B35" s="738"/>
      <c r="C35" s="745"/>
      <c r="D35" s="745"/>
      <c r="E35" s="745"/>
      <c r="F35" s="745"/>
      <c r="G35" s="636"/>
      <c r="H35" s="391"/>
      <c r="I35" s="115">
        <f t="shared" ref="I35" si="4">SUM(K35+M35+O35)</f>
        <v>83850</v>
      </c>
      <c r="J35" s="640" t="str">
        <f>"(50)"</f>
        <v>(50)</v>
      </c>
      <c r="K35" s="55">
        <f>'kuni 2025 detsember tegevuskava'!Y35</f>
        <v>0</v>
      </c>
      <c r="L35" s="640" t="str">
        <f>"(50)"</f>
        <v>(50)</v>
      </c>
      <c r="M35" s="55">
        <f>'kuni 2025 detsember tegevuskava'!AB35</f>
        <v>31850</v>
      </c>
      <c r="N35" s="640" t="str">
        <f>"(50)"</f>
        <v>(50)</v>
      </c>
      <c r="O35" s="55">
        <f>'kuni 2025 detsember tegevuskava'!AE35</f>
        <v>52000</v>
      </c>
      <c r="P35" s="61" t="str">
        <f>"(50)"</f>
        <v>(50)</v>
      </c>
    </row>
    <row r="36" spans="2:16" ht="17.25" x14ac:dyDescent="0.25">
      <c r="B36" s="738"/>
      <c r="C36" s="745"/>
      <c r="D36" s="745"/>
      <c r="E36" s="745"/>
      <c r="F36" s="745"/>
      <c r="G36" s="636"/>
      <c r="H36" s="391"/>
      <c r="I36" s="114" t="s">
        <v>534</v>
      </c>
      <c r="J36" s="122"/>
      <c r="K36" s="637"/>
      <c r="L36" s="638"/>
      <c r="M36" s="637"/>
      <c r="N36" s="638"/>
      <c r="O36" s="637"/>
      <c r="P36" s="650"/>
    </row>
    <row r="37" spans="2:16" ht="17.25" x14ac:dyDescent="0.25">
      <c r="B37" s="738"/>
      <c r="C37" s="745"/>
      <c r="D37" s="745"/>
      <c r="E37" s="745"/>
      <c r="F37" s="745"/>
      <c r="G37" s="636"/>
      <c r="H37" s="391"/>
      <c r="I37" s="116">
        <f>SUM(I38:I38)</f>
        <v>83850</v>
      </c>
      <c r="J37" s="640"/>
      <c r="K37" s="116">
        <f>SUM(K38:K38)</f>
        <v>0</v>
      </c>
      <c r="L37" s="393"/>
      <c r="M37" s="639">
        <f>SUM(M38:M38)</f>
        <v>31850</v>
      </c>
      <c r="N37" s="123"/>
      <c r="O37" s="639">
        <f>SUM(O38:O38)</f>
        <v>52000</v>
      </c>
      <c r="P37" s="77"/>
    </row>
    <row r="38" spans="2:16" ht="49.5" customHeight="1" thickBot="1" x14ac:dyDescent="0.3">
      <c r="B38" s="739"/>
      <c r="C38" s="746"/>
      <c r="D38" s="746"/>
      <c r="E38" s="746"/>
      <c r="F38" s="746"/>
      <c r="G38" s="651"/>
      <c r="H38" s="353"/>
      <c r="I38" s="652">
        <f t="shared" ref="I38" si="5">SUM(K38+M38+O38)</f>
        <v>83850</v>
      </c>
      <c r="J38" s="653" t="str">
        <f>"(50)"</f>
        <v>(50)</v>
      </c>
      <c r="K38" s="654">
        <f>K35</f>
        <v>0</v>
      </c>
      <c r="L38" s="653" t="str">
        <f>"(50)"</f>
        <v>(50)</v>
      </c>
      <c r="M38" s="654">
        <f>M35</f>
        <v>31850</v>
      </c>
      <c r="N38" s="653" t="str">
        <f>"(50)"</f>
        <v>(50)</v>
      </c>
      <c r="O38" s="654">
        <f>O35</f>
        <v>52000</v>
      </c>
      <c r="P38" s="655" t="str">
        <f>"(50)"</f>
        <v>(50)</v>
      </c>
    </row>
    <row r="39" spans="2:16" ht="17.25" x14ac:dyDescent="0.25">
      <c r="B39" s="737" t="str">
        <f>'kuni 2025 detsember tegevuskava'!A36&amp;"/"&amp;'kuni 2025 detsember tegevuskava'!C36</f>
        <v>Siseministeerium/</v>
      </c>
      <c r="C39" s="744" t="str">
        <f>'kuni 2025 detsember tegevuskava'!I36</f>
        <v>Digipöörde elluviijal SIMil ei ole vajalikku ressrussi, et kontrollida parnerite dokumentatsiooni, koondada arved, maksetaotlused jne ning eistada need e-toetuste keskkonnas RÜ-le</v>
      </c>
      <c r="D39" s="744" t="str">
        <f>'kuni 2025 detsember tegevuskava'!J36</f>
        <v>Digipöörde projektijuhtimine</v>
      </c>
      <c r="E39" s="744" t="str">
        <f>'kuni 2025 detsember tegevuskava'!K36</f>
        <v>Värvatud on SIM digipöörde projektijuht</v>
      </c>
      <c r="F39" s="744" t="str">
        <f>'kuni 2025 detsember tegevuskava'!P36&amp;"/"</f>
        <v>SF 21-27 (taotletav raha)/</v>
      </c>
      <c r="G39" s="647" cm="1">
        <f t="array" ref="G39">_xlfn.IFS('kuni 2025 detsember tegevuskava'!G36='kuni 2025 detsember tegevuskava'!$G$151,1,'kuni 2025 detsember tegevuskava'!G36='kuni 2025 detsember tegevuskava'!$G$152,2,'kuni 2025 detsember tegevuskava'!G36='kuni 2025 detsember tegevuskava'!$G$153,3,'kuni 2025 detsember tegevuskava'!G36='kuni 2025 detsember tegevuskava'!$G$154,4)</f>
        <v>4</v>
      </c>
      <c r="H39" s="354" cm="1">
        <f t="array" ref="H39">_xlfn.IFS(OR('kuni 2025 detsember tegevuskava'!P36='kuni 2025 detsember tegevuskava'!$P$151,'kuni 2025 detsember tegevuskava'!P36='kuni 2025 detsember tegevuskava'!$P$153,'kuni 2025 detsember tegevuskava'!P36='kuni 2025 detsember tegevuskava'!$P$154,'kuni 2025 detsember tegevuskava'!P36='kuni 2025 detsember tegevuskava'!$P$155),1,'kuni 2025 detsember tegevuskava'!P36='kuni 2025 detsember tegevuskava'!$P$156,2,'kuni 2025 detsember tegevuskava'!P36='kuni 2025 detsember tegevuskava'!$P$157,2,'kuni 2025 detsember tegevuskava'!P36='kuni 2025 detsember tegevuskava'!$P$152,3)</f>
        <v>2</v>
      </c>
      <c r="I39" s="117">
        <f>SUM(I40:I40)</f>
        <v>73594</v>
      </c>
      <c r="J39" s="57"/>
      <c r="K39" s="117">
        <f>SUM(K40:K40)</f>
        <v>0</v>
      </c>
      <c r="L39" s="58"/>
      <c r="M39" s="117">
        <f>SUM(M40:M40)</f>
        <v>28598</v>
      </c>
      <c r="N39" s="59"/>
      <c r="O39" s="56">
        <f>SUM(O40:O40)</f>
        <v>44996</v>
      </c>
      <c r="P39" s="60"/>
    </row>
    <row r="40" spans="2:16" ht="17.25" x14ac:dyDescent="0.25">
      <c r="B40" s="738"/>
      <c r="C40" s="745"/>
      <c r="D40" s="745"/>
      <c r="E40" s="745"/>
      <c r="F40" s="745"/>
      <c r="G40" s="636"/>
      <c r="H40" s="391"/>
      <c r="I40" s="115">
        <f t="shared" ref="I40" si="6">SUM(K40+M40+O40)</f>
        <v>73594</v>
      </c>
      <c r="J40" s="640" t="str">
        <f>"(50)"</f>
        <v>(50)</v>
      </c>
      <c r="K40" s="55">
        <f>'kuni 2025 detsember tegevuskava'!Y36</f>
        <v>0</v>
      </c>
      <c r="L40" s="640" t="str">
        <f>"(50)"</f>
        <v>(50)</v>
      </c>
      <c r="M40" s="55">
        <f>'kuni 2025 detsember tegevuskava'!AB36</f>
        <v>28598</v>
      </c>
      <c r="N40" s="640" t="str">
        <f>"(50)"</f>
        <v>(50)</v>
      </c>
      <c r="O40" s="55">
        <f>'kuni 2025 detsember tegevuskava'!AE36</f>
        <v>44996</v>
      </c>
      <c r="P40" s="61" t="str">
        <f>"(50)"</f>
        <v>(50)</v>
      </c>
    </row>
    <row r="41" spans="2:16" ht="17.25" x14ac:dyDescent="0.25">
      <c r="B41" s="738"/>
      <c r="C41" s="745"/>
      <c r="D41" s="745"/>
      <c r="E41" s="745"/>
      <c r="F41" s="745"/>
      <c r="G41" s="636"/>
      <c r="H41" s="391"/>
      <c r="I41" s="114" t="s">
        <v>534</v>
      </c>
      <c r="J41" s="130"/>
      <c r="K41" s="130"/>
      <c r="L41" s="130"/>
      <c r="M41" s="130"/>
      <c r="N41" s="130"/>
      <c r="O41" s="130"/>
      <c r="P41" s="131"/>
    </row>
    <row r="42" spans="2:16" ht="17.25" x14ac:dyDescent="0.25">
      <c r="B42" s="738"/>
      <c r="C42" s="745"/>
      <c r="D42" s="745"/>
      <c r="E42" s="745"/>
      <c r="F42" s="745"/>
      <c r="G42" s="636"/>
      <c r="H42" s="391"/>
      <c r="I42" s="116">
        <f>SUM(I43:I43)</f>
        <v>73594</v>
      </c>
      <c r="J42" s="640"/>
      <c r="K42" s="116">
        <f>SUM(K43:K43)</f>
        <v>0</v>
      </c>
      <c r="L42" s="641"/>
      <c r="M42" s="116">
        <f>SUM(M43:M43)</f>
        <v>28598</v>
      </c>
      <c r="O42" s="116">
        <f>SUM(O43:O43)</f>
        <v>44996</v>
      </c>
      <c r="P42" s="62"/>
    </row>
    <row r="43" spans="2:16" ht="18" thickBot="1" x14ac:dyDescent="0.3">
      <c r="B43" s="739"/>
      <c r="C43" s="746"/>
      <c r="D43" s="746"/>
      <c r="E43" s="746"/>
      <c r="F43" s="746"/>
      <c r="G43" s="651"/>
      <c r="H43" s="353"/>
      <c r="I43" s="652">
        <f t="shared" ref="I43" si="7">SUM(K43+M43+O43)</f>
        <v>73594</v>
      </c>
      <c r="J43" s="653" t="str">
        <f>"(50)"</f>
        <v>(50)</v>
      </c>
      <c r="K43" s="654">
        <f>K40</f>
        <v>0</v>
      </c>
      <c r="L43" s="653" t="str">
        <f>"(50)"</f>
        <v>(50)</v>
      </c>
      <c r="M43" s="654">
        <f>M40</f>
        <v>28598</v>
      </c>
      <c r="N43" s="653" t="str">
        <f>"(50)"</f>
        <v>(50)</v>
      </c>
      <c r="O43" s="654">
        <f>O40</f>
        <v>44996</v>
      </c>
      <c r="P43" s="655" t="str">
        <f>"(50)"</f>
        <v>(50)</v>
      </c>
    </row>
    <row r="44" spans="2:16" ht="17.25" x14ac:dyDescent="0.25">
      <c r="B44" s="737" t="str">
        <f>'kuni 2025 detsember tegevuskava'!A38&amp;"/"&amp;'kuni 2025 detsember tegevuskava'!C38</f>
        <v>Siseministeerium /SMIT</v>
      </c>
      <c r="C44" s="744" t="str">
        <f>'kuni 2025 detsember tegevuskava'!I38</f>
        <v>Rahvastikuregistri haldusandmeid hoitakse ning hallatakse igas keskkonnas (arendus, test, toodang) eraldi, mis tekitab erinevaid veaolukordi. Valesti sisestatud asutus võib tekitada teenuse kasutamise tõrke või võimaldada ligipääsu andmetele neil, kellel ei ole selleks vajadust. Häälestusparameetrite valesti sisestamine või keskkonniti erinemine põhjustab tarkvara töö probleeme, mille põhjust on raske määratleda, kuna rakenduse kood keskkonniti on sama.
Keskkondade automaatne ühtlustamine/replikeerimine on võimatu, sest keskkonniti erinevad andmete identifikaatorid.
Hetke lahenduses ei ole võimalik fikseerida andmete algseisu ning säilitada muudatuste ajalugu. Olemasolev haldusandmete hoidmise ja haldamise kasutajaliides on iganenud töölauarakendus, selle kasutusmugavuse (UX/UI) peale pole peaaegu üldse mõeldud, kasutamine on ebamugav ja kohmakas. Lisaks on selle autentimise ja autoriseerimise lahendus puudulik.</v>
      </c>
      <c r="D44" s="744" t="str">
        <f>'kuni 2025 detsember tegevuskava'!J38</f>
        <v xml:space="preserve">SF Rahvastikuregistrist haldusandmete haldamise keskse süsteemi II (asutused ja häälestusparameetrid) etapi arendus  [RR KAASAJASTAMINE] *
</v>
      </c>
      <c r="E44" s="744" t="str">
        <f>'kuni 2025 detsember tegevuskava'!K38</f>
        <v>Kesksesse halduslahendusse on lisatud asutuste ja häälestusparamaeetrite haldamine</v>
      </c>
      <c r="F44" s="744" t="str">
        <f>'kuni 2025 detsember tegevuskava'!P38&amp;"/"</f>
        <v>SF 21-27 (taotletav raha)/</v>
      </c>
      <c r="G44" s="647" cm="1">
        <f t="array" ref="G44">_xlfn.IFS('kuni 2025 detsember tegevuskava'!G38='kuni 2025 detsember tegevuskava'!$G$151,1,'kuni 2025 detsember tegevuskava'!G38='kuni 2025 detsember tegevuskava'!$G$152,2,'kuni 2025 detsember tegevuskava'!G38='kuni 2025 detsember tegevuskava'!$G$153,3,'kuni 2025 detsember tegevuskava'!G38='kuni 2025 detsember tegevuskava'!$G$154,4)</f>
        <v>1</v>
      </c>
      <c r="H44" s="354" cm="1">
        <f t="array" ref="H44">_xlfn.IFS(OR('kuni 2025 detsember tegevuskava'!P38='kuni 2025 detsember tegevuskava'!$P$151,'kuni 2025 detsember tegevuskava'!P38='kuni 2025 detsember tegevuskava'!$P$153,'kuni 2025 detsember tegevuskava'!P38='kuni 2025 detsember tegevuskava'!$P$154,'kuni 2025 detsember tegevuskava'!P38='kuni 2025 detsember tegevuskava'!$P$155),1,'kuni 2025 detsember tegevuskava'!P38='kuni 2025 detsember tegevuskava'!$P$156,2,'kuni 2025 detsember tegevuskava'!P38='kuni 2025 detsember tegevuskava'!$P$157,2,'kuni 2025 detsember tegevuskava'!P38='kuni 2025 detsember tegevuskava'!$P$152,3)</f>
        <v>2</v>
      </c>
      <c r="I44" s="117">
        <f>SUM(I45:I45)</f>
        <v>280000</v>
      </c>
      <c r="J44" s="57"/>
      <c r="K44" s="117">
        <f>SUM(K45:K45)</f>
        <v>0</v>
      </c>
      <c r="L44" s="58"/>
      <c r="M44" s="117">
        <f>SUM(M45:M45)</f>
        <v>93333</v>
      </c>
      <c r="N44" s="59"/>
      <c r="O44" s="56">
        <f>SUM(O45:O45)</f>
        <v>186667</v>
      </c>
      <c r="P44" s="60"/>
    </row>
    <row r="45" spans="2:16" ht="17.25" x14ac:dyDescent="0.25">
      <c r="B45" s="738"/>
      <c r="C45" s="745"/>
      <c r="D45" s="745"/>
      <c r="E45" s="745"/>
      <c r="F45" s="745"/>
      <c r="G45" s="636"/>
      <c r="H45" s="391"/>
      <c r="I45" s="115">
        <f>SUM(K45+M45+O45)</f>
        <v>280000</v>
      </c>
      <c r="J45" s="640" t="str">
        <f>"(15)"</f>
        <v>(15)</v>
      </c>
      <c r="K45" s="55">
        <f>'kuni 2025 detsember tegevuskava'!X38</f>
        <v>0</v>
      </c>
      <c r="L45" s="640" t="str">
        <f>"(15)"</f>
        <v>(15)</v>
      </c>
      <c r="M45" s="55">
        <f>'kuni 2025 detsember tegevuskava'!AA38</f>
        <v>93333</v>
      </c>
      <c r="N45" s="640" t="str">
        <f>"(15)"</f>
        <v>(15)</v>
      </c>
      <c r="O45" s="55">
        <f>'kuni 2025 detsember tegevuskava'!AD38</f>
        <v>186667</v>
      </c>
      <c r="P45" s="61" t="str">
        <f>"(15)"</f>
        <v>(15)</v>
      </c>
    </row>
    <row r="46" spans="2:16" ht="17.25" x14ac:dyDescent="0.25">
      <c r="B46" s="738"/>
      <c r="C46" s="745"/>
      <c r="D46" s="745"/>
      <c r="E46" s="745"/>
      <c r="F46" s="745"/>
      <c r="G46" s="636"/>
      <c r="H46" s="391"/>
      <c r="I46" s="127" t="s">
        <v>534</v>
      </c>
      <c r="J46" s="130"/>
      <c r="K46" s="130"/>
      <c r="L46" s="130"/>
      <c r="M46" s="130"/>
      <c r="N46" s="130"/>
      <c r="O46" s="130"/>
      <c r="P46" s="131"/>
    </row>
    <row r="47" spans="2:16" ht="17.25" x14ac:dyDescent="0.25">
      <c r="B47" s="738"/>
      <c r="C47" s="745"/>
      <c r="D47" s="745"/>
      <c r="E47" s="745"/>
      <c r="F47" s="745"/>
      <c r="G47" s="636"/>
      <c r="H47" s="391"/>
      <c r="I47" s="116">
        <f>SUM(I48:I48)</f>
        <v>341600</v>
      </c>
      <c r="J47" s="640"/>
      <c r="K47" s="116">
        <f>SUM(K48:K48)</f>
        <v>0</v>
      </c>
      <c r="L47" s="641"/>
      <c r="M47" s="116">
        <f>SUM(M48:M48)</f>
        <v>113866.26</v>
      </c>
      <c r="O47" s="116">
        <f>SUM(O48:O48)</f>
        <v>227733.74</v>
      </c>
      <c r="P47" s="62"/>
    </row>
    <row r="48" spans="2:16" ht="341.25" customHeight="1" thickBot="1" x14ac:dyDescent="0.3">
      <c r="B48" s="739"/>
      <c r="C48" s="746"/>
      <c r="D48" s="746"/>
      <c r="E48" s="746"/>
      <c r="F48" s="746"/>
      <c r="G48" s="651"/>
      <c r="H48" s="353"/>
      <c r="I48" s="652">
        <f>SUM(K48+M48+O48)</f>
        <v>341600</v>
      </c>
      <c r="J48" s="653" t="str">
        <f>"(15)"</f>
        <v>(15)</v>
      </c>
      <c r="K48" s="654">
        <f>SUM(K45*1.2)</f>
        <v>0</v>
      </c>
      <c r="L48" s="653" t="str">
        <f>"(15)"</f>
        <v>(15)</v>
      </c>
      <c r="M48" s="654">
        <f>SUM(M45*1.22)</f>
        <v>113866.26</v>
      </c>
      <c r="N48" s="653" t="str">
        <f>"(15)"</f>
        <v>(15)</v>
      </c>
      <c r="O48" s="654">
        <f>SUM(O45*1.22)</f>
        <v>227733.74</v>
      </c>
      <c r="P48" s="655" t="str">
        <f>"(15)"</f>
        <v>(15)</v>
      </c>
    </row>
    <row r="49" spans="2:16" ht="17.25" x14ac:dyDescent="0.25">
      <c r="B49" s="737" t="str">
        <f>'kuni 2025 detsember tegevuskava'!A40&amp;"/"&amp;'kuni 2025 detsember tegevuskava'!C40</f>
        <v>Siseministeerium /SMIT</v>
      </c>
      <c r="C49" s="744" t="str">
        <f>'kuni 2025 detsember tegevuskava'!I40</f>
        <v xml:space="preserve">Rahvastikuregistri operatiivandmebaasist moodustvad üle 70% päringute logid ja andmebaasi iga-aastane mahukasv tuleb 90% ulatuses logide mahukasvust. Logide suur maht operatiivandmebaasis tekitab jõudlusprobleeme ning andmebaasi taastamise aeg on vastuvõetamatult suur (~8 tundi). </v>
      </c>
      <c r="D49" s="744" t="str">
        <f>'kuni 2025 detsember tegevuskava'!J40</f>
        <v>Rahvastikuregistri päringute logimise lahenduse uuele platvormile viimine</v>
      </c>
      <c r="E49" s="744" t="str">
        <f>'kuni 2025 detsember tegevuskava'!K40</f>
        <v xml:space="preserve">Logid on viidud välja operatiivandmebaasist, vähenenud on jõudlusprobleemid ja andmebaasi taastamise aeg vastab SLAle. </v>
      </c>
      <c r="F49" s="744" t="str">
        <f>'kuni 2025 detsember tegevuskava'!P40&amp;"/"</f>
        <v>Muu rahastus/</v>
      </c>
      <c r="G49" s="647" cm="1">
        <f t="array" ref="G49">_xlfn.IFS('kuni 2025 detsember tegevuskava'!G40='kuni 2025 detsember tegevuskava'!$G$151,1,'kuni 2025 detsember tegevuskava'!G40='kuni 2025 detsember tegevuskava'!$G$152,2,'kuni 2025 detsember tegevuskava'!G40='kuni 2025 detsember tegevuskava'!$G$153,3,'kuni 2025 detsember tegevuskava'!G40='kuni 2025 detsember tegevuskava'!$G$154,4)</f>
        <v>1</v>
      </c>
      <c r="H49" s="354" cm="1">
        <f t="array" ref="H49">_xlfn.IFS(OR('kuni 2025 detsember tegevuskava'!P40='kuni 2025 detsember tegevuskava'!$P$151,'kuni 2025 detsember tegevuskava'!P40='kuni 2025 detsember tegevuskava'!$P$153,'kuni 2025 detsember tegevuskava'!P40='kuni 2025 detsember tegevuskava'!$P$154,'kuni 2025 detsember tegevuskava'!P40='kuni 2025 detsember tegevuskava'!$P$155),1,'kuni 2025 detsember tegevuskava'!P40='kuni 2025 detsember tegevuskava'!$P$156,2,'kuni 2025 detsember tegevuskava'!P40='kuni 2025 detsember tegevuskava'!$P$157,2,'kuni 2025 detsember tegevuskava'!P40='kuni 2025 detsember tegevuskava'!$P$152,3)</f>
        <v>3</v>
      </c>
      <c r="I49" s="117">
        <f>SUM(I50:I50)</f>
        <v>328000</v>
      </c>
      <c r="J49" s="57"/>
      <c r="K49" s="117">
        <f>SUM(K50:K50)</f>
        <v>328000</v>
      </c>
      <c r="L49" s="58"/>
      <c r="M49" s="117">
        <f>SUM(M50:M50)</f>
        <v>0</v>
      </c>
      <c r="N49" s="59"/>
      <c r="O49" s="56">
        <f>SUM(O50:O50)</f>
        <v>0</v>
      </c>
      <c r="P49" s="60"/>
    </row>
    <row r="50" spans="2:16" ht="17.25" x14ac:dyDescent="0.25">
      <c r="B50" s="738"/>
      <c r="C50" s="745"/>
      <c r="D50" s="745"/>
      <c r="E50" s="745"/>
      <c r="F50" s="745"/>
      <c r="G50" s="636"/>
      <c r="H50" s="391"/>
      <c r="I50" s="115">
        <f>SUM(K50+M50+O50)</f>
        <v>328000</v>
      </c>
      <c r="J50" s="640" t="str">
        <f>"(15)"</f>
        <v>(15)</v>
      </c>
      <c r="K50" s="55">
        <f>'kuni 2025 detsember tegevuskava'!X40</f>
        <v>328000</v>
      </c>
      <c r="L50" s="640" t="str">
        <f>"(15)"</f>
        <v>(15)</v>
      </c>
      <c r="M50" s="55">
        <f>'kuni 2025 detsember tegevuskava'!AA40</f>
        <v>0</v>
      </c>
      <c r="N50" s="640" t="str">
        <f>"(15)"</f>
        <v>(15)</v>
      </c>
      <c r="O50" s="55">
        <f>'kuni 2025 detsember tegevuskava'!AD40</f>
        <v>0</v>
      </c>
      <c r="P50" s="61" t="str">
        <f>"(15)"</f>
        <v>(15)</v>
      </c>
    </row>
    <row r="51" spans="2:16" ht="17.25" x14ac:dyDescent="0.25">
      <c r="B51" s="738"/>
      <c r="C51" s="745"/>
      <c r="D51" s="745"/>
      <c r="E51" s="745"/>
      <c r="F51" s="745"/>
      <c r="G51" s="636"/>
      <c r="H51" s="391"/>
      <c r="I51" s="127" t="s">
        <v>534</v>
      </c>
      <c r="J51" s="130"/>
      <c r="K51" s="130"/>
      <c r="L51" s="130"/>
      <c r="M51" s="130"/>
      <c r="N51" s="130"/>
      <c r="O51" s="130"/>
      <c r="P51" s="131"/>
    </row>
    <row r="52" spans="2:16" ht="17.25" x14ac:dyDescent="0.25">
      <c r="B52" s="738"/>
      <c r="C52" s="745"/>
      <c r="D52" s="745"/>
      <c r="E52" s="745"/>
      <c r="F52" s="745"/>
      <c r="G52" s="636"/>
      <c r="H52" s="391"/>
      <c r="I52" s="116">
        <f>SUM(I53:I53)</f>
        <v>393600</v>
      </c>
      <c r="J52" s="640"/>
      <c r="K52" s="116">
        <f>SUM(K53:K53)</f>
        <v>393600</v>
      </c>
      <c r="L52" s="641"/>
      <c r="M52" s="116">
        <f>SUM(M53:M53)</f>
        <v>0</v>
      </c>
      <c r="O52" s="116">
        <f>SUM(O53:O53)</f>
        <v>0</v>
      </c>
      <c r="P52" s="62"/>
    </row>
    <row r="53" spans="2:16" ht="62.25" customHeight="1" thickBot="1" x14ac:dyDescent="0.3">
      <c r="B53" s="739"/>
      <c r="C53" s="746"/>
      <c r="D53" s="746"/>
      <c r="E53" s="746"/>
      <c r="F53" s="746"/>
      <c r="G53" s="651"/>
      <c r="H53" s="353"/>
      <c r="I53" s="652">
        <f>SUM(K53+M53+O53)</f>
        <v>393600</v>
      </c>
      <c r="J53" s="653" t="str">
        <f>"(15)"</f>
        <v>(15)</v>
      </c>
      <c r="K53" s="654">
        <f>SUM(K50*1.2)</f>
        <v>393600</v>
      </c>
      <c r="L53" s="653" t="str">
        <f>"(15)"</f>
        <v>(15)</v>
      </c>
      <c r="M53" s="654">
        <f>SUM(M50*1.22)</f>
        <v>0</v>
      </c>
      <c r="N53" s="653" t="str">
        <f>"(15)"</f>
        <v>(15)</v>
      </c>
      <c r="O53" s="654">
        <f>SUM(O50*1.22)</f>
        <v>0</v>
      </c>
      <c r="P53" s="655" t="str">
        <f>"(15)"</f>
        <v>(15)</v>
      </c>
    </row>
    <row r="54" spans="2:16" ht="17.25" x14ac:dyDescent="0.25">
      <c r="B54" s="737" t="str">
        <f>'kuni 2025 detsember tegevuskava'!A42&amp;"/"&amp;'kuni 2025 detsember tegevuskava'!C42</f>
        <v>Siseministeerium /SMIT</v>
      </c>
      <c r="C54" s="744" t="str">
        <f>'kuni 2025 detsember tegevuskava'!I42</f>
        <v xml:space="preserve">Rahvastikuregister taakvara, milles on kasutusel Eestis väga vähe levinud Progress OpenEdge platvorm ning Progress OpenEdge Advanced Business Language (ABL) oskavaid spetsialiste (arendajaid, arhitekte) on vähe ja neid ei ole ka juurde tulemas. </v>
      </c>
      <c r="D54" s="744" t="str">
        <f>'kuni 2025 detsember tegevuskava'!J42</f>
        <v>SF Rahvastikuregistri baastehnoloogia uuendamise [RR KAASAJASTAMINE*</v>
      </c>
      <c r="E54" s="744" t="str">
        <f>'kuni 2025 detsember tegevuskava'!K42</f>
        <v>Projekti tulemusena ei ole rahvastikuregistri teenused ja rakendused Progress OpenEdge platvormis.</v>
      </c>
      <c r="F54" s="744" t="str">
        <f>'kuni 2025 detsember tegevuskava'!P42&amp;"/"</f>
        <v>SF 21-27 (taotletav raha)/</v>
      </c>
      <c r="G54" s="647" cm="1">
        <f t="array" ref="G54">_xlfn.IFS('kuni 2025 detsember tegevuskava'!G42='kuni 2025 detsember tegevuskava'!$G$151,1,'kuni 2025 detsember tegevuskava'!G42='kuni 2025 detsember tegevuskava'!$G$152,2,'kuni 2025 detsember tegevuskava'!G42='kuni 2025 detsember tegevuskava'!$G$153,3,'kuni 2025 detsember tegevuskava'!G42='kuni 2025 detsember tegevuskava'!$G$154,4)</f>
        <v>1</v>
      </c>
      <c r="H54" s="354" cm="1">
        <f t="array" ref="H54">_xlfn.IFS(OR('kuni 2025 detsember tegevuskava'!P42='kuni 2025 detsember tegevuskava'!$P$151,'kuni 2025 detsember tegevuskava'!P42='kuni 2025 detsember tegevuskava'!$P$153,'kuni 2025 detsember tegevuskava'!P42='kuni 2025 detsember tegevuskava'!$P$154,'kuni 2025 detsember tegevuskava'!P42='kuni 2025 detsember tegevuskava'!$P$155),1,'kuni 2025 detsember tegevuskava'!P42='kuni 2025 detsember tegevuskava'!$P$156,2,'kuni 2025 detsember tegevuskava'!P42='kuni 2025 detsember tegevuskava'!$P$157,2,'kuni 2025 detsember tegevuskava'!P42='kuni 2025 detsember tegevuskava'!$P$152,3)</f>
        <v>2</v>
      </c>
      <c r="I54" s="110">
        <f>SUM(I55:I55)</f>
        <v>470000</v>
      </c>
      <c r="J54" s="72"/>
      <c r="K54" s="110">
        <f>SUM(K55:K55)</f>
        <v>0</v>
      </c>
      <c r="L54" s="73"/>
      <c r="M54" s="110">
        <f>SUM(M55:M55)</f>
        <v>94000</v>
      </c>
      <c r="N54" s="74"/>
      <c r="O54" s="71">
        <f>SUM(O55:O55)</f>
        <v>376000</v>
      </c>
      <c r="P54" s="75"/>
    </row>
    <row r="55" spans="2:16" ht="17.25" x14ac:dyDescent="0.25">
      <c r="B55" s="738"/>
      <c r="C55" s="745"/>
      <c r="D55" s="745"/>
      <c r="E55" s="745"/>
      <c r="F55" s="745"/>
      <c r="G55" s="636"/>
      <c r="H55" s="391"/>
      <c r="I55" s="88">
        <f>SUM(K55+M55+O55)</f>
        <v>470000</v>
      </c>
      <c r="J55" s="644" t="str">
        <f>"(15)"</f>
        <v>(15)</v>
      </c>
      <c r="K55" s="76">
        <f>'kuni 2025 detsember tegevuskava'!X42</f>
        <v>0</v>
      </c>
      <c r="L55" s="644" t="str">
        <f>"(15)"</f>
        <v>(15)</v>
      </c>
      <c r="M55" s="76">
        <f>'kuni 2025 detsember tegevuskava'!AA42</f>
        <v>94000</v>
      </c>
      <c r="N55" s="644" t="str">
        <f>"(15)"</f>
        <v>(15)</v>
      </c>
      <c r="O55" s="76">
        <f>'kuni 2025 detsember tegevuskava'!AD42</f>
        <v>376000</v>
      </c>
      <c r="P55" s="77" t="str">
        <f>"(15)"</f>
        <v>(15)</v>
      </c>
    </row>
    <row r="56" spans="2:16" ht="17.25" x14ac:dyDescent="0.25">
      <c r="B56" s="738"/>
      <c r="C56" s="745"/>
      <c r="D56" s="745"/>
      <c r="E56" s="745"/>
      <c r="F56" s="745"/>
      <c r="G56" s="636"/>
      <c r="H56" s="391"/>
      <c r="I56" s="127" t="s">
        <v>534</v>
      </c>
      <c r="J56" s="130"/>
      <c r="K56" s="130"/>
      <c r="L56" s="130"/>
      <c r="M56" s="130"/>
      <c r="N56" s="130"/>
      <c r="O56" s="130"/>
      <c r="P56" s="131"/>
    </row>
    <row r="57" spans="2:16" ht="17.25" x14ac:dyDescent="0.25">
      <c r="B57" s="738"/>
      <c r="C57" s="745"/>
      <c r="D57" s="745"/>
      <c r="E57" s="745"/>
      <c r="F57" s="745"/>
      <c r="G57" s="636"/>
      <c r="H57" s="391"/>
      <c r="I57" s="126">
        <f>SUM(I58:I58)</f>
        <v>573400</v>
      </c>
      <c r="J57" s="89"/>
      <c r="K57" s="642">
        <f>SUM(K58:K58)</f>
        <v>0</v>
      </c>
      <c r="L57" s="643"/>
      <c r="M57" s="126">
        <f>SUM(M58:M58)</f>
        <v>114680</v>
      </c>
      <c r="O57" s="126">
        <f>SUM(O58:O58)</f>
        <v>458720</v>
      </c>
      <c r="P57" s="62"/>
    </row>
    <row r="58" spans="2:16" ht="52.5" customHeight="1" thickBot="1" x14ac:dyDescent="0.3">
      <c r="B58" s="739"/>
      <c r="C58" s="746"/>
      <c r="D58" s="746"/>
      <c r="E58" s="746"/>
      <c r="F58" s="746"/>
      <c r="G58" s="651"/>
      <c r="H58" s="353"/>
      <c r="I58" s="108">
        <f>SUM(K58+M58+O58)</f>
        <v>573400</v>
      </c>
      <c r="J58" s="83" t="str">
        <f>"(15)"</f>
        <v>(15)</v>
      </c>
      <c r="K58" s="656">
        <f>SUM(K55*1.2)</f>
        <v>0</v>
      </c>
      <c r="L58" s="83" t="str">
        <f>"(15)"</f>
        <v>(15)</v>
      </c>
      <c r="M58" s="656">
        <f>SUM(M55*1.22)</f>
        <v>114680</v>
      </c>
      <c r="N58" s="83" t="str">
        <f>"(15)"</f>
        <v>(15)</v>
      </c>
      <c r="O58" s="656">
        <f>SUM(O55*1.22)</f>
        <v>458720</v>
      </c>
      <c r="P58" s="84" t="str">
        <f>"(15)"</f>
        <v>(15)</v>
      </c>
    </row>
    <row r="59" spans="2:16" ht="17.25" x14ac:dyDescent="0.25">
      <c r="B59" s="737" t="str">
        <f>'kuni 2025 detsember tegevuskava'!A43&amp;"/"&amp;'kuni 2025 detsember tegevuskava'!C43</f>
        <v>Siseministeerium /SMIT</v>
      </c>
      <c r="C59" s="744" t="str">
        <f>'kuni 2025 detsember tegevuskava'!I43</f>
        <v>Rahvastikuregistri menetlustarkvara on töölauarakendus, mis ei
võimalda teostada piisavalt tehnilist järelevalvet, et tagada isikuandmete kaitse ning
piirata kasutaja tegevusi arvutisse tarkvara paigaldamisel ja eemaldamisel
(viirustõrje), seda eriti kaugtöö tingimustes. Rahvastikuregistri menetlustarkvara
arendamiseks vajalik ajakulu on registri tehnoloogilise ülesehituse (monoliit) tõttu
ebamõistlikult suur. Kasutusmugavuse (UX/UI) peale pole peaaegu üldse mõeldud,
kasutamine on ebamugav ja kohmakas;
kus kasutajate autentimine on võimalik ainult ID-kaardiga.</v>
      </c>
      <c r="D59" s="744" t="str">
        <f>'kuni 2025 detsember tegevuskava'!J43</f>
        <v>SF Menetluste uuendamise I etapp, sh andmevahetuse kaasajastamine [MENETLUSTE KAASAJASTAMINE]*</v>
      </c>
      <c r="E59" s="744" t="str">
        <f>'kuni 2025 detsember tegevuskava'!K43</f>
        <v>Loodud on uue menetluste infosüsteemi baaslahenduse esimene etapp.</v>
      </c>
      <c r="F59" s="744" t="str">
        <f>'kuni 2025 detsember tegevuskava'!P43&amp;"/"</f>
        <v>SF 21-27 (taotletav raha)/</v>
      </c>
      <c r="G59" s="647" cm="1">
        <f t="array" ref="G59">_xlfn.IFS('kuni 2025 detsember tegevuskava'!G43='kuni 2025 detsember tegevuskava'!$G$151,1,'kuni 2025 detsember tegevuskava'!G43='kuni 2025 detsember tegevuskava'!$G$152,2,'kuni 2025 detsember tegevuskava'!G43='kuni 2025 detsember tegevuskava'!$G$153,3,'kuni 2025 detsember tegevuskava'!G43='kuni 2025 detsember tegevuskava'!$G$154,4)</f>
        <v>1</v>
      </c>
      <c r="H59" s="354" cm="1">
        <f t="array" ref="H59">_xlfn.IFS(OR('kuni 2025 detsember tegevuskava'!P43='kuni 2025 detsember tegevuskava'!$P$151,'kuni 2025 detsember tegevuskava'!P43='kuni 2025 detsember tegevuskava'!$P$153,'kuni 2025 detsember tegevuskava'!P43='kuni 2025 detsember tegevuskava'!$P$154,'kuni 2025 detsember tegevuskava'!P43='kuni 2025 detsember tegevuskava'!$P$155),1,'kuni 2025 detsember tegevuskava'!P43='kuni 2025 detsember tegevuskava'!$P$156,2,'kuni 2025 detsember tegevuskava'!P43='kuni 2025 detsember tegevuskava'!$P$157,2,'kuni 2025 detsember tegevuskava'!P43='kuni 2025 detsember tegevuskava'!$P$152,3)</f>
        <v>2</v>
      </c>
      <c r="I59" s="110">
        <f>SUM(I60:I60)</f>
        <v>669000</v>
      </c>
      <c r="J59" s="72"/>
      <c r="K59" s="110">
        <f>SUM(K60:K60)</f>
        <v>0</v>
      </c>
      <c r="L59" s="73"/>
      <c r="M59" s="110">
        <f>SUM(M60:M60)</f>
        <v>249000</v>
      </c>
      <c r="N59" s="74"/>
      <c r="O59" s="71">
        <f>SUM(O60:O60)</f>
        <v>420000</v>
      </c>
      <c r="P59" s="75"/>
    </row>
    <row r="60" spans="2:16" ht="17.25" x14ac:dyDescent="0.25">
      <c r="B60" s="738"/>
      <c r="C60" s="745"/>
      <c r="D60" s="745"/>
      <c r="E60" s="745"/>
      <c r="F60" s="745"/>
      <c r="G60" s="636"/>
      <c r="H60" s="391"/>
      <c r="I60" s="88">
        <f>SUM(K60+M60+O60)</f>
        <v>669000</v>
      </c>
      <c r="J60" s="644" t="str">
        <f>"(15)"</f>
        <v>(15)</v>
      </c>
      <c r="K60" s="76">
        <f>'kuni 2025 detsember tegevuskava'!X43</f>
        <v>0</v>
      </c>
      <c r="L60" s="644" t="str">
        <f>"(15)"</f>
        <v>(15)</v>
      </c>
      <c r="M60" s="76">
        <f>'kuni 2025 detsember tegevuskava'!AA43</f>
        <v>249000</v>
      </c>
      <c r="N60" s="644" t="str">
        <f>"(15)"</f>
        <v>(15)</v>
      </c>
      <c r="O60" s="76">
        <f>'kuni 2025 detsember tegevuskava'!AD43</f>
        <v>420000</v>
      </c>
      <c r="P60" s="77" t="str">
        <f>"(15)"</f>
        <v>(15)</v>
      </c>
    </row>
    <row r="61" spans="2:16" ht="17.25" x14ac:dyDescent="0.25">
      <c r="B61" s="738"/>
      <c r="C61" s="745"/>
      <c r="D61" s="745"/>
      <c r="E61" s="745"/>
      <c r="F61" s="745"/>
      <c r="G61" s="636"/>
      <c r="H61" s="391"/>
      <c r="I61" s="127" t="s">
        <v>534</v>
      </c>
      <c r="J61" s="130"/>
      <c r="K61" s="130"/>
      <c r="L61" s="130"/>
      <c r="M61" s="130"/>
      <c r="N61" s="130"/>
      <c r="O61" s="130"/>
      <c r="P61" s="131"/>
    </row>
    <row r="62" spans="2:16" ht="17.25" x14ac:dyDescent="0.25">
      <c r="B62" s="738"/>
      <c r="C62" s="745"/>
      <c r="D62" s="745"/>
      <c r="E62" s="745"/>
      <c r="F62" s="745"/>
      <c r="G62" s="636"/>
      <c r="H62" s="391"/>
      <c r="I62" s="126">
        <f>SUM(I63:I63)</f>
        <v>816180</v>
      </c>
      <c r="J62" s="644"/>
      <c r="K62" s="126">
        <f>SUM(K63:K63)</f>
        <v>0</v>
      </c>
      <c r="L62" s="645"/>
      <c r="M62" s="642">
        <f>SUM(M63:M63)</f>
        <v>303780</v>
      </c>
      <c r="O62" s="126">
        <f>SUM(O63:O63)</f>
        <v>512400</v>
      </c>
      <c r="P62" s="62"/>
    </row>
    <row r="63" spans="2:16" ht="223.5" customHeight="1" thickBot="1" x14ac:dyDescent="0.3">
      <c r="B63" s="739"/>
      <c r="C63" s="746"/>
      <c r="D63" s="746"/>
      <c r="E63" s="746"/>
      <c r="F63" s="746"/>
      <c r="G63" s="651"/>
      <c r="H63" s="353"/>
      <c r="I63" s="108">
        <f>SUM(K63+M63+O63)</f>
        <v>816180</v>
      </c>
      <c r="J63" s="83" t="str">
        <f>"(15)"</f>
        <v>(15)</v>
      </c>
      <c r="K63" s="108">
        <f>SUM(K60*1.2)</f>
        <v>0</v>
      </c>
      <c r="L63" s="109" t="str">
        <f>"(15)"</f>
        <v>(15)</v>
      </c>
      <c r="M63" s="82">
        <f>SUM(M60*1.22)</f>
        <v>303780</v>
      </c>
      <c r="N63" s="83" t="str">
        <f>"(15)"</f>
        <v>(15)</v>
      </c>
      <c r="O63" s="656">
        <f>SUM(O60*1.22)</f>
        <v>512400</v>
      </c>
      <c r="P63" s="84" t="str">
        <f>"(15)"</f>
        <v>(15)</v>
      </c>
    </row>
    <row r="64" spans="2:16" ht="17.25" x14ac:dyDescent="0.25">
      <c r="B64" s="737" t="str">
        <f>'kuni 2025 detsember tegevuskava'!A45&amp;"/"&amp;'kuni 2025 detsember tegevuskava'!C45</f>
        <v>Majandus- ja Kommunikatsiooniministeerium/SMIT</v>
      </c>
      <c r="C64" s="744" t="str">
        <f>'kuni 2025 detsember tegevuskava'!I45</f>
        <v>EU-ülene SDG kohustab rahvastikuregistril osutuma teenuseid EU autentimisivahenditega isikutele, praegu võimekus puudub.</v>
      </c>
      <c r="D64" s="744" t="str">
        <f>'kuni 2025 detsember tegevuskava'!J45</f>
        <v>SF SDG arendused - NB! Rahastatud riigiülesest digipöördest</v>
      </c>
      <c r="E64" s="744" t="str">
        <f>'kuni 2025 detsember tegevuskava'!K45</f>
        <v>Portaalis rahvastikuregister.ee on teenused elukohatõendi väljastamine, sünnitõendi väljastamine, elukoha registreerimine
tehtud kättesaadavaks EU autentimisvahendiga isikutele eeldusel, et neil on õigus neid teenuseid saada.</v>
      </c>
      <c r="F64" s="744" t="str">
        <f>'kuni 2025 detsember tegevuskava'!P45&amp;"/"</f>
        <v>Muu rahastus/</v>
      </c>
      <c r="G64" s="647" cm="1">
        <f t="array" ref="G64">_xlfn.IFS('kuni 2025 detsember tegevuskava'!G45='kuni 2025 detsember tegevuskava'!$G$151,1,'kuni 2025 detsember tegevuskava'!G45='kuni 2025 detsember tegevuskava'!$G$152,2,'kuni 2025 detsember tegevuskava'!G45='kuni 2025 detsember tegevuskava'!$G$153,3,'kuni 2025 detsember tegevuskava'!G45='kuni 2025 detsember tegevuskava'!$G$154,4)</f>
        <v>1</v>
      </c>
      <c r="H64" s="354" cm="1">
        <f t="array" ref="H64">_xlfn.IFS(OR('kuni 2025 detsember tegevuskava'!P45='kuni 2025 detsember tegevuskava'!$P$151,'kuni 2025 detsember tegevuskava'!P45='kuni 2025 detsember tegevuskava'!$P$153,'kuni 2025 detsember tegevuskava'!P45='kuni 2025 detsember tegevuskava'!$P$154,'kuni 2025 detsember tegevuskava'!P45='kuni 2025 detsember tegevuskava'!$P$155),1,'kuni 2025 detsember tegevuskava'!P45='kuni 2025 detsember tegevuskava'!$P$156,2,'kuni 2025 detsember tegevuskava'!P45='kuni 2025 detsember tegevuskava'!$P$157,2,'kuni 2025 detsember tegevuskava'!P45='kuni 2025 detsember tegevuskava'!$P$152,3)</f>
        <v>3</v>
      </c>
      <c r="I64" s="110">
        <f>SUM(I65:I65)</f>
        <v>304200</v>
      </c>
      <c r="J64" s="111"/>
      <c r="K64" s="71">
        <f>SUM(K65:K65)</f>
        <v>0</v>
      </c>
      <c r="L64" s="73"/>
      <c r="M64" s="110">
        <f>SUM(M65:M65)</f>
        <v>76250</v>
      </c>
      <c r="N64" s="111"/>
      <c r="O64" s="71">
        <f>SUM(O65:O65)</f>
        <v>227950</v>
      </c>
      <c r="P64" s="75"/>
    </row>
    <row r="65" spans="2:16" ht="17.25" x14ac:dyDescent="0.25">
      <c r="B65" s="738"/>
      <c r="C65" s="745"/>
      <c r="D65" s="745"/>
      <c r="E65" s="745"/>
      <c r="F65" s="745"/>
      <c r="G65" s="636"/>
      <c r="H65" s="391"/>
      <c r="I65" s="88">
        <f>SUM(K65+M65+O65)</f>
        <v>304200</v>
      </c>
      <c r="J65" s="89" t="str">
        <f>"(15)"</f>
        <v>(15)</v>
      </c>
      <c r="K65" s="88">
        <f>'kuni 2025 detsember tegevuskava'!X45</f>
        <v>0</v>
      </c>
      <c r="L65" s="644" t="str">
        <f>"(15)"</f>
        <v>(15)</v>
      </c>
      <c r="M65" s="88">
        <f>'kuni 2025 detsember tegevuskava'!AA45</f>
        <v>76250</v>
      </c>
      <c r="N65" s="89" t="str">
        <f>"(15)"</f>
        <v>(15)</v>
      </c>
      <c r="O65" s="657">
        <f>'kuni 2025 detsember tegevuskava'!AD45</f>
        <v>227950</v>
      </c>
      <c r="P65" s="77" t="str">
        <f>"(15)"</f>
        <v>(15)</v>
      </c>
    </row>
    <row r="66" spans="2:16" ht="17.25" x14ac:dyDescent="0.25">
      <c r="B66" s="738"/>
      <c r="C66" s="745"/>
      <c r="D66" s="745"/>
      <c r="E66" s="745"/>
      <c r="F66" s="745"/>
      <c r="G66" s="636"/>
      <c r="H66" s="391"/>
      <c r="I66" s="265" t="s">
        <v>534</v>
      </c>
      <c r="J66" s="266"/>
      <c r="K66" s="127"/>
      <c r="L66" s="130"/>
      <c r="M66" s="127"/>
      <c r="N66" s="267"/>
      <c r="O66" s="130"/>
      <c r="P66" s="131"/>
    </row>
    <row r="67" spans="2:16" ht="17.25" x14ac:dyDescent="0.25">
      <c r="B67" s="738"/>
      <c r="C67" s="745"/>
      <c r="D67" s="745"/>
      <c r="E67" s="745"/>
      <c r="F67" s="745"/>
      <c r="G67" s="636"/>
      <c r="H67" s="391"/>
      <c r="I67" s="126">
        <f>SUM(I68:I68)</f>
        <v>371124</v>
      </c>
      <c r="J67" s="89"/>
      <c r="K67" s="642">
        <f>SUM(K68:K68)</f>
        <v>0</v>
      </c>
      <c r="L67" s="643"/>
      <c r="M67" s="126">
        <f>SUM(M68:M68)</f>
        <v>93025</v>
      </c>
      <c r="N67" s="123"/>
      <c r="O67" s="126">
        <f>SUM(O68:O68)</f>
        <v>278099</v>
      </c>
      <c r="P67" s="62"/>
    </row>
    <row r="68" spans="2:16" ht="30" customHeight="1" thickBot="1" x14ac:dyDescent="0.3">
      <c r="B68" s="739"/>
      <c r="C68" s="746"/>
      <c r="D68" s="746"/>
      <c r="E68" s="746"/>
      <c r="F68" s="746"/>
      <c r="G68" s="651"/>
      <c r="H68" s="353"/>
      <c r="I68" s="108">
        <f>SUM(K68+M68+O68)</f>
        <v>371124</v>
      </c>
      <c r="J68" s="109" t="str">
        <f>"(15)"</f>
        <v>(15)</v>
      </c>
      <c r="K68" s="82">
        <f>SUM(K65*1.2)</f>
        <v>0</v>
      </c>
      <c r="L68" s="83" t="str">
        <f>"(15)"</f>
        <v>(15)</v>
      </c>
      <c r="M68" s="108">
        <f>SUM(M65*1.22)</f>
        <v>93025</v>
      </c>
      <c r="N68" s="109" t="str">
        <f>"(15)"</f>
        <v>(15)</v>
      </c>
      <c r="O68" s="108">
        <f>SUM(O65*1.22)</f>
        <v>278099</v>
      </c>
      <c r="P68" s="84" t="str">
        <f>"(15)"</f>
        <v>(15)</v>
      </c>
    </row>
    <row r="69" spans="2:16" ht="17.25" x14ac:dyDescent="0.25">
      <c r="B69" s="737" t="str">
        <f>'kuni 2025 detsember tegevuskava'!A46&amp;"/"&amp;'kuni 2025 detsember tegevuskava'!C46</f>
        <v>Siseministeerium /SMIT</v>
      </c>
      <c r="C69" s="744" t="str">
        <f>'kuni 2025 detsember tegevuskava'!I46</f>
        <v>Andmelao I etapi on loodud alus uueks kaasaegseks analüütika vahendiks, puudu on hulk vajalikke aruandeid, mis on KOVile oluliseks töövahendiks</v>
      </c>
      <c r="D69" s="744" t="str">
        <f>'kuni 2025 detsember tegevuskava'!J46</f>
        <v>SF RR Andmelao lahenduse II etapp*</v>
      </c>
      <c r="E69" s="744" t="str">
        <f>'kuni 2025 detsember tegevuskava'!K46</f>
        <v>Andmelao lahenduse II etapp on arendatud, loodud uued aruanded KOVile</v>
      </c>
      <c r="F69" s="744" t="str">
        <f>'kuni 2025 detsember tegevuskava'!P46&amp;"/"</f>
        <v>SF 21-27 (taotletav raha)/</v>
      </c>
      <c r="G69" s="647" cm="1">
        <f t="array" ref="G69">_xlfn.IFS('kuni 2025 detsember tegevuskava'!G46='kuni 2025 detsember tegevuskava'!$G$151,1,'kuni 2025 detsember tegevuskava'!G46='kuni 2025 detsember tegevuskava'!$G$152,2,'kuni 2025 detsember tegevuskava'!G46='kuni 2025 detsember tegevuskava'!$G$153,3,'kuni 2025 detsember tegevuskava'!G46='kuni 2025 detsember tegevuskava'!$G$154,4)</f>
        <v>1</v>
      </c>
      <c r="H69" s="354" cm="1">
        <f t="array" ref="H69">_xlfn.IFS(OR('kuni 2025 detsember tegevuskava'!P46='kuni 2025 detsember tegevuskava'!$P$151,'kuni 2025 detsember tegevuskava'!P46='kuni 2025 detsember tegevuskava'!$P$153,'kuni 2025 detsember tegevuskava'!P46='kuni 2025 detsember tegevuskava'!$P$154,'kuni 2025 detsember tegevuskava'!P46='kuni 2025 detsember tegevuskava'!$P$155),1,'kuni 2025 detsember tegevuskava'!P46='kuni 2025 detsember tegevuskava'!$P$156,2,'kuni 2025 detsember tegevuskava'!P46='kuni 2025 detsember tegevuskava'!$P$157,2,'kuni 2025 detsember tegevuskava'!P46='kuni 2025 detsember tegevuskava'!$P$152,3)</f>
        <v>2</v>
      </c>
      <c r="I69" s="110">
        <f>SUM(I70:I70)</f>
        <v>564000</v>
      </c>
      <c r="J69" s="111"/>
      <c r="K69" s="71">
        <f>SUM(K70:K70)</f>
        <v>0</v>
      </c>
      <c r="L69" s="73"/>
      <c r="M69" s="110">
        <f>SUM(M70:M70)</f>
        <v>188000</v>
      </c>
      <c r="N69" s="111"/>
      <c r="O69" s="71">
        <f>SUM(O70:O70)</f>
        <v>376000</v>
      </c>
      <c r="P69" s="75"/>
    </row>
    <row r="70" spans="2:16" ht="17.25" x14ac:dyDescent="0.25">
      <c r="B70" s="738"/>
      <c r="C70" s="745"/>
      <c r="D70" s="745"/>
      <c r="E70" s="745"/>
      <c r="F70" s="745"/>
      <c r="G70" s="636"/>
      <c r="H70" s="391"/>
      <c r="I70" s="88">
        <f>SUM(K70+M70+O70)</f>
        <v>564000</v>
      </c>
      <c r="J70" s="89" t="str">
        <f>"(15)"</f>
        <v>(15)</v>
      </c>
      <c r="K70" s="657">
        <f>'kuni 2025 detsember tegevuskava'!X46</f>
        <v>0</v>
      </c>
      <c r="L70" s="644" t="str">
        <f>"(15)"</f>
        <v>(15)</v>
      </c>
      <c r="M70" s="88">
        <f>'kuni 2025 detsember tegevuskava'!AA46</f>
        <v>188000</v>
      </c>
      <c r="N70" s="89" t="str">
        <f>"(15)"</f>
        <v>(15)</v>
      </c>
      <c r="O70" s="657">
        <f>'kuni 2025 detsember tegevuskava'!AD46</f>
        <v>376000</v>
      </c>
      <c r="P70" s="77" t="str">
        <f>"(15)"</f>
        <v>(15)</v>
      </c>
    </row>
    <row r="71" spans="2:16" ht="17.25" x14ac:dyDescent="0.25">
      <c r="B71" s="738"/>
      <c r="C71" s="745"/>
      <c r="D71" s="745"/>
      <c r="E71" s="745"/>
      <c r="F71" s="745"/>
      <c r="G71" s="636"/>
      <c r="H71" s="391"/>
      <c r="I71" s="127" t="s">
        <v>534</v>
      </c>
      <c r="J71" s="130"/>
      <c r="K71" s="130"/>
      <c r="L71" s="130"/>
      <c r="M71" s="130"/>
      <c r="N71" s="130"/>
      <c r="O71" s="130"/>
      <c r="P71" s="131"/>
    </row>
    <row r="72" spans="2:16" ht="17.25" x14ac:dyDescent="0.25">
      <c r="B72" s="738"/>
      <c r="C72" s="745"/>
      <c r="D72" s="745"/>
      <c r="E72" s="745"/>
      <c r="F72" s="745"/>
      <c r="G72" s="636"/>
      <c r="H72" s="391"/>
      <c r="I72" s="126">
        <f>SUM(I73:I73)</f>
        <v>688080</v>
      </c>
      <c r="J72" s="89"/>
      <c r="K72" s="642">
        <f>SUM(K73:K73)</f>
        <v>0</v>
      </c>
      <c r="L72" s="643"/>
      <c r="M72" s="126">
        <f>SUM(M73:M73)</f>
        <v>229360</v>
      </c>
      <c r="N72" s="123"/>
      <c r="O72" s="126">
        <f>SUM(O73:O73)</f>
        <v>458720</v>
      </c>
      <c r="P72" s="62"/>
    </row>
    <row r="73" spans="2:16" ht="18" thickBot="1" x14ac:dyDescent="0.3">
      <c r="B73" s="740"/>
      <c r="C73" s="747"/>
      <c r="D73" s="747"/>
      <c r="E73" s="747"/>
      <c r="F73" s="747"/>
      <c r="G73" s="636"/>
      <c r="H73" s="391"/>
      <c r="I73" s="88">
        <f>SUM(K73+M73+O73)</f>
        <v>688080</v>
      </c>
      <c r="J73" s="89" t="str">
        <f>"(15)"</f>
        <v>(15)</v>
      </c>
      <c r="K73" s="657">
        <f>SUM(K70*1.2)</f>
        <v>0</v>
      </c>
      <c r="L73" s="644" t="str">
        <f>"(15)"</f>
        <v>(15)</v>
      </c>
      <c r="M73" s="88">
        <f>SUM(M70*1.22)</f>
        <v>229360</v>
      </c>
      <c r="N73" s="89" t="str">
        <f>"(15)"</f>
        <v>(15)</v>
      </c>
      <c r="O73" s="88">
        <f>SUM(O70*1.22)</f>
        <v>458720</v>
      </c>
      <c r="P73" s="77" t="str">
        <f>"(15)"</f>
        <v>(15)</v>
      </c>
    </row>
    <row r="74" spans="2:16" ht="17.25" x14ac:dyDescent="0.25">
      <c r="B74" s="737" t="str">
        <f>'kuni 2025 detsember tegevuskava'!A47&amp;"/"&amp;'kuni 2025 detsember tegevuskava'!C47</f>
        <v>Siseministeerium /SMIT</v>
      </c>
      <c r="C74" s="744" t="str">
        <f>'kuni 2025 detsember tegevuskava'!I47</f>
        <v>Täna puudub rahvastikuregstril platvorm sündmusteenuste pakkumiseks.</v>
      </c>
      <c r="D74" s="744" t="str">
        <f>'kuni 2025 detsember tegevuskava'!J47</f>
        <v>RFF Sündmusteenused</v>
      </c>
      <c r="E74" s="744" t="str">
        <f>'kuni 2025 detsember tegevuskava'!K47</f>
        <v>Loodud on sündmusteenused (täiendatud broneerimislahendus, lahutus ja nime muutmine)</v>
      </c>
      <c r="F74" s="744" t="str">
        <f>'kuni 2025 detsember tegevuskava'!P47&amp;"/"</f>
        <v>RRF/</v>
      </c>
      <c r="G74" s="647" cm="1">
        <f t="array" ref="G74">_xlfn.IFS('kuni 2025 detsember tegevuskava'!G47='kuni 2025 detsember tegevuskava'!$G$151,1,'kuni 2025 detsember tegevuskava'!G47='kuni 2025 detsember tegevuskava'!$G$152,2,'kuni 2025 detsember tegevuskava'!G47='kuni 2025 detsember tegevuskava'!$G$153,3,'kuni 2025 detsember tegevuskava'!G47='kuni 2025 detsember tegevuskava'!$G$154,4)</f>
        <v>1</v>
      </c>
      <c r="H74" s="354" cm="1">
        <f t="array" ref="H74">_xlfn.IFS(OR('kuni 2025 detsember tegevuskava'!P47='kuni 2025 detsember tegevuskava'!$P$151,'kuni 2025 detsember tegevuskava'!P47='kuni 2025 detsember tegevuskava'!$P$153,'kuni 2025 detsember tegevuskava'!P47='kuni 2025 detsember tegevuskava'!$P$154,'kuni 2025 detsember tegevuskava'!P47='kuni 2025 detsember tegevuskava'!$P$155),1,'kuni 2025 detsember tegevuskava'!P47='kuni 2025 detsember tegevuskava'!$P$156,2,'kuni 2025 detsember tegevuskava'!P47='kuni 2025 detsember tegevuskava'!$P$157,2,'kuni 2025 detsember tegevuskava'!P47='kuni 2025 detsember tegevuskava'!$P$152,3)</f>
        <v>1</v>
      </c>
      <c r="I74" s="110">
        <f>SUM(I75:I75)</f>
        <v>1154000</v>
      </c>
      <c r="J74" s="111"/>
      <c r="K74" s="71">
        <f>SUM(K75:K75)</f>
        <v>0</v>
      </c>
      <c r="L74" s="73"/>
      <c r="M74" s="110">
        <f>SUM(M75:M75)</f>
        <v>804000</v>
      </c>
      <c r="N74" s="111"/>
      <c r="O74" s="71">
        <f>SUM(O75:O75)</f>
        <v>350000</v>
      </c>
      <c r="P74" s="75"/>
    </row>
    <row r="75" spans="2:16" ht="17.25" x14ac:dyDescent="0.25">
      <c r="B75" s="738"/>
      <c r="C75" s="745"/>
      <c r="D75" s="745"/>
      <c r="E75" s="745"/>
      <c r="F75" s="745"/>
      <c r="G75" s="636"/>
      <c r="H75" s="391"/>
      <c r="I75" s="88">
        <f>SUM(K75+M75+O75)</f>
        <v>1154000</v>
      </c>
      <c r="J75" s="89" t="str">
        <f>"(15)"</f>
        <v>(15)</v>
      </c>
      <c r="K75" s="657">
        <f>'kuni 2025 detsember tegevuskava'!X47</f>
        <v>0</v>
      </c>
      <c r="L75" s="644" t="str">
        <f>"(15)"</f>
        <v>(15)</v>
      </c>
      <c r="M75" s="88">
        <f>'kuni 2025 detsember tegevuskava'!AA47</f>
        <v>804000</v>
      </c>
      <c r="N75" s="89" t="str">
        <f>"(15)"</f>
        <v>(15)</v>
      </c>
      <c r="O75" s="657">
        <f>'kuni 2025 detsember tegevuskava'!AD47</f>
        <v>350000</v>
      </c>
      <c r="P75" s="77" t="str">
        <f>"(15)"</f>
        <v>(15)</v>
      </c>
    </row>
    <row r="76" spans="2:16" ht="17.25" x14ac:dyDescent="0.25">
      <c r="B76" s="738"/>
      <c r="C76" s="745"/>
      <c r="D76" s="745"/>
      <c r="E76" s="745"/>
      <c r="F76" s="745"/>
      <c r="G76" s="636"/>
      <c r="H76" s="391"/>
      <c r="I76" s="127" t="s">
        <v>534</v>
      </c>
      <c r="J76" s="130"/>
      <c r="K76" s="130"/>
      <c r="L76" s="130"/>
      <c r="M76" s="130"/>
      <c r="N76" s="130"/>
      <c r="O76" s="130"/>
      <c r="P76" s="131"/>
    </row>
    <row r="77" spans="2:16" ht="17.25" x14ac:dyDescent="0.25">
      <c r="B77" s="738"/>
      <c r="C77" s="745"/>
      <c r="D77" s="745"/>
      <c r="E77" s="745"/>
      <c r="F77" s="745"/>
      <c r="G77" s="636"/>
      <c r="H77" s="391"/>
      <c r="I77" s="126">
        <f>SUM(I78:I78)</f>
        <v>1407880</v>
      </c>
      <c r="J77" s="89"/>
      <c r="K77" s="642">
        <f>SUM(K78:K78)</f>
        <v>0</v>
      </c>
      <c r="L77" s="643"/>
      <c r="M77" s="126">
        <f>SUM(M78:M78)</f>
        <v>980880</v>
      </c>
      <c r="N77" s="123"/>
      <c r="O77" s="126">
        <f>SUM(O78:O78)</f>
        <v>427000</v>
      </c>
      <c r="P77" s="62"/>
    </row>
    <row r="78" spans="2:16" ht="18" thickBot="1" x14ac:dyDescent="0.3">
      <c r="B78" s="739"/>
      <c r="C78" s="746"/>
      <c r="D78" s="746"/>
      <c r="E78" s="746"/>
      <c r="F78" s="746"/>
      <c r="G78" s="651"/>
      <c r="H78" s="353"/>
      <c r="I78" s="108">
        <f>SUM(K78+M78+O78)</f>
        <v>1407880</v>
      </c>
      <c r="J78" s="109" t="str">
        <f>"(15)"</f>
        <v>(15)</v>
      </c>
      <c r="K78" s="82">
        <f>SUM(K75*1.2)</f>
        <v>0</v>
      </c>
      <c r="L78" s="83" t="str">
        <f>"(15)"</f>
        <v>(15)</v>
      </c>
      <c r="M78" s="108">
        <f>SUM(M75*1.22)</f>
        <v>980880</v>
      </c>
      <c r="N78" s="109" t="str">
        <f>"(15)"</f>
        <v>(15)</v>
      </c>
      <c r="O78" s="108">
        <f>SUM(O75*1.22)</f>
        <v>427000</v>
      </c>
      <c r="P78" s="84" t="str">
        <f>"(15)"</f>
        <v>(15)</v>
      </c>
    </row>
    <row r="79" spans="2:16" ht="17.25" x14ac:dyDescent="0.25">
      <c r="B79" s="737" t="str">
        <f>'kuni 2025 detsember tegevuskava'!A48&amp;"/"&amp;'kuni 2025 detsember tegevuskava'!C48</f>
        <v>Siseministeerium /SMIT</v>
      </c>
      <c r="C79" s="744" t="str">
        <f>'kuni 2025 detsember tegevuskava'!I48</f>
        <v>Isikukoodi andmine on manuaalne ja seetõttu on kitsendatud asutuse hulk, kes saavad seda inimestele väljastada. Osad riigiasutused kasutavad isikuandmeid ilma isikukoodita.</v>
      </c>
      <c r="D79" s="744" t="str">
        <f>'kuni 2025 detsember tegevuskava'!J48</f>
        <v>Isikukoodita välismaalased - analüüs</v>
      </c>
      <c r="E79" s="744" t="str">
        <f>'kuni 2025 detsember tegevuskava'!K48</f>
        <v>Dokumenteeritud olukorra kaardistus ja variandid kas ja kuidas isikukoodita isikute andmete haldamine saaks toimuda sh. milliste juhtudel saab isikukoodi väljastada ilma inimese ja ametniku füüsilise kohtumiseta ning mille oleks võimalik lahendus isikukoodide väljastamise automatiseerimiseks rahvastikuregistris.
Ühe teenuse baasil on loodud prototüüp ja andmed, mida isikute kohta kogutakse.</v>
      </c>
      <c r="F79" s="744" t="str">
        <f>'kuni 2025 detsember tegevuskava'!P48&amp;"/"</f>
        <v>Muu rahastus/</v>
      </c>
      <c r="G79" s="647" cm="1">
        <f t="array" ref="G79">_xlfn.IFS('kuni 2025 detsember tegevuskava'!G48='kuni 2025 detsember tegevuskava'!$G$151,1,'kuni 2025 detsember tegevuskava'!G48='kuni 2025 detsember tegevuskava'!$G$152,2,'kuni 2025 detsember tegevuskava'!G48='kuni 2025 detsember tegevuskava'!$G$153,3,'kuni 2025 detsember tegevuskava'!G48='kuni 2025 detsember tegevuskava'!$G$154,4)</f>
        <v>1</v>
      </c>
      <c r="H79" s="354" cm="1">
        <f t="array" ref="H79">_xlfn.IFS(OR('kuni 2025 detsember tegevuskava'!P48='kuni 2025 detsember tegevuskava'!$P$151,'kuni 2025 detsember tegevuskava'!P48='kuni 2025 detsember tegevuskava'!$P$153,'kuni 2025 detsember tegevuskava'!P48='kuni 2025 detsember tegevuskava'!$P$154,'kuni 2025 detsember tegevuskava'!P48='kuni 2025 detsember tegevuskava'!$P$155),1,'kuni 2025 detsember tegevuskava'!P48='kuni 2025 detsember tegevuskava'!$P$156,2,'kuni 2025 detsember tegevuskava'!P48='kuni 2025 detsember tegevuskava'!$P$157,2,'kuni 2025 detsember tegevuskava'!P48='kuni 2025 detsember tegevuskava'!$P$152,3)</f>
        <v>3</v>
      </c>
      <c r="I79" s="110">
        <f>SUM(I80:I80)</f>
        <v>150000</v>
      </c>
      <c r="J79" s="111"/>
      <c r="K79" s="71">
        <f>SUM(K80:K80)</f>
        <v>150000</v>
      </c>
      <c r="L79" s="73"/>
      <c r="M79" s="110">
        <f>SUM(M80:M80)</f>
        <v>0</v>
      </c>
      <c r="N79" s="111"/>
      <c r="O79" s="71">
        <f>SUM(O80:O80)</f>
        <v>0</v>
      </c>
      <c r="P79" s="75"/>
    </row>
    <row r="80" spans="2:16" ht="17.25" x14ac:dyDescent="0.25">
      <c r="B80" s="738"/>
      <c r="C80" s="745"/>
      <c r="D80" s="745"/>
      <c r="E80" s="745"/>
      <c r="F80" s="745"/>
      <c r="G80" s="636"/>
      <c r="H80" s="391"/>
      <c r="I80" s="88">
        <f>SUM(K80+M80+O80)</f>
        <v>150000</v>
      </c>
      <c r="J80" s="89" t="str">
        <f>"(15)"</f>
        <v>(15)</v>
      </c>
      <c r="K80" s="657">
        <f>'kuni 2025 detsember tegevuskava'!X48</f>
        <v>150000</v>
      </c>
      <c r="L80" s="644" t="str">
        <f>"(15)"</f>
        <v>(15)</v>
      </c>
      <c r="M80" s="88">
        <f>'kuni 2025 detsember tegevuskava'!AA48</f>
        <v>0</v>
      </c>
      <c r="N80" s="89" t="str">
        <f>"(15)"</f>
        <v>(15)</v>
      </c>
      <c r="O80" s="657">
        <f>'kuni 2025 detsember tegevuskava'!AD48</f>
        <v>0</v>
      </c>
      <c r="P80" s="77" t="str">
        <f>"(15)"</f>
        <v>(15)</v>
      </c>
    </row>
    <row r="81" spans="2:16" ht="17.25" x14ac:dyDescent="0.25">
      <c r="B81" s="738"/>
      <c r="C81" s="745"/>
      <c r="D81" s="745"/>
      <c r="E81" s="745"/>
      <c r="F81" s="745"/>
      <c r="G81" s="636"/>
      <c r="H81" s="391"/>
      <c r="I81" s="127" t="s">
        <v>534</v>
      </c>
      <c r="J81" s="130"/>
      <c r="K81" s="130"/>
      <c r="L81" s="130"/>
      <c r="M81" s="130"/>
      <c r="N81" s="130"/>
      <c r="O81" s="130"/>
      <c r="P81" s="131"/>
    </row>
    <row r="82" spans="2:16" ht="17.25" x14ac:dyDescent="0.25">
      <c r="B82" s="738"/>
      <c r="C82" s="745"/>
      <c r="D82" s="745"/>
      <c r="E82" s="745"/>
      <c r="F82" s="745"/>
      <c r="G82" s="636"/>
      <c r="H82" s="391"/>
      <c r="I82" s="126">
        <f>SUM(I83:I83)</f>
        <v>180000</v>
      </c>
      <c r="J82" s="89"/>
      <c r="K82" s="642">
        <f>SUM(K83:K83)</f>
        <v>180000</v>
      </c>
      <c r="L82" s="643"/>
      <c r="M82" s="126">
        <f>SUM(M83:M83)</f>
        <v>0</v>
      </c>
      <c r="N82" s="123"/>
      <c r="O82" s="126">
        <f>SUM(O83:O83)</f>
        <v>0</v>
      </c>
      <c r="P82" s="62"/>
    </row>
    <row r="83" spans="2:16" ht="92.25" customHeight="1" thickBot="1" x14ac:dyDescent="0.3">
      <c r="B83" s="739"/>
      <c r="C83" s="746"/>
      <c r="D83" s="746"/>
      <c r="E83" s="746"/>
      <c r="F83" s="746"/>
      <c r="G83" s="651"/>
      <c r="H83" s="353"/>
      <c r="I83" s="108">
        <f>SUM(K83+M83+O83)</f>
        <v>180000</v>
      </c>
      <c r="J83" s="109" t="str">
        <f>"(15)"</f>
        <v>(15)</v>
      </c>
      <c r="K83" s="82">
        <f>SUM(K80*1.2)</f>
        <v>180000</v>
      </c>
      <c r="L83" s="83" t="str">
        <f>"(15)"</f>
        <v>(15)</v>
      </c>
      <c r="M83" s="108">
        <f>SUM(M80*1.22)</f>
        <v>0</v>
      </c>
      <c r="N83" s="109" t="str">
        <f>"(15)"</f>
        <v>(15)</v>
      </c>
      <c r="O83" s="108">
        <f>SUM(O80*1.22)</f>
        <v>0</v>
      </c>
      <c r="P83" s="84" t="str">
        <f>"(15)"</f>
        <v>(15)</v>
      </c>
    </row>
    <row r="84" spans="2:16" ht="17.25" x14ac:dyDescent="0.25">
      <c r="B84" s="737" t="str">
        <f>'kuni 2025 detsember tegevuskava'!A50&amp;"/"&amp;'kuni 2025 detsember tegevuskava'!C50</f>
        <v>Siseministeerium /SIM</v>
      </c>
      <c r="C84" s="744" t="str">
        <f>'kuni 2025 detsember tegevuskava'!I50</f>
        <v>Vajadus juhtida menetluste kaasjastamise projekti tervikuna</v>
      </c>
      <c r="D84" s="744" t="str">
        <f>'kuni 2025 detsember tegevuskava'!J50</f>
        <v>RR menetlustarkvara arendustööde projektijuhtimine (SIM)</v>
      </c>
      <c r="E84" s="744" t="str">
        <f>'kuni 2025 detsember tegevuskava'!K50</f>
        <v>RR menetlustarkvara (menetluste) programmi projektijuht</v>
      </c>
      <c r="F84" s="744" t="str">
        <f>'kuni 2025 detsember tegevuskava'!P50&amp;"/"</f>
        <v>SF 21-27 (taotletav raha)/</v>
      </c>
      <c r="G84" s="647" cm="1">
        <f t="array" ref="G84">_xlfn.IFS('kuni 2025 detsember tegevuskava'!G50='kuni 2025 detsember tegevuskava'!$G$151,1,'kuni 2025 detsember tegevuskava'!G50='kuni 2025 detsember tegevuskava'!$G$152,2,'kuni 2025 detsember tegevuskava'!G50='kuni 2025 detsember tegevuskava'!$G$153,3,'kuni 2025 detsember tegevuskava'!G50='kuni 2025 detsember tegevuskava'!$G$154,4)</f>
        <v>4</v>
      </c>
      <c r="H84" s="354" cm="1">
        <f t="array" ref="H84">_xlfn.IFS(OR('kuni 2025 detsember tegevuskava'!P50='kuni 2025 detsember tegevuskava'!$P$151,'kuni 2025 detsember tegevuskava'!P50='kuni 2025 detsember tegevuskava'!$P$153,'kuni 2025 detsember tegevuskava'!P50='kuni 2025 detsember tegevuskava'!$P$154,'kuni 2025 detsember tegevuskava'!P81='kuni 2025 detsember tegevuskava'!$P$155),1,'kuni 2025 detsember tegevuskava'!P50='kuni 2025 detsember tegevuskava'!$P$156,2,'kuni 2025 detsember tegevuskava'!P50='kuni 2025 detsember tegevuskava'!$P$157,2,'kuni 2025 detsember tegevuskava'!P50='kuni 2025 detsember tegevuskava'!$P$152,3)</f>
        <v>2</v>
      </c>
      <c r="I84" s="117">
        <f>SUM(I85:I85)</f>
        <v>48168</v>
      </c>
      <c r="J84" s="57"/>
      <c r="K84" s="117">
        <f>SUM(K85:K85)</f>
        <v>0</v>
      </c>
      <c r="L84" s="58"/>
      <c r="M84" s="117">
        <f>SUM(M85:M85)</f>
        <v>0</v>
      </c>
      <c r="N84" s="59"/>
      <c r="O84" s="56">
        <f>SUM(O85:O85)</f>
        <v>48168</v>
      </c>
      <c r="P84" s="60"/>
    </row>
    <row r="85" spans="2:16" ht="17.25" x14ac:dyDescent="0.25">
      <c r="B85" s="738"/>
      <c r="C85" s="745"/>
      <c r="D85" s="745"/>
      <c r="E85" s="745"/>
      <c r="F85" s="745"/>
      <c r="G85" s="636"/>
      <c r="H85" s="391"/>
      <c r="I85" s="115">
        <f t="shared" ref="I85" si="8">SUM(K85+M85+O85)</f>
        <v>48168</v>
      </c>
      <c r="J85" s="640" t="str">
        <f>"(50)"</f>
        <v>(50)</v>
      </c>
      <c r="K85" s="55">
        <f>'kuni 2025 detsember tegevuskava'!Y50</f>
        <v>0</v>
      </c>
      <c r="L85" s="640" t="str">
        <f>"(50)"</f>
        <v>(50)</v>
      </c>
      <c r="M85" s="55">
        <f>'kuni 2025 detsember tegevuskava'!AB50</f>
        <v>0</v>
      </c>
      <c r="N85" s="640" t="str">
        <f>"(50)"</f>
        <v>(50)</v>
      </c>
      <c r="O85" s="55">
        <f>'kuni 2025 detsember tegevuskava'!AE50</f>
        <v>48168</v>
      </c>
      <c r="P85" s="61" t="str">
        <f>"(50)"</f>
        <v>(50)</v>
      </c>
    </row>
    <row r="86" spans="2:16" ht="17.25" x14ac:dyDescent="0.25">
      <c r="B86" s="738"/>
      <c r="C86" s="745"/>
      <c r="D86" s="745"/>
      <c r="E86" s="745"/>
      <c r="F86" s="745"/>
      <c r="G86" s="636"/>
      <c r="H86" s="391"/>
      <c r="I86" s="114" t="s">
        <v>534</v>
      </c>
      <c r="J86" s="130"/>
      <c r="K86" s="130"/>
      <c r="L86" s="130"/>
      <c r="M86" s="130"/>
      <c r="N86" s="130"/>
      <c r="O86" s="130"/>
      <c r="P86" s="131"/>
    </row>
    <row r="87" spans="2:16" ht="17.25" x14ac:dyDescent="0.25">
      <c r="B87" s="738"/>
      <c r="C87" s="745"/>
      <c r="D87" s="745"/>
      <c r="E87" s="745"/>
      <c r="F87" s="745"/>
      <c r="G87" s="636"/>
      <c r="H87" s="391"/>
      <c r="I87" s="116">
        <f>SUM(I88:I88)</f>
        <v>48168</v>
      </c>
      <c r="J87" s="640"/>
      <c r="K87" s="116">
        <f>SUM(K88:K88)</f>
        <v>0</v>
      </c>
      <c r="L87" s="641"/>
      <c r="M87" s="116">
        <f>SUM(M88:M88)</f>
        <v>0</v>
      </c>
      <c r="O87" s="116">
        <f>SUM(O88:O88)</f>
        <v>48168</v>
      </c>
      <c r="P87" s="62"/>
    </row>
    <row r="88" spans="2:16" ht="18" thickBot="1" x14ac:dyDescent="0.3">
      <c r="B88" s="739"/>
      <c r="C88" s="746"/>
      <c r="D88" s="746"/>
      <c r="E88" s="746"/>
      <c r="F88" s="746"/>
      <c r="G88" s="651"/>
      <c r="H88" s="353"/>
      <c r="I88" s="652">
        <f t="shared" ref="I88" si="9">SUM(K88+M88+O88)</f>
        <v>48168</v>
      </c>
      <c r="J88" s="653" t="str">
        <f>"(50)"</f>
        <v>(50)</v>
      </c>
      <c r="K88" s="654">
        <f>K85</f>
        <v>0</v>
      </c>
      <c r="L88" s="653" t="str">
        <f>"(50)"</f>
        <v>(50)</v>
      </c>
      <c r="M88" s="654">
        <f>M85</f>
        <v>0</v>
      </c>
      <c r="N88" s="653" t="str">
        <f>"(50)"</f>
        <v>(50)</v>
      </c>
      <c r="O88" s="654">
        <f>O85</f>
        <v>48168</v>
      </c>
      <c r="P88" s="655" t="str">
        <f>"(50)"</f>
        <v>(50)</v>
      </c>
    </row>
    <row r="89" spans="2:16" ht="17.25" x14ac:dyDescent="0.25">
      <c r="B89" s="737" t="str">
        <f>'kuni 2025 detsember tegevuskava'!A51&amp;"/"&amp;'kuni 2025 detsember tegevuskava'!C51</f>
        <v>Siseministeerium /SMIT</v>
      </c>
      <c r="C89" s="744" t="str">
        <f>'kuni 2025 detsember tegevuskava'!I51</f>
        <v>Vajadus juhtida menetluste kaasjastamise projekti tervikuna ning tagada uute lahenduste ühtne kasutaja vaade ja arendus</v>
      </c>
      <c r="D89" s="744" t="str">
        <f>'kuni 2025 detsember tegevuskava'!J51</f>
        <v>RR menetlustarkvara arendustööde elluviimine</v>
      </c>
      <c r="E89" s="744" t="str">
        <f>'kuni 2025 detsember tegevuskava'!K51</f>
        <v>RR menetlustarkvara (menetluste) programmi it-projektijuht ning uute RR rakenduste kasutajaliideste arendaja</v>
      </c>
      <c r="F89" s="744" t="str">
        <f>'kuni 2025 detsember tegevuskava'!P51&amp;"/"</f>
        <v>SF 21-27 (taotletav raha)/</v>
      </c>
      <c r="G89" s="647" cm="1">
        <f t="array" ref="G89">_xlfn.IFS('kuni 2025 detsember tegevuskava'!G51='kuni 2025 detsember tegevuskava'!$G$151,1,'kuni 2025 detsember tegevuskava'!G51='kuni 2025 detsember tegevuskava'!$G$152,2,'kuni 2025 detsember tegevuskava'!G51='kuni 2025 detsember tegevuskava'!$G$153,3,'kuni 2025 detsember tegevuskava'!G51='kuni 2025 detsember tegevuskava'!$G$154,4)</f>
        <v>1</v>
      </c>
      <c r="H89" s="354" cm="1">
        <f t="array" ref="H89">_xlfn.IFS(OR('kuni 2025 detsember tegevuskava'!P51='kuni 2025 detsember tegevuskava'!$P$151,'kuni 2025 detsember tegevuskava'!P51='kuni 2025 detsember tegevuskava'!$P$153,'kuni 2025 detsember tegevuskava'!P51='kuni 2025 detsember tegevuskava'!$P$154,'kuni 2025 detsember tegevuskava'!P51='kuni 2025 detsember tegevuskava'!$P$155),1,'kuni 2025 detsember tegevuskava'!P51='kuni 2025 detsember tegevuskava'!$P$156,2,'kuni 2025 detsember tegevuskava'!P51='kuni 2025 detsember tegevuskava'!$P$157,2,'kuni 2025 detsember tegevuskava'!P51='kuni 2025 detsember tegevuskava'!$P$152,3)</f>
        <v>2</v>
      </c>
      <c r="I89" s="117">
        <f>SUM(I90:I90)</f>
        <v>96000</v>
      </c>
      <c r="J89" s="57"/>
      <c r="K89" s="117">
        <f>SUM(K90:K90)</f>
        <v>0</v>
      </c>
      <c r="L89" s="58"/>
      <c r="M89" s="117">
        <f>SUM(M90:M90)</f>
        <v>0</v>
      </c>
      <c r="N89" s="59"/>
      <c r="O89" s="56">
        <f>SUM(O90:O90)</f>
        <v>96000</v>
      </c>
      <c r="P89" s="60"/>
    </row>
    <row r="90" spans="2:16" ht="17.25" x14ac:dyDescent="0.25">
      <c r="B90" s="738"/>
      <c r="C90" s="745"/>
      <c r="D90" s="745"/>
      <c r="E90" s="745"/>
      <c r="F90" s="745"/>
      <c r="G90" s="636"/>
      <c r="H90" s="391"/>
      <c r="I90" s="115">
        <f t="shared" ref="I90" si="10">SUM(K90+M90+O90)</f>
        <v>96000</v>
      </c>
      <c r="J90" s="640" t="str">
        <f>"(50)"</f>
        <v>(50)</v>
      </c>
      <c r="K90" s="55">
        <f>'kuni 2025 detsember tegevuskava'!Y51</f>
        <v>0</v>
      </c>
      <c r="L90" s="640" t="str">
        <f>"(50)"</f>
        <v>(50)</v>
      </c>
      <c r="M90" s="55">
        <f>'kuni 2025 detsember tegevuskava'!AB51</f>
        <v>0</v>
      </c>
      <c r="N90" s="640" t="str">
        <f>"(50)"</f>
        <v>(50)</v>
      </c>
      <c r="O90" s="55">
        <f>'kuni 2025 detsember tegevuskava'!AE51</f>
        <v>96000</v>
      </c>
      <c r="P90" s="61" t="str">
        <f>"(50)"</f>
        <v>(50)</v>
      </c>
    </row>
    <row r="91" spans="2:16" ht="17.25" x14ac:dyDescent="0.25">
      <c r="B91" s="738"/>
      <c r="C91" s="745"/>
      <c r="D91" s="745"/>
      <c r="E91" s="745"/>
      <c r="F91" s="745"/>
      <c r="G91" s="636"/>
      <c r="H91" s="391"/>
      <c r="I91" s="114" t="s">
        <v>534</v>
      </c>
      <c r="J91" s="130"/>
      <c r="K91" s="130"/>
      <c r="L91" s="130"/>
      <c r="M91" s="130"/>
      <c r="N91" s="130"/>
      <c r="O91" s="130"/>
      <c r="P91" s="131"/>
    </row>
    <row r="92" spans="2:16" ht="17.25" x14ac:dyDescent="0.25">
      <c r="B92" s="738"/>
      <c r="C92" s="745"/>
      <c r="D92" s="745"/>
      <c r="E92" s="745"/>
      <c r="F92" s="745"/>
      <c r="G92" s="636"/>
      <c r="H92" s="391"/>
      <c r="I92" s="116">
        <f>SUM(I93:I93)</f>
        <v>96000</v>
      </c>
      <c r="J92" s="640"/>
      <c r="K92" s="116">
        <f>SUM(K93:K93)</f>
        <v>0</v>
      </c>
      <c r="L92" s="641"/>
      <c r="M92" s="116">
        <f>SUM(M93:M93)</f>
        <v>0</v>
      </c>
      <c r="O92" s="116">
        <f>SUM(O93:O93)</f>
        <v>96000</v>
      </c>
      <c r="P92" s="62"/>
    </row>
    <row r="93" spans="2:16" ht="18" thickBot="1" x14ac:dyDescent="0.3">
      <c r="B93" s="739"/>
      <c r="C93" s="746"/>
      <c r="D93" s="746"/>
      <c r="E93" s="746"/>
      <c r="F93" s="746"/>
      <c r="G93" s="651"/>
      <c r="H93" s="353"/>
      <c r="I93" s="652">
        <f t="shared" ref="I93" si="11">SUM(K93+M93+O93)</f>
        <v>96000</v>
      </c>
      <c r="J93" s="653" t="str">
        <f>"(50)"</f>
        <v>(50)</v>
      </c>
      <c r="K93" s="654">
        <f>K90</f>
        <v>0</v>
      </c>
      <c r="L93" s="653" t="str">
        <f>"(50)"</f>
        <v>(50)</v>
      </c>
      <c r="M93" s="654">
        <f>M90</f>
        <v>0</v>
      </c>
      <c r="N93" s="653" t="str">
        <f>"(50)"</f>
        <v>(50)</v>
      </c>
      <c r="O93" s="654">
        <f>O90</f>
        <v>96000</v>
      </c>
      <c r="P93" s="655" t="str">
        <f>"(50)"</f>
        <v>(50)</v>
      </c>
    </row>
    <row r="94" spans="2:16" ht="17.25" x14ac:dyDescent="0.25">
      <c r="B94" s="737" t="str">
        <f>'kuni 2025 detsember tegevuskava'!A61&amp;"/"&amp;'kuni 2025 detsember tegevuskava'!C61</f>
        <v>Siseministeerium /SMIT/PPA</v>
      </c>
      <c r="C94" s="744" t="str">
        <f>'kuni 2025 detsember tegevuskava'!I61</f>
        <v xml:space="preserve">Joobes kainenema toimetamisel teeb patrull täna mitmeid toiminguid paberil. Need antakse üle kainestusmajale või kinnipidamisasutusele. Lõpuks sisestab kogu info sisestaja paberilt menetlusinfosüsteemi. Digitaalne lahendusega on kasutajal olemas eeltäidetud andmetega vorm, info sisestatakse ühekordselt ning väheneb oluliselt ühe toimingu peale kuluv aeg.  Kinnipidamise protokolli digitaalselt vormistamine on üks osa süüteomenetluse digitaliseerimise teekaardi tulemuste täitmisest. Selle tulemusel kiireneb info liikumine ja väheneb paberprotokollide hulk ning tagab digitaalse menetluse läbiviimise võimekust. </v>
      </c>
      <c r="D94" s="744" t="str">
        <f>'kuni 2025 detsember tegevuskava'!J61</f>
        <v>Apollo digitoimingud (II etapp)</v>
      </c>
      <c r="E94" s="744" t="str">
        <f>'kuni 2025 detsember tegevuskava'!K61</f>
        <v>2024: Apollos saab digitaalselt sisestada joobes kainenema toimetamise protokolli ja testimiseks on valminud KrM alusel isikute kinnipidamise protokolli sisestamine (PRISi kaudu e-politsei seadmes).
2025: Kasutuseks on valminud KrM alusel isikute kinnipidamise protokolli sisestamise võimekus (PRISi kaudu e-politsei seadmes). ET liidese (PPA digitoimingute tarbeks läbi erinevate PPA rakenduste) analüüs ja arendus. Joobes kainenemisele toimetamise protokolli jätkutööd. 
2026: Vajadusel ET liidese jätkutööd.
Vastavalt süüteomenetluse digitaliseerimise ajakavale digitaliseeritakse järgnevad VTM toimingud koostöös VTM-ga sh VTMs, KorSi alusel isikute kinnipidamise protokolle (Apollos avatakse toimingud läbi VTM lahenduse).</v>
      </c>
      <c r="F94" s="744" t="str">
        <f>'kuni 2025 detsember tegevuskava'!P61&amp;"/"</f>
        <v>SF 21-27 (taotletav raha)/</v>
      </c>
      <c r="G94" s="647" cm="1">
        <f t="array" ref="G94">_xlfn.IFS('kuni 2025 detsember tegevuskava'!G61='kuni 2025 detsember tegevuskava'!$G$151,1,'kuni 2025 detsember tegevuskava'!G61='kuni 2025 detsember tegevuskava'!$G$152,2,'kuni 2025 detsember tegevuskava'!G61='kuni 2025 detsember tegevuskava'!$G$153,3,'kuni 2025 detsember tegevuskava'!G61='kuni 2025 detsember tegevuskava'!$G$154,4)</f>
        <v>1</v>
      </c>
      <c r="H94" s="354" cm="1">
        <f t="array" ref="H94">_xlfn.IFS(OR('kuni 2025 detsember tegevuskava'!P61='kuni 2025 detsember tegevuskava'!$P$151,'kuni 2025 detsember tegevuskava'!P61='kuni 2025 detsember tegevuskava'!$P$153,'kuni 2025 detsember tegevuskava'!P61='kuni 2025 detsember tegevuskava'!$P$154,'kuni 2025 detsember tegevuskava'!P61='kuni 2025 detsember tegevuskava'!$P$155),1,'kuni 2025 detsember tegevuskava'!P61='kuni 2025 detsember tegevuskava'!$P$156,2,'kuni 2025 detsember tegevuskava'!P61='kuni 2025 detsember tegevuskava'!$P$157,2,'kuni 2025 detsember tegevuskava'!P61='kuni 2025 detsember tegevuskava'!$P$152,3)</f>
        <v>2</v>
      </c>
      <c r="I94" s="110">
        <f>SUM(I95:I95)</f>
        <v>710780</v>
      </c>
      <c r="J94" s="111"/>
      <c r="K94" s="71">
        <f>SUM(K95:K95)</f>
        <v>0</v>
      </c>
      <c r="L94" s="73"/>
      <c r="M94" s="110">
        <f>SUM(M95:M95)</f>
        <v>230000</v>
      </c>
      <c r="N94" s="111"/>
      <c r="O94" s="71">
        <f>SUM(O95:O95)</f>
        <v>480780</v>
      </c>
      <c r="P94" s="75"/>
    </row>
    <row r="95" spans="2:16" ht="17.25" x14ac:dyDescent="0.25">
      <c r="B95" s="738"/>
      <c r="C95" s="745"/>
      <c r="D95" s="745"/>
      <c r="E95" s="745"/>
      <c r="F95" s="745"/>
      <c r="G95" s="636"/>
      <c r="H95" s="391"/>
      <c r="I95" s="88">
        <f>SUM(K95+M95+O95)</f>
        <v>710780</v>
      </c>
      <c r="J95" s="89" t="str">
        <f>"(15)"</f>
        <v>(15)</v>
      </c>
      <c r="K95" s="657">
        <f>'kuni 2025 detsember tegevuskava'!X61</f>
        <v>0</v>
      </c>
      <c r="L95" s="644" t="str">
        <f>"(15)"</f>
        <v>(15)</v>
      </c>
      <c r="M95" s="88">
        <f>'kuni 2025 detsember tegevuskava'!AA61</f>
        <v>230000</v>
      </c>
      <c r="N95" s="89" t="str">
        <f>"(15)"</f>
        <v>(15)</v>
      </c>
      <c r="O95" s="657">
        <f>'kuni 2025 detsember tegevuskava'!AD61</f>
        <v>480780</v>
      </c>
      <c r="P95" s="77" t="str">
        <f>"(15)"</f>
        <v>(15)</v>
      </c>
    </row>
    <row r="96" spans="2:16" ht="17.25" x14ac:dyDescent="0.25">
      <c r="B96" s="738"/>
      <c r="C96" s="745"/>
      <c r="D96" s="745"/>
      <c r="E96" s="745"/>
      <c r="F96" s="745"/>
      <c r="G96" s="636"/>
      <c r="H96" s="391"/>
      <c r="I96" s="127" t="s">
        <v>534</v>
      </c>
      <c r="J96" s="130"/>
      <c r="K96" s="130"/>
      <c r="L96" s="130"/>
      <c r="M96" s="130"/>
      <c r="N96" s="130"/>
      <c r="O96" s="130"/>
      <c r="P96" s="131"/>
    </row>
    <row r="97" spans="2:16" ht="17.25" x14ac:dyDescent="0.25">
      <c r="B97" s="738"/>
      <c r="C97" s="745"/>
      <c r="D97" s="745"/>
      <c r="E97" s="745"/>
      <c r="F97" s="745"/>
      <c r="G97" s="636"/>
      <c r="H97" s="391"/>
      <c r="I97" s="126">
        <f>SUM(I98:I98)</f>
        <v>867151.6</v>
      </c>
      <c r="J97" s="89"/>
      <c r="K97" s="642">
        <f>SUM(K98:K98)</f>
        <v>0</v>
      </c>
      <c r="L97" s="643"/>
      <c r="M97" s="126">
        <f>SUM(M98:M98)</f>
        <v>280600</v>
      </c>
      <c r="N97" s="123"/>
      <c r="O97" s="126">
        <f>SUM(O98:O98)</f>
        <v>586551.6</v>
      </c>
      <c r="P97" s="62"/>
    </row>
    <row r="98" spans="2:16" ht="231" customHeight="1" thickBot="1" x14ac:dyDescent="0.3">
      <c r="B98" s="740"/>
      <c r="C98" s="747"/>
      <c r="D98" s="747"/>
      <c r="E98" s="747"/>
      <c r="F98" s="747"/>
      <c r="G98" s="636"/>
      <c r="H98" s="391"/>
      <c r="I98" s="88">
        <f>SUM(K98+M98+O98)</f>
        <v>867151.6</v>
      </c>
      <c r="J98" s="89" t="str">
        <f>"(15)"</f>
        <v>(15)</v>
      </c>
      <c r="K98" s="657">
        <f>SUM(K95*1.2)</f>
        <v>0</v>
      </c>
      <c r="L98" s="644" t="str">
        <f>"(15)"</f>
        <v>(15)</v>
      </c>
      <c r="M98" s="88">
        <f>SUM(M95*1.22)</f>
        <v>280600</v>
      </c>
      <c r="N98" s="89" t="str">
        <f>"(15)"</f>
        <v>(15)</v>
      </c>
      <c r="O98" s="88">
        <f>SUM(O95*1.22)</f>
        <v>586551.6</v>
      </c>
      <c r="P98" s="77" t="str">
        <f>"(15)"</f>
        <v>(15)</v>
      </c>
    </row>
    <row r="99" spans="2:16" ht="17.25" x14ac:dyDescent="0.25">
      <c r="B99" s="737" t="str">
        <f>'kuni 2025 detsember tegevuskava'!A62&amp;"/"&amp;'kuni 2025 detsember tegevuskava'!C62</f>
        <v>Siseministeerium /SMIT/PPA</v>
      </c>
      <c r="C99" s="744" t="str">
        <f>'kuni 2025 detsember tegevuskava'!I62</f>
        <v>e-Politsei riistvara elukaar ei ole tagatud, seadmete kasutusiga on 5 aastat. Tänane tahvelarvuti versioon ei toeta WIN -10 operatsioonisüsteemi ja ka tootetuge sellele enam ei pakuta.</v>
      </c>
      <c r="D99" s="744" t="str">
        <f>'kuni 2025 detsember tegevuskava'!J62</f>
        <v>Apollo seadmete elukaare tagamine</v>
      </c>
      <c r="E99" s="744" t="str">
        <f>'kuni 2025 detsember tegevuskava'!K62</f>
        <v>2023: Läbi on viidud hange uute seadmete soetamiseks. 2024 Kõik seadmed on soetatud.</v>
      </c>
      <c r="F99" s="744" t="str">
        <f>'kuni 2025 detsember tegevuskava'!P62&amp;"/"</f>
        <v>RES IKT (vaja juurde taotleda)/</v>
      </c>
      <c r="G99" s="647" cm="1">
        <f t="array" ref="G99">_xlfn.IFS('kuni 2025 detsember tegevuskava'!G62='kuni 2025 detsember tegevuskava'!$G$151,1,'kuni 2025 detsember tegevuskava'!G62='kuni 2025 detsember tegevuskava'!$G$152,2,'kuni 2025 detsember tegevuskava'!G62='kuni 2025 detsember tegevuskava'!$G$153,3,'kuni 2025 detsember tegevuskava'!G62='kuni 2025 detsember tegevuskava'!$G$154,4)</f>
        <v>4</v>
      </c>
      <c r="H99" s="354" cm="1">
        <f t="array" ref="H99">_xlfn.IFS(OR('kuni 2025 detsember tegevuskava'!P62='kuni 2025 detsember tegevuskava'!$P$151,'kuni 2025 detsember tegevuskava'!P62='kuni 2025 detsember tegevuskava'!$P$153,'kuni 2025 detsember tegevuskava'!P62='kuni 2025 detsember tegevuskava'!$P$154,'kuni 2025 detsember tegevuskava'!P62='kuni 2025 detsember tegevuskava'!$P$155),1,'kuni 2025 detsember tegevuskava'!P62='kuni 2025 detsember tegevuskava'!$P$156,2,'kuni 2025 detsember tegevuskava'!P62='kuni 2025 detsember tegevuskava'!$P$157,2,'kuni 2025 detsember tegevuskava'!P62='kuni 2025 detsember tegevuskava'!$P$152,3)</f>
        <v>1</v>
      </c>
      <c r="I99" s="110">
        <f>SUM(I100:I100)</f>
        <v>232447</v>
      </c>
      <c r="J99" s="111"/>
      <c r="K99" s="71">
        <f>SUM(K100:K100)</f>
        <v>0</v>
      </c>
      <c r="L99" s="73"/>
      <c r="M99" s="110">
        <f>SUM(M100:M100)</f>
        <v>0</v>
      </c>
      <c r="N99" s="111"/>
      <c r="O99" s="71">
        <f>SUM(O100:O100)</f>
        <v>232447</v>
      </c>
      <c r="P99" s="75"/>
    </row>
    <row r="100" spans="2:16" ht="17.25" x14ac:dyDescent="0.25">
      <c r="B100" s="738"/>
      <c r="C100" s="745"/>
      <c r="D100" s="745"/>
      <c r="E100" s="745"/>
      <c r="F100" s="745"/>
      <c r="G100" s="636"/>
      <c r="H100" s="391"/>
      <c r="I100" s="88">
        <f>SUM(K100+M100+O100)</f>
        <v>232447</v>
      </c>
      <c r="J100" s="91" t="str">
        <f>"(55)"</f>
        <v>(55)</v>
      </c>
      <c r="K100" s="85">
        <f>'kuni 2025 detsember tegevuskava'!Z62</f>
        <v>0</v>
      </c>
      <c r="L100" s="78" t="str">
        <f>"(55)"</f>
        <v>(55)</v>
      </c>
      <c r="M100" s="90">
        <f>'kuni 2025 detsember tegevuskava'!AC61</f>
        <v>0</v>
      </c>
      <c r="N100" s="91" t="str">
        <f>"(55)"</f>
        <v>(55)</v>
      </c>
      <c r="O100" s="85">
        <f>'kuni 2025 detsember tegevuskava'!AF62</f>
        <v>232447</v>
      </c>
      <c r="P100" s="79" t="str">
        <f>"(55)"</f>
        <v>(55)</v>
      </c>
    </row>
    <row r="101" spans="2:16" ht="17.25" x14ac:dyDescent="0.25">
      <c r="B101" s="738"/>
      <c r="C101" s="745"/>
      <c r="D101" s="745"/>
      <c r="E101" s="745"/>
      <c r="F101" s="745"/>
      <c r="G101" s="636"/>
      <c r="H101" s="391"/>
      <c r="I101" s="127" t="s">
        <v>534</v>
      </c>
      <c r="J101" s="130"/>
      <c r="K101" s="130"/>
      <c r="L101" s="130"/>
      <c r="M101" s="130"/>
      <c r="N101" s="130"/>
      <c r="O101" s="130"/>
      <c r="P101" s="131"/>
    </row>
    <row r="102" spans="2:16" ht="17.25" x14ac:dyDescent="0.25">
      <c r="B102" s="738"/>
      <c r="C102" s="745"/>
      <c r="D102" s="745"/>
      <c r="E102" s="745"/>
      <c r="F102" s="745"/>
      <c r="G102" s="636"/>
      <c r="H102" s="391"/>
      <c r="I102" s="126">
        <f>SUM(I103:I103)</f>
        <v>283585.33999999997</v>
      </c>
      <c r="J102" s="89"/>
      <c r="K102" s="642">
        <f>SUM(K103:K103)</f>
        <v>0</v>
      </c>
      <c r="L102" s="643"/>
      <c r="M102" s="126">
        <f>SUM(M103:M103)</f>
        <v>0</v>
      </c>
      <c r="N102" s="123"/>
      <c r="O102" s="126">
        <f>SUM(O103:O103)</f>
        <v>283585.33999999997</v>
      </c>
      <c r="P102" s="62"/>
    </row>
    <row r="103" spans="2:16" ht="18" thickBot="1" x14ac:dyDescent="0.3">
      <c r="B103" s="739"/>
      <c r="C103" s="746"/>
      <c r="D103" s="746"/>
      <c r="E103" s="746"/>
      <c r="F103" s="746"/>
      <c r="G103" s="651"/>
      <c r="H103" s="353"/>
      <c r="I103" s="108">
        <f>SUM(K103+M103+O103)</f>
        <v>283585.33999999997</v>
      </c>
      <c r="J103" s="109" t="str">
        <f>"(55)"</f>
        <v>(55)</v>
      </c>
      <c r="K103" s="82">
        <f>SUM(K100*1.2)</f>
        <v>0</v>
      </c>
      <c r="L103" s="83" t="str">
        <f>"(55)"</f>
        <v>(55)</v>
      </c>
      <c r="M103" s="108">
        <f>SUM(M100*1.22)</f>
        <v>0</v>
      </c>
      <c r="N103" s="109" t="str">
        <f>"(55)"</f>
        <v>(55)</v>
      </c>
      <c r="O103" s="108">
        <f>SUM(O100*1.22)</f>
        <v>283585.33999999997</v>
      </c>
      <c r="P103" s="84" t="str">
        <f>"(55)"</f>
        <v>(55)</v>
      </c>
    </row>
    <row r="104" spans="2:16" ht="17.25" x14ac:dyDescent="0.25">
      <c r="B104" s="737" t="str">
        <f>'kuni 2025 detsember tegevuskava'!A63&amp;"/"&amp;'kuni 2025 detsember tegevuskava'!C63</f>
        <v>Siseministeerium /SMIT/PPA</v>
      </c>
      <c r="C104" s="744" t="str">
        <f>'kuni 2025 detsember tegevuskava'!I63</f>
        <v>Kasutusel olevad väärteomenetluse menetlemise teenused on muutunud taakvaraks. PPAs kasutusel olev MIS on üle 15a vana (arendatud 2006-2008) ning ei ole enam mõistlike kuludega edasi arendatav. 134 asutust kasutavad VMP rakendust, mida ei ole viimased 3 aastat arendatud ning on seega ka vananenud. Kahte süsteemi arendada ei ole mõistlik. Olemasolevate süsteemidega ei ole võimalik tagada süüteomenetluse digitaliseerimise eesmärke. </v>
      </c>
      <c r="D104" s="744" t="str">
        <f>'kuni 2025 detsember tegevuskava'!J63</f>
        <v>Väärteomenetluse rakenduse analüüs</v>
      </c>
      <c r="E104" s="744" t="str">
        <f>'kuni 2025 detsember tegevuskava'!K63</f>
        <v>2024:  VTM analüüsi teostamiseks on olemas partner, kellega on kokkulepitud tegevuskava. On sõlmitud kokkulepped huvitatud osapooltega projektis osalemise osas. Kontseptsiooni, nõuete kaardistuse ja kirjeldusega on alustatud.
2025: Koostatud on kontseptsioon, teostatud on nõuete kaardistus ja kirjeldus uuest riigi ülese võimekusega väärteo rakendusest.</v>
      </c>
      <c r="F104" s="744" t="str">
        <f>'kuni 2025 detsember tegevuskava'!P63&amp;"/"</f>
        <v>SF 21-27 (taotletav raha)/</v>
      </c>
      <c r="G104" s="647" cm="1">
        <f t="array" ref="G104">_xlfn.IFS('kuni 2025 detsember tegevuskava'!G63='kuni 2025 detsember tegevuskava'!$G$151,1,'kuni 2025 detsember tegevuskava'!G63='kuni 2025 detsember tegevuskava'!$G$152,2,'kuni 2025 detsember tegevuskava'!G63='kuni 2025 detsember tegevuskava'!$G$153,3,'kuni 2025 detsember tegevuskava'!G63='kuni 2025 detsember tegevuskava'!$G$154,4)</f>
        <v>1</v>
      </c>
      <c r="H104" s="354" cm="1">
        <f t="array" ref="H104">_xlfn.IFS(OR('kuni 2025 detsember tegevuskava'!P63='kuni 2025 detsember tegevuskava'!$P$151,'kuni 2025 detsember tegevuskava'!P63='kuni 2025 detsember tegevuskava'!$P$153,'kuni 2025 detsember tegevuskava'!P63='kuni 2025 detsember tegevuskava'!$P$154,'kuni 2025 detsember tegevuskava'!P63='kuni 2025 detsember tegevuskava'!$P$155),1,'kuni 2025 detsember tegevuskava'!P63='kuni 2025 detsember tegevuskava'!$P$156,2,'kuni 2025 detsember tegevuskava'!P63='kuni 2025 detsember tegevuskava'!$P$157,2,'kuni 2025 detsember tegevuskava'!P63='kuni 2025 detsember tegevuskava'!$P$152,3)</f>
        <v>2</v>
      </c>
      <c r="I104" s="110">
        <f>SUM(I105:I105)</f>
        <v>99726</v>
      </c>
      <c r="J104" s="111"/>
      <c r="K104" s="71">
        <f>SUM(K105:K105)</f>
        <v>0</v>
      </c>
      <c r="L104" s="73"/>
      <c r="M104" s="110">
        <f>SUM(M105:M105)</f>
        <v>66484</v>
      </c>
      <c r="N104" s="111"/>
      <c r="O104" s="71">
        <f>SUM(O105:O105)</f>
        <v>33242</v>
      </c>
      <c r="P104" s="75"/>
    </row>
    <row r="105" spans="2:16" ht="17.25" x14ac:dyDescent="0.25">
      <c r="B105" s="738"/>
      <c r="C105" s="745"/>
      <c r="D105" s="745"/>
      <c r="E105" s="745"/>
      <c r="F105" s="745"/>
      <c r="G105" s="636"/>
      <c r="H105" s="391"/>
      <c r="I105" s="88">
        <f>SUM(K105+M105+O105)</f>
        <v>99726</v>
      </c>
      <c r="J105" s="89" t="str">
        <f>"(15)"</f>
        <v>(15)</v>
      </c>
      <c r="K105" s="657">
        <f>'kuni 2025 detsember tegevuskava'!X63</f>
        <v>0</v>
      </c>
      <c r="L105" s="644" t="str">
        <f>"(15)"</f>
        <v>(15)</v>
      </c>
      <c r="M105" s="88">
        <f>'kuni 2025 detsember tegevuskava'!AA63</f>
        <v>66484</v>
      </c>
      <c r="N105" s="89" t="str">
        <f>"(15)"</f>
        <v>(15)</v>
      </c>
      <c r="O105" s="657">
        <f>'kuni 2025 detsember tegevuskava'!AD63</f>
        <v>33242</v>
      </c>
      <c r="P105" s="77" t="str">
        <f>"(15)"</f>
        <v>(15)</v>
      </c>
    </row>
    <row r="106" spans="2:16" ht="17.25" x14ac:dyDescent="0.25">
      <c r="B106" s="738"/>
      <c r="C106" s="745"/>
      <c r="D106" s="745"/>
      <c r="E106" s="745"/>
      <c r="F106" s="745"/>
      <c r="G106" s="636"/>
      <c r="H106" s="391"/>
      <c r="I106" s="127" t="s">
        <v>534</v>
      </c>
      <c r="J106" s="130"/>
      <c r="K106" s="130"/>
      <c r="L106" s="130"/>
      <c r="M106" s="130"/>
      <c r="N106" s="130"/>
      <c r="O106" s="130"/>
      <c r="P106" s="131"/>
    </row>
    <row r="107" spans="2:16" ht="17.25" x14ac:dyDescent="0.25">
      <c r="B107" s="738"/>
      <c r="C107" s="745"/>
      <c r="D107" s="745"/>
      <c r="E107" s="745"/>
      <c r="F107" s="745"/>
      <c r="G107" s="636"/>
      <c r="H107" s="391"/>
      <c r="I107" s="126">
        <f>SUM(I108:I108)</f>
        <v>121665.72</v>
      </c>
      <c r="J107" s="89"/>
      <c r="K107" s="642">
        <f>SUM(K108:K108)</f>
        <v>0</v>
      </c>
      <c r="L107" s="643"/>
      <c r="M107" s="126">
        <f>SUM(M108:M108)</f>
        <v>81110.48</v>
      </c>
      <c r="N107" s="123"/>
      <c r="O107" s="126">
        <f>SUM(O108:O108)</f>
        <v>40555.24</v>
      </c>
      <c r="P107" s="62"/>
    </row>
    <row r="108" spans="2:16" ht="121.5" customHeight="1" thickBot="1" x14ac:dyDescent="0.3">
      <c r="B108" s="739"/>
      <c r="C108" s="746"/>
      <c r="D108" s="746"/>
      <c r="E108" s="746"/>
      <c r="F108" s="746"/>
      <c r="G108" s="651"/>
      <c r="H108" s="353"/>
      <c r="I108" s="108">
        <f>SUM(K108+M108+O108)</f>
        <v>121665.72</v>
      </c>
      <c r="J108" s="109" t="str">
        <f>"(15)"</f>
        <v>(15)</v>
      </c>
      <c r="K108" s="82">
        <f>SUM(K105*1.2)</f>
        <v>0</v>
      </c>
      <c r="L108" s="83" t="str">
        <f>"(15)"</f>
        <v>(15)</v>
      </c>
      <c r="M108" s="108">
        <f>SUM(M105*1.22)</f>
        <v>81110.48</v>
      </c>
      <c r="N108" s="109" t="str">
        <f>"(15)"</f>
        <v>(15)</v>
      </c>
      <c r="O108" s="108">
        <f>SUM(O105*1.22)</f>
        <v>40555.24</v>
      </c>
      <c r="P108" s="84" t="str">
        <f>"(15)"</f>
        <v>(15)</v>
      </c>
    </row>
    <row r="109" spans="2:16" ht="17.25" x14ac:dyDescent="0.25">
      <c r="B109" s="737" t="str">
        <f>'kuni 2025 detsember tegevuskava'!A65&amp;"/"&amp;'kuni 2025 detsember tegevuskava'!C65</f>
        <v>Siseministeerium /SMIT/PPA</v>
      </c>
      <c r="C109" s="744" t="str">
        <f>'kuni 2025 detsember tegevuskava'!I65</f>
        <v xml:space="preserve">Politsei poolt läbiviidav haldusmenetlus viiakse läbi täna sarnaselt VTM-le MISis, mis on taakvara ning mida ei ole võimalik mõistliku aja- ja raha kuluga edasi arendada. MISst VTMi välja viimisel on vajalik sama teha ka haldusmenetlusega. Haldusmenetlustoimingud on seotud nii VTM, kui KrM-ga. </v>
      </c>
      <c r="D109" s="744" t="str">
        <f>'kuni 2025 detsember tegevuskava'!J65</f>
        <v>Haldusmenetluse analüüs</v>
      </c>
      <c r="E109" s="744" t="str">
        <f>'kuni 2025 detsember tegevuskava'!K65</f>
        <v>2024: HM analüüsi teostamiseks on olemas partner, kellega on kokkulepitud tegevuskava. Ärianalüüsiga on alustatud.
2025: Koostatud on ärianalüüs, mis arvestab ka haldustoimingutega väärteomenetluses ja kriminaalmenetluses ning nende kasutamisega riigiüleses VTM teenuses ja E-toimikus. On kirjeldatud Politsei haldusmenetluse läbiviimise nõuded. Uus haldusmenetluse rakendus toetab digitaalsele süüteomenetlusele üleminekut.</v>
      </c>
      <c r="F109" s="744" t="str">
        <f>'kuni 2025 detsember tegevuskava'!P65&amp;"/"</f>
        <v>SF 21-27 (taotletav raha)/</v>
      </c>
      <c r="G109" s="647" cm="1">
        <f t="array" ref="G109">_xlfn.IFS('kuni 2025 detsember tegevuskava'!G65='kuni 2025 detsember tegevuskava'!$G$151,1,'kuni 2025 detsember tegevuskava'!G65='kuni 2025 detsember tegevuskava'!$G$152,2,'kuni 2025 detsember tegevuskava'!G65='kuni 2025 detsember tegevuskava'!$G$153,3,'kuni 2025 detsember tegevuskava'!G65='kuni 2025 detsember tegevuskava'!$G$154,4)</f>
        <v>1</v>
      </c>
      <c r="H109" s="354" cm="1">
        <f t="array" ref="H109">_xlfn.IFS(OR('kuni 2025 detsember tegevuskava'!P65='kuni 2025 detsember tegevuskava'!$P$151,'kuni 2025 detsember tegevuskava'!P65='kuni 2025 detsember tegevuskava'!$P$153,'kuni 2025 detsember tegevuskava'!P65='kuni 2025 detsember tegevuskava'!$P$154,'kuni 2025 detsember tegevuskava'!P65='kuni 2025 detsember tegevuskava'!$P$155),1,'kuni 2025 detsember tegevuskava'!P65='kuni 2025 detsember tegevuskava'!$P$156,2,'kuni 2025 detsember tegevuskava'!P65='kuni 2025 detsember tegevuskava'!$P$157,2,'kuni 2025 detsember tegevuskava'!P65='kuni 2025 detsember tegevuskava'!$P$152,3)</f>
        <v>2</v>
      </c>
      <c r="I109" s="110">
        <f>SUM(I110:I110)</f>
        <v>96960</v>
      </c>
      <c r="J109" s="111"/>
      <c r="K109" s="71">
        <f>SUM(K110:K110)</f>
        <v>0</v>
      </c>
      <c r="L109" s="73"/>
      <c r="M109" s="110">
        <f>SUM(M110:M110)</f>
        <v>32320</v>
      </c>
      <c r="N109" s="111"/>
      <c r="O109" s="71">
        <f>SUM(O110:O110)</f>
        <v>64640</v>
      </c>
      <c r="P109" s="75"/>
    </row>
    <row r="110" spans="2:16" ht="17.25" x14ac:dyDescent="0.25">
      <c r="B110" s="738"/>
      <c r="C110" s="745"/>
      <c r="D110" s="745"/>
      <c r="E110" s="745"/>
      <c r="F110" s="745"/>
      <c r="G110" s="636"/>
      <c r="H110" s="391"/>
      <c r="I110" s="88">
        <f>SUM(K110+M110+O110)</f>
        <v>96960</v>
      </c>
      <c r="J110" s="89" t="str">
        <f>"(15)"</f>
        <v>(15)</v>
      </c>
      <c r="K110" s="657">
        <f>'kuni 2025 detsember tegevuskava'!X65</f>
        <v>0</v>
      </c>
      <c r="L110" s="644" t="str">
        <f>"(15)"</f>
        <v>(15)</v>
      </c>
      <c r="M110" s="88">
        <f>'kuni 2025 detsember tegevuskava'!AA65</f>
        <v>32320</v>
      </c>
      <c r="N110" s="89" t="str">
        <f>"(15)"</f>
        <v>(15)</v>
      </c>
      <c r="O110" s="657">
        <f>'kuni 2025 detsember tegevuskava'!AD65</f>
        <v>64640</v>
      </c>
      <c r="P110" s="77" t="str">
        <f>"(15)"</f>
        <v>(15)</v>
      </c>
    </row>
    <row r="111" spans="2:16" ht="17.25" x14ac:dyDescent="0.25">
      <c r="B111" s="738"/>
      <c r="C111" s="745"/>
      <c r="D111" s="745"/>
      <c r="E111" s="745"/>
      <c r="F111" s="745"/>
      <c r="G111" s="636"/>
      <c r="H111" s="391"/>
      <c r="I111" s="127" t="s">
        <v>534</v>
      </c>
      <c r="J111" s="130"/>
      <c r="K111" s="130"/>
      <c r="L111" s="130"/>
      <c r="M111" s="130"/>
      <c r="N111" s="130"/>
      <c r="O111" s="130"/>
      <c r="P111" s="131"/>
    </row>
    <row r="112" spans="2:16" ht="17.25" x14ac:dyDescent="0.25">
      <c r="B112" s="738"/>
      <c r="C112" s="745"/>
      <c r="D112" s="745"/>
      <c r="E112" s="745"/>
      <c r="F112" s="745"/>
      <c r="G112" s="636"/>
      <c r="H112" s="391"/>
      <c r="I112" s="126">
        <f>SUM(I113:I113)</f>
        <v>118291.20000000001</v>
      </c>
      <c r="J112" s="89"/>
      <c r="K112" s="642">
        <f>SUM(K113:K113)</f>
        <v>0</v>
      </c>
      <c r="L112" s="643"/>
      <c r="M112" s="126">
        <f>SUM(M113:M113)</f>
        <v>39430.400000000001</v>
      </c>
      <c r="N112" s="123"/>
      <c r="O112" s="126">
        <f>SUM(O113:O113)</f>
        <v>78860.800000000003</v>
      </c>
      <c r="P112" s="62"/>
    </row>
    <row r="113" spans="2:16" ht="109.5" customHeight="1" thickBot="1" x14ac:dyDescent="0.3">
      <c r="B113" s="739"/>
      <c r="C113" s="746"/>
      <c r="D113" s="746"/>
      <c r="E113" s="746"/>
      <c r="F113" s="746"/>
      <c r="G113" s="651"/>
      <c r="H113" s="353"/>
      <c r="I113" s="108">
        <f>SUM(K113+M113+O113)</f>
        <v>118291.20000000001</v>
      </c>
      <c r="J113" s="109" t="str">
        <f>"(15)"</f>
        <v>(15)</v>
      </c>
      <c r="K113" s="82">
        <f>SUM(K110*1.2)</f>
        <v>0</v>
      </c>
      <c r="L113" s="83" t="str">
        <f>"(15)"</f>
        <v>(15)</v>
      </c>
      <c r="M113" s="108">
        <f>SUM(M110*1.22)</f>
        <v>39430.400000000001</v>
      </c>
      <c r="N113" s="109" t="str">
        <f>"(15)"</f>
        <v>(15)</v>
      </c>
      <c r="O113" s="108">
        <f>SUM(O110*1.22)</f>
        <v>78860.800000000003</v>
      </c>
      <c r="P113" s="84" t="str">
        <f>"(15)"</f>
        <v>(15)</v>
      </c>
    </row>
    <row r="114" spans="2:16" ht="17.25" x14ac:dyDescent="0.25">
      <c r="B114" s="737" t="str">
        <f>'kuni 2025 detsember tegevuskava'!A67&amp;"/"&amp;'kuni 2025 detsember tegevuskava'!C67</f>
        <v>Rahandusministeerium/SMIT/PPA</v>
      </c>
      <c r="C114" s="744" t="str">
        <f>'kuni 2025 detsember tegevuskava'!I67</f>
        <v xml:space="preserve">Uute väärteo-, haldus- ja hoiatusmenetluse rakenduste loomisel on vajalik lahendada ka nõuete haldus (loomine, sissenõudmine, asenduskaristused jne.). EMTAl on olemas rakendus nõuete haldamiseks, kuid selle sobivust PPA nõuetele tuleb analüüsida. 2019 on teostatud täitemenetluse reformi riiginõuete sissenõudmise ümberkorraldamise tulu-kulu analüüs. PPAl ei ole mõistlik luua oma nõuete rakendust vaid see integreerida EMTA lahendusega. </v>
      </c>
      <c r="D114" s="744" t="str">
        <f>'kuni 2025 detsember tegevuskava'!J67</f>
        <v xml:space="preserve">Nõuete haldus (analüüs) (koostöös RaMiga) </v>
      </c>
      <c r="E114" s="744" t="str">
        <f>'kuni 2025 detsember tegevuskava'!K67</f>
        <v>PPAl on soov kasutusele võtta väärteomenetluses EMTA nõuete halduse keskkond ning on loodud alused, et teised asutused, kes kasutavad VTM rakendust saavad sama teha. EMTA nõuete halduse lahendusele tuleb teha analüüs (EMTA tegevus). PPA poolne projekti eesmärk on integreerida EMTA lahendus PPA lahendustega. 
2024: Nõuete halduse analüüsi teostamiseks on olemas partner, kellega on kokkulepitud tegevuskava. Analüüsiga on alustatud.
2025: Valminud on nõuete halduse analüüs.</v>
      </c>
      <c r="F114" s="744" t="str">
        <f>'kuni 2025 detsember tegevuskava'!P67&amp;"/"</f>
        <v>SF 21-27 (taotletav raha)/</v>
      </c>
      <c r="G114" s="647" cm="1">
        <f t="array" ref="G114">_xlfn.IFS('kuni 2025 detsember tegevuskava'!G67='kuni 2025 detsember tegevuskava'!$G$151,1,'kuni 2025 detsember tegevuskava'!G67='kuni 2025 detsember tegevuskava'!$G$152,2,'kuni 2025 detsember tegevuskava'!G67='kuni 2025 detsember tegevuskava'!$G$153,3,'kuni 2025 detsember tegevuskava'!G67='kuni 2025 detsember tegevuskava'!$G$154,4)</f>
        <v>1</v>
      </c>
      <c r="H114" s="354" cm="1">
        <f t="array" ref="H114">_xlfn.IFS(OR('kuni 2025 detsember tegevuskava'!P67='kuni 2025 detsember tegevuskava'!$P$151,'kuni 2025 detsember tegevuskava'!P67='kuni 2025 detsember tegevuskava'!$P$153,'kuni 2025 detsember tegevuskava'!P67='kuni 2025 detsember tegevuskava'!$P$154,'kuni 2025 detsember tegevuskava'!P67='kuni 2025 detsember tegevuskava'!$P$155),1,'kuni 2025 detsember tegevuskava'!P67='kuni 2025 detsember tegevuskava'!$P$156,2,'kuni 2025 detsember tegevuskava'!P67='kuni 2025 detsember tegevuskava'!$P$157,2,'kuni 2025 detsember tegevuskava'!P67='kuni 2025 detsember tegevuskava'!$P$152,3)</f>
        <v>2</v>
      </c>
      <c r="I114" s="110">
        <f>SUM(I115:I115)</f>
        <v>100000</v>
      </c>
      <c r="J114" s="111"/>
      <c r="K114" s="71">
        <f>SUM(K115:K115)</f>
        <v>0</v>
      </c>
      <c r="L114" s="73"/>
      <c r="M114" s="110">
        <f>SUM(M115:M115)</f>
        <v>66666.666666666672</v>
      </c>
      <c r="N114" s="111"/>
      <c r="O114" s="71">
        <f>SUM(O115:O115)</f>
        <v>33333.333333333336</v>
      </c>
      <c r="P114" s="75"/>
    </row>
    <row r="115" spans="2:16" ht="17.25" x14ac:dyDescent="0.25">
      <c r="B115" s="738"/>
      <c r="C115" s="745"/>
      <c r="D115" s="745"/>
      <c r="E115" s="745"/>
      <c r="F115" s="745"/>
      <c r="G115" s="636"/>
      <c r="H115" s="391"/>
      <c r="I115" s="88">
        <f>SUM(K115+M115+O115)</f>
        <v>100000</v>
      </c>
      <c r="J115" s="89" t="str">
        <f>"(15)"</f>
        <v>(15)</v>
      </c>
      <c r="K115" s="657">
        <f>'kuni 2025 detsember tegevuskava'!X67</f>
        <v>0</v>
      </c>
      <c r="L115" s="644" t="str">
        <f>"(15)"</f>
        <v>(15)</v>
      </c>
      <c r="M115" s="88">
        <f>'kuni 2025 detsember tegevuskava'!AA67</f>
        <v>66666.666666666672</v>
      </c>
      <c r="N115" s="89" t="str">
        <f>"(15)"</f>
        <v>(15)</v>
      </c>
      <c r="O115" s="657">
        <f>'kuni 2025 detsember tegevuskava'!AD67</f>
        <v>33333.333333333336</v>
      </c>
      <c r="P115" s="77" t="str">
        <f>"(15)"</f>
        <v>(15)</v>
      </c>
    </row>
    <row r="116" spans="2:16" ht="17.25" x14ac:dyDescent="0.25">
      <c r="B116" s="738"/>
      <c r="C116" s="745"/>
      <c r="D116" s="745"/>
      <c r="E116" s="745"/>
      <c r="F116" s="745"/>
      <c r="G116" s="636"/>
      <c r="H116" s="391"/>
      <c r="I116" s="127" t="s">
        <v>534</v>
      </c>
      <c r="J116" s="130"/>
      <c r="K116" s="130"/>
      <c r="L116" s="130"/>
      <c r="M116" s="130"/>
      <c r="N116" s="130"/>
      <c r="O116" s="130"/>
      <c r="P116" s="131"/>
    </row>
    <row r="117" spans="2:16" ht="17.25" x14ac:dyDescent="0.25">
      <c r="B117" s="738"/>
      <c r="C117" s="745"/>
      <c r="D117" s="745"/>
      <c r="E117" s="745"/>
      <c r="F117" s="745"/>
      <c r="G117" s="636"/>
      <c r="H117" s="391"/>
      <c r="I117" s="126">
        <f>SUM(I118:I118)</f>
        <v>122000.00000000001</v>
      </c>
      <c r="J117" s="89"/>
      <c r="K117" s="642">
        <f>SUM(K118:K118)</f>
        <v>0</v>
      </c>
      <c r="L117" s="643"/>
      <c r="M117" s="126">
        <f>SUM(M118:M118)</f>
        <v>81333.333333333343</v>
      </c>
      <c r="N117" s="123"/>
      <c r="O117" s="126">
        <f>SUM(O118:O118)</f>
        <v>40666.666666666672</v>
      </c>
      <c r="P117" s="62"/>
    </row>
    <row r="118" spans="2:16" ht="145.5" customHeight="1" thickBot="1" x14ac:dyDescent="0.3">
      <c r="B118" s="739"/>
      <c r="C118" s="746"/>
      <c r="D118" s="746"/>
      <c r="E118" s="746"/>
      <c r="F118" s="746"/>
      <c r="G118" s="651"/>
      <c r="H118" s="353"/>
      <c r="I118" s="108">
        <f>SUM(K118+M118+O118)</f>
        <v>122000.00000000001</v>
      </c>
      <c r="J118" s="109" t="str">
        <f>"(15)"</f>
        <v>(15)</v>
      </c>
      <c r="K118" s="82">
        <f>SUM(K115*1.2)</f>
        <v>0</v>
      </c>
      <c r="L118" s="83" t="str">
        <f>"(15)"</f>
        <v>(15)</v>
      </c>
      <c r="M118" s="108">
        <f>SUM(M115*1.22)</f>
        <v>81333.333333333343</v>
      </c>
      <c r="N118" s="109" t="str">
        <f>"(15)"</f>
        <v>(15)</v>
      </c>
      <c r="O118" s="108">
        <f>SUM(O115*1.22)</f>
        <v>40666.666666666672</v>
      </c>
      <c r="P118" s="84" t="str">
        <f>"(15)"</f>
        <v>(15)</v>
      </c>
    </row>
    <row r="119" spans="2:16" ht="17.25" x14ac:dyDescent="0.25">
      <c r="B119" s="737" t="str">
        <f>'kuni 2025 detsember tegevuskava'!A69&amp;"/"&amp;'kuni 2025 detsember tegevuskava'!C69</f>
        <v>Siseministeerium /SMIT/PPA</v>
      </c>
      <c r="C119" s="744" t="str">
        <f>'kuni 2025 detsember tegevuskava'!I69</f>
        <v>XY Monitor loodi SMITi poolt aastal 2010 ning tänaseks on rakendus amortiseerunud. Hetkel ei ole ühtegi
alternatiivset süsteemi (ega süsteemide kombinatsiooni), mis asendaks XY Monitori kogu funktsionaalsust.
Täna tarbivad XY Monitori teenust Apollo, SOS-i, Kilp-i kasutajad nii PPA-s kui koostööpartnerite näol. XY Monitori enda aktiivsete kasutajate arv on 3000, kuid tuleb arvestada, et süsteemi poolt edastatud info on oluline osa ka kõigi Apollo ning SOS-i kasutajate jaoks. Seega kogu mõjutatud kasutajate arv on kindlasti üle 6000 isiku.</v>
      </c>
      <c r="D119" s="744" t="str">
        <f>'kuni 2025 detsember tegevuskava'!J69</f>
        <v>XY Monitori uuedamine (objektide asukohahaldus)</v>
      </c>
      <c r="E119" s="744" t="str">
        <f>'kuni 2025 detsember tegevuskava'!K69</f>
        <v xml:space="preserve">XY Monitor tagab häirekeskuse infosüsteemis SOS, PPA ressursihaldamise teenuses KILP ja patrulli lahenduses Apollo sõidukite, käsiraadiote ja mobiiltelefonide reaalajal kaardil nähtavuse. See on kriitiliselt vajalik info politsei välitöö ametnikele. Tulemuseks on XY Monitori üle viimine uuele tehnilisele lahendusele, et tagada selle töökindlus. </v>
      </c>
      <c r="F119" s="744" t="str">
        <f>'kuni 2025 detsember tegevuskava'!P69&amp;"/"</f>
        <v>SF 21-27 (taotletav raha)/</v>
      </c>
      <c r="G119" s="647" cm="1">
        <f t="array" ref="G119">_xlfn.IFS('kuni 2025 detsember tegevuskava'!G69='kuni 2025 detsember tegevuskava'!$G$151,1,'kuni 2025 detsember tegevuskava'!G69='kuni 2025 detsember tegevuskava'!$G$152,2,'kuni 2025 detsember tegevuskava'!G69='kuni 2025 detsember tegevuskava'!$G$153,3,'kuni 2025 detsember tegevuskava'!G69='kuni 2025 detsember tegevuskava'!$G$154,4)</f>
        <v>1</v>
      </c>
      <c r="H119" s="354" cm="1">
        <f t="array" ref="H119">_xlfn.IFS(OR('kuni 2025 detsember tegevuskava'!P69='kuni 2025 detsember tegevuskava'!$P$151,'kuni 2025 detsember tegevuskava'!P69='kuni 2025 detsember tegevuskava'!$P$153,'kuni 2025 detsember tegevuskava'!P69='kuni 2025 detsember tegevuskava'!$P$154,'kuni 2025 detsember tegevuskava'!P69='kuni 2025 detsember tegevuskava'!$P$155),1,'kuni 2025 detsember tegevuskava'!P69='kuni 2025 detsember tegevuskava'!$P$156,2,'kuni 2025 detsember tegevuskava'!P69='kuni 2025 detsember tegevuskava'!$P$157,2,'kuni 2025 detsember tegevuskava'!P69='kuni 2025 detsember tegevuskava'!$P$152,3)</f>
        <v>2</v>
      </c>
      <c r="I119" s="110">
        <f>SUM(I120:I120)</f>
        <v>327800</v>
      </c>
      <c r="J119" s="111"/>
      <c r="K119" s="71">
        <f>SUM(K120:K120)</f>
        <v>0</v>
      </c>
      <c r="L119" s="73"/>
      <c r="M119" s="110">
        <f>SUM(M120:M120)</f>
        <v>196680</v>
      </c>
      <c r="N119" s="111"/>
      <c r="O119" s="71">
        <f>SUM(O120:O120)</f>
        <v>131120</v>
      </c>
      <c r="P119" s="75"/>
    </row>
    <row r="120" spans="2:16" ht="17.25" x14ac:dyDescent="0.25">
      <c r="B120" s="738"/>
      <c r="C120" s="745"/>
      <c r="D120" s="745"/>
      <c r="E120" s="745"/>
      <c r="F120" s="745"/>
      <c r="G120" s="636"/>
      <c r="H120" s="391"/>
      <c r="I120" s="88">
        <f>SUM(K120+M120+O120)</f>
        <v>327800</v>
      </c>
      <c r="J120" s="89" t="str">
        <f>"(15)"</f>
        <v>(15)</v>
      </c>
      <c r="K120" s="657">
        <f>'kuni 2025 detsember tegevuskava'!X69</f>
        <v>0</v>
      </c>
      <c r="L120" s="644" t="str">
        <f>"(15)"</f>
        <v>(15)</v>
      </c>
      <c r="M120" s="88">
        <f>'kuni 2025 detsember tegevuskava'!AA69</f>
        <v>196680</v>
      </c>
      <c r="N120" s="89" t="str">
        <f>"(15)"</f>
        <v>(15)</v>
      </c>
      <c r="O120" s="657">
        <f>'kuni 2025 detsember tegevuskava'!AD69</f>
        <v>131120</v>
      </c>
      <c r="P120" s="77" t="str">
        <f>"(15)"</f>
        <v>(15)</v>
      </c>
    </row>
    <row r="121" spans="2:16" ht="17.25" x14ac:dyDescent="0.25">
      <c r="B121" s="738"/>
      <c r="C121" s="745"/>
      <c r="D121" s="745"/>
      <c r="E121" s="745"/>
      <c r="F121" s="745"/>
      <c r="G121" s="636"/>
      <c r="H121" s="391"/>
      <c r="I121" s="127" t="s">
        <v>534</v>
      </c>
      <c r="J121" s="130"/>
      <c r="K121" s="130"/>
      <c r="L121" s="130"/>
      <c r="M121" s="130"/>
      <c r="N121" s="130"/>
      <c r="O121" s="130"/>
      <c r="P121" s="131"/>
    </row>
    <row r="122" spans="2:16" ht="17.25" x14ac:dyDescent="0.25">
      <c r="B122" s="738"/>
      <c r="C122" s="745"/>
      <c r="D122" s="745"/>
      <c r="E122" s="745"/>
      <c r="F122" s="745"/>
      <c r="G122" s="636"/>
      <c r="H122" s="391"/>
      <c r="I122" s="126">
        <f>SUM(I123:I123)</f>
        <v>399916</v>
      </c>
      <c r="J122" s="89"/>
      <c r="K122" s="642">
        <f>SUM(K123:K123)</f>
        <v>0</v>
      </c>
      <c r="L122" s="643"/>
      <c r="M122" s="126">
        <f>SUM(M123:M123)</f>
        <v>239949.6</v>
      </c>
      <c r="N122" s="123"/>
      <c r="O122" s="126">
        <f>SUM(O123:O123)</f>
        <v>159966.39999999999</v>
      </c>
      <c r="P122" s="62"/>
    </row>
    <row r="123" spans="2:16" ht="168" customHeight="1" thickBot="1" x14ac:dyDescent="0.3">
      <c r="B123" s="739"/>
      <c r="C123" s="746"/>
      <c r="D123" s="746"/>
      <c r="E123" s="746"/>
      <c r="F123" s="746"/>
      <c r="G123" s="651"/>
      <c r="H123" s="353"/>
      <c r="I123" s="108">
        <f>SUM(K123+M123+O123)</f>
        <v>399916</v>
      </c>
      <c r="J123" s="109" t="str">
        <f>"(15)"</f>
        <v>(15)</v>
      </c>
      <c r="K123" s="82">
        <f>SUM(K120*1.2)</f>
        <v>0</v>
      </c>
      <c r="L123" s="83" t="str">
        <f>"(15)"</f>
        <v>(15)</v>
      </c>
      <c r="M123" s="108">
        <f>SUM(M120*1.22)</f>
        <v>239949.6</v>
      </c>
      <c r="N123" s="109" t="str">
        <f>"(15)"</f>
        <v>(15)</v>
      </c>
      <c r="O123" s="108">
        <f>SUM(O120*1.22)</f>
        <v>159966.39999999999</v>
      </c>
      <c r="P123" s="84" t="str">
        <f>"(15)"</f>
        <v>(15)</v>
      </c>
    </row>
    <row r="124" spans="2:16" ht="17.25" x14ac:dyDescent="0.25">
      <c r="B124" s="737" t="str">
        <f>'kuni 2025 detsember tegevuskava'!A70&amp;"/"&amp;'kuni 2025 detsember tegevuskava'!C70</f>
        <v>Siseministeerium /SMIT/PPA</v>
      </c>
      <c r="C124" s="744" t="str">
        <f>'kuni 2025 detsember tegevuskava'!I70</f>
        <v>2024 aasta alguses võtakse PPAs kasutusele uus juhtumite lahendus ja Töölaua I etapp, mis mõlemad on teostatud SF vahenditest 2022-2023. Uue lahenduse välja töötamisel jagati arendused kahte etappi. 2023 lõpuks saab teostatud I etapp ning vajalik on teostada 2024 II etapp ja samuti vastavalt kasutajate tagasisidele vajalikud uuendused. Töölaud aitab tuua kokku  ametnikule vaja mineva põhilise vaate ühele töölauale. Sealt liigub ametnik vastavalt vajalikule tööülesandmete uude rakendusse. Töölaud on vajalik, et tagada PPA ametnike töö muutunud vaates näiteks KrM menetlused on PRISis. Töölauale loodi 2022-2023 baasfunktsionaalsus ja seda on vajalik 2024 täiendada. Edaspidi täiendatakse töölaua funktsionaalsust iga uue rakenduse loomise käigus. </v>
      </c>
      <c r="D124" s="744" t="str">
        <f>'kuni 2025 detsember tegevuskava'!J70</f>
        <v xml:space="preserve">MISX juhtumite lahenduse II etapp ja MISX töölaua arenduse II etapp, </v>
      </c>
      <c r="E124" s="744" t="str">
        <f>'kuni 2025 detsember tegevuskava'!K70</f>
        <v>2024: Valitud on partner detailanalüüsi ja arenduse läbiviimiseks, sõlmitud on leping. Alustatud on analüüsi- ja arendustöödega. Valmistatakse ette jätkuhanget (II etapi tööde teine osa).
2025: Teostatud on juhtumite lahenduse II etapp. Lisatud on juhtumile objektide (sõiduki) lisamisel seos objektide registriga (teostatakse Objektide registri projekti raames vastavalt selle projekti ajakavale), kaardirakenduse seos ja teostatud on vastavalt kasutajate tagasisidele kogutud olulisemad parendused.
Täiendatud on töölaual olevate objektide vaateid (seos objektide registriga luuakse objektide projektis), juurde on loodud PPA tööks vajalikke teenuseid (x-tee teenused teistesse registritesse). Teostatud on kasutajate tagasiside põhjal olulisemad arendused. Töölaud on kasutaja jaoks integreeritud päringukeskusega (liikumine töölaualt Päringukeskusesse), kuid andmed hakkavad Päringukeskuse ja menetlussüsteemide vahel liikuma järgmiste projektide arenduste järgselt.</v>
      </c>
      <c r="F124" s="744" t="str">
        <f>'kuni 2025 detsember tegevuskava'!P70&amp;"/"</f>
        <v>SF 21-27 (taotletav raha)/</v>
      </c>
      <c r="G124" s="647" cm="1">
        <f t="array" ref="G124">_xlfn.IFS('kuni 2025 detsember tegevuskava'!G70='kuni 2025 detsember tegevuskava'!$G$151,1,'kuni 2025 detsember tegevuskava'!G70='kuni 2025 detsember tegevuskava'!$G$152,2,'kuni 2025 detsember tegevuskava'!G70='kuni 2025 detsember tegevuskava'!$G$153,3,'kuni 2025 detsember tegevuskava'!G70='kuni 2025 detsember tegevuskava'!$G$154,4)</f>
        <v>1</v>
      </c>
      <c r="H124" s="354" cm="1">
        <f t="array" ref="H124">_xlfn.IFS(OR('kuni 2025 detsember tegevuskava'!P70='kuni 2025 detsember tegevuskava'!$P$151,'kuni 2025 detsember tegevuskava'!P70='kuni 2025 detsember tegevuskava'!$P$153,'kuni 2025 detsember tegevuskava'!P70='kuni 2025 detsember tegevuskava'!$P$154,'kuni 2025 detsember tegevuskava'!P70='kuni 2025 detsember tegevuskava'!$P$155),1,'kuni 2025 detsember tegevuskava'!P70='kuni 2025 detsember tegevuskava'!$P$156,2,'kuni 2025 detsember tegevuskava'!P70='kuni 2025 detsember tegevuskava'!$P$157,2,'kuni 2025 detsember tegevuskava'!P70='kuni 2025 detsember tegevuskava'!$P$152,3)</f>
        <v>2</v>
      </c>
      <c r="I124" s="110">
        <f>SUM(I125:I125)</f>
        <v>786944</v>
      </c>
      <c r="J124" s="111"/>
      <c r="K124" s="71">
        <f>SUM(K125:K125)</f>
        <v>0</v>
      </c>
      <c r="L124" s="73"/>
      <c r="M124" s="110">
        <f>SUM(M125:M125)</f>
        <v>336960</v>
      </c>
      <c r="N124" s="111"/>
      <c r="O124" s="71">
        <f>SUM(O125:O125)</f>
        <v>449984</v>
      </c>
      <c r="P124" s="75"/>
    </row>
    <row r="125" spans="2:16" ht="17.25" x14ac:dyDescent="0.25">
      <c r="B125" s="738"/>
      <c r="C125" s="745"/>
      <c r="D125" s="745"/>
      <c r="E125" s="745"/>
      <c r="F125" s="745"/>
      <c r="G125" s="636"/>
      <c r="H125" s="391"/>
      <c r="I125" s="88">
        <f>SUM(K125+M125+O125)</f>
        <v>786944</v>
      </c>
      <c r="J125" s="89" t="str">
        <f>"(15)"</f>
        <v>(15)</v>
      </c>
      <c r="K125" s="657">
        <f>'kuni 2025 detsember tegevuskava'!X70</f>
        <v>0</v>
      </c>
      <c r="L125" s="644" t="str">
        <f>"(15)"</f>
        <v>(15)</v>
      </c>
      <c r="M125" s="88">
        <f>'kuni 2025 detsember tegevuskava'!AA70</f>
        <v>336960</v>
      </c>
      <c r="N125" s="89" t="str">
        <f>"(15)"</f>
        <v>(15)</v>
      </c>
      <c r="O125" s="657">
        <f>'kuni 2025 detsember tegevuskava'!AD70</f>
        <v>449984</v>
      </c>
      <c r="P125" s="77" t="str">
        <f>"(15)"</f>
        <v>(15)</v>
      </c>
    </row>
    <row r="126" spans="2:16" ht="17.25" x14ac:dyDescent="0.25">
      <c r="B126" s="738"/>
      <c r="C126" s="745"/>
      <c r="D126" s="745"/>
      <c r="E126" s="745"/>
      <c r="F126" s="745"/>
      <c r="G126" s="636"/>
      <c r="H126" s="391"/>
      <c r="I126" s="127" t="s">
        <v>534</v>
      </c>
      <c r="J126" s="130"/>
      <c r="K126" s="130"/>
      <c r="L126" s="130"/>
      <c r="M126" s="130"/>
      <c r="N126" s="130"/>
      <c r="O126" s="130"/>
      <c r="P126" s="131"/>
    </row>
    <row r="127" spans="2:16" ht="17.25" x14ac:dyDescent="0.25">
      <c r="B127" s="738"/>
      <c r="C127" s="745"/>
      <c r="D127" s="745"/>
      <c r="E127" s="745"/>
      <c r="F127" s="745"/>
      <c r="G127" s="636"/>
      <c r="H127" s="391"/>
      <c r="I127" s="126">
        <f>SUM(I128:I128)</f>
        <v>960071.67999999993</v>
      </c>
      <c r="J127" s="89"/>
      <c r="K127" s="642">
        <f>SUM(K128:K128)</f>
        <v>0</v>
      </c>
      <c r="L127" s="643"/>
      <c r="M127" s="126">
        <f>SUM(M128:M128)</f>
        <v>411091.20000000001</v>
      </c>
      <c r="N127" s="123"/>
      <c r="O127" s="126">
        <f>SUM(O128:O128)</f>
        <v>548980.47999999998</v>
      </c>
      <c r="P127" s="62"/>
    </row>
    <row r="128" spans="2:16" ht="312" customHeight="1" thickBot="1" x14ac:dyDescent="0.3">
      <c r="B128" s="740"/>
      <c r="C128" s="747"/>
      <c r="D128" s="747"/>
      <c r="E128" s="747"/>
      <c r="F128" s="747"/>
      <c r="G128" s="636"/>
      <c r="H128" s="391"/>
      <c r="I128" s="88">
        <f>SUM(K128+M128+O128)</f>
        <v>960071.67999999993</v>
      </c>
      <c r="J128" s="89" t="str">
        <f>"(15)"</f>
        <v>(15)</v>
      </c>
      <c r="K128" s="657">
        <f>SUM(K125*1.2)</f>
        <v>0</v>
      </c>
      <c r="L128" s="644" t="str">
        <f>"(15)"</f>
        <v>(15)</v>
      </c>
      <c r="M128" s="88">
        <f>SUM(M125*1.22)</f>
        <v>411091.20000000001</v>
      </c>
      <c r="N128" s="89" t="str">
        <f>"(15)"</f>
        <v>(15)</v>
      </c>
      <c r="O128" s="88">
        <f>SUM(O125*1.22)</f>
        <v>548980.47999999998</v>
      </c>
      <c r="P128" s="77" t="str">
        <f>"(15)"</f>
        <v>(15)</v>
      </c>
    </row>
    <row r="129" spans="2:16" ht="17.25" x14ac:dyDescent="0.25">
      <c r="B129" s="737" t="str">
        <f>'kuni 2025 detsember tegevuskava'!A71&amp;"/"&amp;'kuni 2025 detsember tegevuskava'!C71</f>
        <v>Siseministeerium /SMIT/PPA</v>
      </c>
      <c r="C129" s="744" t="str">
        <f>'kuni 2025 detsember tegevuskava'!I71</f>
        <v xml:space="preserve">Hetkel kasutusel olev  HIS on oma elukaare lõpus ning saavutanud maksimumi. Seetõttu ei ole võimalik olemasolevasse süsteemi lisada uusi funktsionaalsusi ega täiendavalt automatiseerida. Samuti mõjutab suurel määral süsteemi tõhusat toimimist järjest suurenev koormus (hoiatustrahvide arvu kasv). Paljud tööprotsessid on ajas muutunud, mistõttu tehakse täna liigselt käsitööd kasutades erinevaid infosüsteeme. Kasutusel olev HIS on liigselt seotud selle arendamise hetkel soetatud kaamerate tootjaga. Tuleb tagada kõiki tüüpe rikkumiste automaatse lahendamise võimekus. </v>
      </c>
      <c r="D129" s="744" t="str">
        <f>'kuni 2025 detsember tegevuskava'!J71</f>
        <v>Hoiatusmenetluse infosüsteem (HIS2) (etapid I-IV)</v>
      </c>
      <c r="E129" s="744" t="str">
        <f>'kuni 2025 detsember tegevuskava'!K71</f>
        <v>2025: Leitud on partner I etapi detailanalüüsiks ja arendustöödeks. Kokku on lepitud I etapi ajakava.  Teostatud on I etapi detailanalüüs ning alustatud I etapi arendustega - võimekus liidestada süsteemiga erinevat tüüpi ja tootjate tehnoloogilisi vahendeid.
2026: HIS2 on viidud uuele tehnilisele lahendusele menetluse läbi viimiseks vajalikud baastoimingud (andmete valideerimine, komplekspäringud, trahviteate genereerimine, allkirjastamine ja välja saatmine) toimivad. Uute funktsionaalsuste ja täiendava automatiseerituse tulemusel kiireneb menetlusprotsess tervikuna ning väheneb inimressursi kulu. 
2027-2028: HIS2 on integreeritud uue väärteomenetluse rakendusega (üldmenetlus), uuele tehnilisele lahendusele on viidud HISi ränga rikkumisega seotud protsessid ning täiendatud on kasutajaportaal.</v>
      </c>
      <c r="F129" s="744" t="str">
        <f>'kuni 2025 detsember tegevuskava'!P71&amp;"/"</f>
        <v>SF 21-27 (taotletav raha)/</v>
      </c>
      <c r="G129" s="647" cm="1">
        <f t="array" ref="G129">_xlfn.IFS('kuni 2025 detsember tegevuskava'!G71='kuni 2025 detsember tegevuskava'!$G$151,1,'kuni 2025 detsember tegevuskava'!G71='kuni 2025 detsember tegevuskava'!$G$152,2,'kuni 2025 detsember tegevuskava'!G71='kuni 2025 detsember tegevuskava'!$G$153,3,'kuni 2025 detsember tegevuskava'!G71='kuni 2025 detsember tegevuskava'!$G$154,4)</f>
        <v>1</v>
      </c>
      <c r="H129" s="354" cm="1">
        <f t="array" ref="H129">_xlfn.IFS(OR('kuni 2025 detsember tegevuskava'!P71='kuni 2025 detsember tegevuskava'!$P$151,'kuni 2025 detsember tegevuskava'!P71='kuni 2025 detsember tegevuskava'!$P$153,'kuni 2025 detsember tegevuskava'!P71='kuni 2025 detsember tegevuskava'!$P$154,'kuni 2025 detsember tegevuskava'!P71='kuni 2025 detsember tegevuskava'!$P$155),1,'kuni 2025 detsember tegevuskava'!P71='kuni 2025 detsember tegevuskava'!$P$156,2,'kuni 2025 detsember tegevuskava'!P71='kuni 2025 detsember tegevuskava'!$P$157,2,'kuni 2025 detsember tegevuskava'!P71='kuni 2025 detsember tegevuskava'!$P$152,3)</f>
        <v>2</v>
      </c>
      <c r="I129" s="110">
        <f>SUM(I130:I130)</f>
        <v>285353</v>
      </c>
      <c r="J129" s="111"/>
      <c r="K129" s="71">
        <f>SUM(K130:K130)</f>
        <v>0</v>
      </c>
      <c r="L129" s="73"/>
      <c r="M129" s="110">
        <f>SUM(M130:M130)</f>
        <v>0</v>
      </c>
      <c r="N129" s="111"/>
      <c r="O129" s="71">
        <f>SUM(O130:O130)</f>
        <v>285353</v>
      </c>
      <c r="P129" s="75"/>
    </row>
    <row r="130" spans="2:16" ht="17.25" x14ac:dyDescent="0.25">
      <c r="B130" s="738"/>
      <c r="C130" s="745"/>
      <c r="D130" s="745"/>
      <c r="E130" s="745"/>
      <c r="F130" s="745"/>
      <c r="G130" s="636"/>
      <c r="H130" s="391"/>
      <c r="I130" s="88">
        <f>SUM(K130+M130+O130)</f>
        <v>285353</v>
      </c>
      <c r="J130" s="89" t="str">
        <f>"(15)"</f>
        <v>(15)</v>
      </c>
      <c r="K130" s="657">
        <f>'kuni 2025 detsember tegevuskava'!X71</f>
        <v>0</v>
      </c>
      <c r="L130" s="644" t="str">
        <f>"(15)"</f>
        <v>(15)</v>
      </c>
      <c r="M130" s="88">
        <f>'kuni 2025 detsember tegevuskava'!AA71</f>
        <v>0</v>
      </c>
      <c r="N130" s="89" t="str">
        <f>"(15)"</f>
        <v>(15)</v>
      </c>
      <c r="O130" s="657">
        <f>'kuni 2025 detsember tegevuskava'!AD71</f>
        <v>285353</v>
      </c>
      <c r="P130" s="77" t="str">
        <f>"(15)"</f>
        <v>(15)</v>
      </c>
    </row>
    <row r="131" spans="2:16" ht="17.25" x14ac:dyDescent="0.25">
      <c r="B131" s="738"/>
      <c r="C131" s="745"/>
      <c r="D131" s="745"/>
      <c r="E131" s="745"/>
      <c r="F131" s="745"/>
      <c r="G131" s="636"/>
      <c r="H131" s="391"/>
      <c r="I131" s="127" t="s">
        <v>534</v>
      </c>
      <c r="J131" s="130"/>
      <c r="K131" s="130"/>
      <c r="L131" s="130"/>
      <c r="M131" s="130"/>
      <c r="N131" s="130"/>
      <c r="O131" s="130"/>
      <c r="P131" s="131"/>
    </row>
    <row r="132" spans="2:16" ht="17.25" x14ac:dyDescent="0.25">
      <c r="B132" s="738"/>
      <c r="C132" s="745"/>
      <c r="D132" s="745"/>
      <c r="E132" s="745"/>
      <c r="F132" s="745"/>
      <c r="G132" s="636"/>
      <c r="H132" s="391"/>
      <c r="I132" s="126">
        <f>SUM(I133:I133)</f>
        <v>348130.66</v>
      </c>
      <c r="J132" s="89"/>
      <c r="K132" s="642">
        <f>SUM(K133:K133)</f>
        <v>0</v>
      </c>
      <c r="L132" s="643"/>
      <c r="M132" s="126">
        <f>SUM(M133:M133)</f>
        <v>0</v>
      </c>
      <c r="N132" s="123"/>
      <c r="O132" s="126">
        <f>SUM(O133:O133)</f>
        <v>348130.66</v>
      </c>
      <c r="P132" s="62"/>
    </row>
    <row r="133" spans="2:16" ht="252.75" customHeight="1" thickBot="1" x14ac:dyDescent="0.3">
      <c r="B133" s="739"/>
      <c r="C133" s="746"/>
      <c r="D133" s="746"/>
      <c r="E133" s="746"/>
      <c r="F133" s="746"/>
      <c r="G133" s="651"/>
      <c r="H133" s="353"/>
      <c r="I133" s="108">
        <f>SUM(K133+M133+O133)</f>
        <v>348130.66</v>
      </c>
      <c r="J133" s="109" t="str">
        <f>"(15)"</f>
        <v>(15)</v>
      </c>
      <c r="K133" s="82">
        <f>SUM(K130*1.2)</f>
        <v>0</v>
      </c>
      <c r="L133" s="83" t="str">
        <f>"(15)"</f>
        <v>(15)</v>
      </c>
      <c r="M133" s="108">
        <f>SUM(M130*1.22)</f>
        <v>0</v>
      </c>
      <c r="N133" s="109" t="str">
        <f>"(15)"</f>
        <v>(15)</v>
      </c>
      <c r="O133" s="108">
        <f>SUM(O130*1.22)</f>
        <v>348130.66</v>
      </c>
      <c r="P133" s="84" t="str">
        <f>"(15)"</f>
        <v>(15)</v>
      </c>
    </row>
    <row r="134" spans="2:16" ht="17.25" x14ac:dyDescent="0.25">
      <c r="B134" s="737" t="str">
        <f>'kuni 2025 detsember tegevuskava'!A72&amp;"/"&amp;'kuni 2025 detsember tegevuskava'!C72</f>
        <v>Siseministeerium /SMIT</v>
      </c>
      <c r="C134" s="744" t="str">
        <f>'kuni 2025 detsember tegevuskava'!I72</f>
        <v xml:space="preserve">Tagamaks siseriikliku ja rahvusvahelist kohustust on vajalik luua uus seiremoodul, mis põhineb objektide registril. Seiresse lisatakse alati objekt või isik. Täna lisatakse ja hallatakse seireid läbi MISi. MIS on monoliitne taakvara, mida MISX programmi käigus uuendatakse ja muudetakse eraldi teenusteks, mis on jätkusuutlikud. Väärteo-, haldus-, hoiatus- ja kriminaalmenetlus põhineb täna Üldosa objektide lahendusel, mis on tugevalt seotud MISiga. Üldosa lahendus on muutunud taakvaraks. Samuti ei ole üldosa lahenduses arvestatud riiklike regsitritega ning andmeid dubleeritakse. </v>
      </c>
      <c r="D134" s="744" t="str">
        <f>'kuni 2025 detsember tegevuskava'!J72</f>
        <v xml:space="preserve">MIS-X: objektide haldus ja seiremoodul </v>
      </c>
      <c r="E134" s="744" t="str">
        <f>'kuni 2025 detsember tegevuskava'!K72</f>
        <v>2024: On teostatud detailanalüüs ja baasfunktsionaalsus on arendamisel - saab testida siseriikliku sõiduki seiresse lisamist ning esmaseid teenuseid partneritele.
2025: Teostatakse arendused vastavalt 2023-2024 teostatud detailanalüüsile. Rahastus plaanis ISFist.</v>
      </c>
      <c r="F134" s="744" t="str">
        <f>'kuni 2025 detsember tegevuskava'!P72&amp;"/"</f>
        <v>Muu rahastus/</v>
      </c>
      <c r="G134" s="647" cm="1">
        <f t="array" ref="G134">_xlfn.IFS('kuni 2025 detsember tegevuskava'!G72='kuni 2025 detsember tegevuskava'!$G$151,1,'kuni 2025 detsember tegevuskava'!G72='kuni 2025 detsember tegevuskava'!$G$152,2,'kuni 2025 detsember tegevuskava'!G72='kuni 2025 detsember tegevuskava'!$G$153,3,'kuni 2025 detsember tegevuskava'!G72='kuni 2025 detsember tegevuskava'!$G$154,4)</f>
        <v>1</v>
      </c>
      <c r="H134" s="354" cm="1">
        <f t="array" ref="H134">_xlfn.IFS(OR('kuni 2025 detsember tegevuskava'!P72='kuni 2025 detsember tegevuskava'!$P$151,'kuni 2025 detsember tegevuskava'!P72='kuni 2025 detsember tegevuskava'!$P$153,'kuni 2025 detsember tegevuskava'!P72='kuni 2025 detsember tegevuskava'!$P$154,'kuni 2025 detsember tegevuskava'!P72='kuni 2025 detsember tegevuskava'!$P$155),1,'kuni 2025 detsember tegevuskava'!P72='kuni 2025 detsember tegevuskava'!$P$156,2,'kuni 2025 detsember tegevuskava'!P72='kuni 2025 detsember tegevuskava'!$P$157,2,'kuni 2025 detsember tegevuskava'!P72='kuni 2025 detsember tegevuskava'!$P$152,3)</f>
        <v>3</v>
      </c>
      <c r="I134" s="110">
        <f>SUM(I135:I135)</f>
        <v>983446.5</v>
      </c>
      <c r="J134" s="111"/>
      <c r="K134" s="71">
        <f>SUM(K135:K135)</f>
        <v>0</v>
      </c>
      <c r="L134" s="73"/>
      <c r="M134" s="110">
        <f>SUM(M135:M135)</f>
        <v>388016</v>
      </c>
      <c r="N134" s="111"/>
      <c r="O134" s="71">
        <f>SUM(O135:O135)</f>
        <v>595430.5</v>
      </c>
      <c r="P134" s="75"/>
    </row>
    <row r="135" spans="2:16" ht="17.25" x14ac:dyDescent="0.25">
      <c r="B135" s="738"/>
      <c r="C135" s="745"/>
      <c r="D135" s="745"/>
      <c r="E135" s="745"/>
      <c r="F135" s="745"/>
      <c r="G135" s="636"/>
      <c r="H135" s="391"/>
      <c r="I135" s="88">
        <f>SUM(K135+M135+O135)</f>
        <v>983446.5</v>
      </c>
      <c r="J135" s="89" t="str">
        <f>"(15)"</f>
        <v>(15)</v>
      </c>
      <c r="K135" s="657">
        <f>'kuni 2025 detsember tegevuskava'!X72</f>
        <v>0</v>
      </c>
      <c r="L135" s="644" t="str">
        <f>"(15)"</f>
        <v>(15)</v>
      </c>
      <c r="M135" s="88">
        <f>'kuni 2025 detsember tegevuskava'!AA72</f>
        <v>388016</v>
      </c>
      <c r="N135" s="89" t="str">
        <f>"(15)"</f>
        <v>(15)</v>
      </c>
      <c r="O135" s="657">
        <f>'kuni 2025 detsember tegevuskava'!AD72</f>
        <v>595430.5</v>
      </c>
      <c r="P135" s="77" t="str">
        <f>"(15)"</f>
        <v>(15)</v>
      </c>
    </row>
    <row r="136" spans="2:16" ht="17.25" x14ac:dyDescent="0.25">
      <c r="B136" s="738"/>
      <c r="C136" s="745"/>
      <c r="D136" s="745"/>
      <c r="E136" s="745"/>
      <c r="F136" s="745"/>
      <c r="G136" s="636"/>
      <c r="H136" s="391"/>
      <c r="I136" s="127" t="s">
        <v>534</v>
      </c>
      <c r="J136" s="130"/>
      <c r="K136" s="130"/>
      <c r="L136" s="130"/>
      <c r="M136" s="130"/>
      <c r="N136" s="130"/>
      <c r="O136" s="130"/>
      <c r="P136" s="131"/>
    </row>
    <row r="137" spans="2:16" ht="17.25" x14ac:dyDescent="0.25">
      <c r="B137" s="738"/>
      <c r="C137" s="745"/>
      <c r="D137" s="745"/>
      <c r="E137" s="745"/>
      <c r="F137" s="745"/>
      <c r="G137" s="636"/>
      <c r="H137" s="391"/>
      <c r="I137" s="126">
        <f>SUM(I138:I138)</f>
        <v>1199804.73</v>
      </c>
      <c r="J137" s="646"/>
      <c r="K137" s="642">
        <f>SUM(K138:K138)</f>
        <v>0</v>
      </c>
      <c r="L137" s="643"/>
      <c r="M137" s="126">
        <f>SUM(M138:M138)</f>
        <v>473379.52</v>
      </c>
      <c r="N137" s="123"/>
      <c r="O137" s="126">
        <f>SUM(O138:O138)</f>
        <v>726425.21</v>
      </c>
      <c r="P137" s="62"/>
    </row>
    <row r="138" spans="2:16" ht="180" customHeight="1" thickBot="1" x14ac:dyDescent="0.3">
      <c r="B138" s="739"/>
      <c r="C138" s="746"/>
      <c r="D138" s="746"/>
      <c r="E138" s="746"/>
      <c r="F138" s="746"/>
      <c r="G138" s="651"/>
      <c r="H138" s="353"/>
      <c r="I138" s="108">
        <f>SUM(K138+M138+O138)</f>
        <v>1199804.73</v>
      </c>
      <c r="J138" s="109" t="str">
        <f>"(15)"</f>
        <v>(15)</v>
      </c>
      <c r="K138" s="82">
        <f>SUM(K135*1.2)</f>
        <v>0</v>
      </c>
      <c r="L138" s="83" t="str">
        <f>"(15)"</f>
        <v>(15)</v>
      </c>
      <c r="M138" s="108">
        <f>SUM(M135*1.22)</f>
        <v>473379.52</v>
      </c>
      <c r="N138" s="109" t="str">
        <f>"(15)"</f>
        <v>(15)</v>
      </c>
      <c r="O138" s="108">
        <f>SUM(O135*1.22)</f>
        <v>726425.21</v>
      </c>
      <c r="P138" s="84" t="str">
        <f>"(15)"</f>
        <v>(15)</v>
      </c>
    </row>
    <row r="139" spans="2:16" ht="17.25" x14ac:dyDescent="0.25">
      <c r="B139" s="737" t="str">
        <f>'kuni 2025 detsember tegevuskava'!A74&amp;"/"&amp;'kuni 2025 detsember tegevuskava'!C74</f>
        <v>Siseministeerium /PPA</v>
      </c>
      <c r="C139" s="744" t="str">
        <f>'kuni 2025 detsember tegevuskava'!I74</f>
        <v>MISX kontseptsiooni elluviimine on vajalik teostada samal ajal, kui tuleb üleval hoida ka kasutusel olevad süsteeme. Lisaressurss aitab tagada PPA poolt piisava panuse suunamise kontseptsiooni elluviimiseks. </v>
      </c>
      <c r="D139" s="744" t="str">
        <f>'kuni 2025 detsember tegevuskava'!J74</f>
        <v>Süüteomenetluse digitaliseerimise toetamine - PPA ressurss</v>
      </c>
      <c r="E139" s="744" t="str">
        <f>'kuni 2025 detsember tegevuskava'!K74</f>
        <v xml:space="preserve">Ressurss on arvestatud 1 inimene 3a. PPAs on olemas sisuline tooteomanik, kes tagab vajaliku sisendi PPA poolelt väärteomenetluse ja hoiatusmenetluse rakenduse loomiseks. </v>
      </c>
      <c r="F139" s="744" t="str">
        <f>'kuni 2025 detsember tegevuskava'!P74&amp;"/"</f>
        <v>SF 21-27 (taotletav raha)/</v>
      </c>
      <c r="G139" s="647" cm="1">
        <f t="array" ref="G139">_xlfn.IFS('kuni 2025 detsember tegevuskava'!G74='kuni 2025 detsember tegevuskava'!$G$151,1,'kuni 2025 detsember tegevuskava'!G74='kuni 2025 detsember tegevuskava'!$G$152,2,'kuni 2025 detsember tegevuskava'!G74='kuni 2025 detsember tegevuskava'!$G$153,3,'kuni 2025 detsember tegevuskava'!G74='kuni 2025 detsember tegevuskava'!$G$154,4)</f>
        <v>1</v>
      </c>
      <c r="H139" s="354" cm="1">
        <f t="array" ref="H139">_xlfn.IFS(OR('kuni 2025 detsember tegevuskava'!P74='kuni 2025 detsember tegevuskava'!$P$151,'kuni 2025 detsember tegevuskava'!P74='kuni 2025 detsember tegevuskava'!$P$153,'kuni 2025 detsember tegevuskava'!P74='kuni 2025 detsember tegevuskava'!$P$154,'kuni 2025 detsember tegevuskava'!P74='kuni 2025 detsember tegevuskava'!$P$155),1,'kuni 2025 detsember tegevuskava'!P74='kuni 2025 detsember tegevuskava'!$P$156,2,'kuni 2025 detsember tegevuskava'!P74='kuni 2025 detsember tegevuskava'!$P$157,2,'kuni 2025 detsember tegevuskava'!P74='kuni 2025 detsember tegevuskava'!$P$152,3)</f>
        <v>2</v>
      </c>
      <c r="I139" s="110">
        <f>SUM(I140:I140)</f>
        <v>77265</v>
      </c>
      <c r="J139" s="111"/>
      <c r="K139" s="71">
        <f>SUM(K140:K140)</f>
        <v>0</v>
      </c>
      <c r="L139" s="73"/>
      <c r="M139" s="110">
        <f>SUM(M140:M140)</f>
        <v>25755</v>
      </c>
      <c r="N139" s="111"/>
      <c r="O139" s="71">
        <f>SUM(O140:O140)</f>
        <v>51510</v>
      </c>
      <c r="P139" s="75"/>
    </row>
    <row r="140" spans="2:16" ht="17.25" x14ac:dyDescent="0.25">
      <c r="B140" s="738"/>
      <c r="C140" s="745"/>
      <c r="D140" s="745"/>
      <c r="E140" s="745"/>
      <c r="F140" s="745"/>
      <c r="G140" s="636"/>
      <c r="H140" s="391"/>
      <c r="I140" s="88">
        <f>SUM(K140+M140+O140)</f>
        <v>77265</v>
      </c>
      <c r="J140" s="89" t="str">
        <f>"(50)"</f>
        <v>(50)</v>
      </c>
      <c r="K140" s="657">
        <f>'kuni 2025 detsember tegevuskava'!Y74</f>
        <v>0</v>
      </c>
      <c r="L140" s="644" t="str">
        <f>"(50)"</f>
        <v>(50)</v>
      </c>
      <c r="M140" s="88">
        <f>'kuni 2025 detsember tegevuskava'!AB74</f>
        <v>25755</v>
      </c>
      <c r="N140" s="89" t="str">
        <f>"(50)"</f>
        <v>(50)</v>
      </c>
      <c r="O140" s="657">
        <f>'kuni 2025 detsember tegevuskava'!AE74</f>
        <v>51510</v>
      </c>
      <c r="P140" s="77" t="str">
        <f>"(50)"</f>
        <v>(50)</v>
      </c>
    </row>
    <row r="141" spans="2:16" ht="17.25" x14ac:dyDescent="0.25">
      <c r="B141" s="738"/>
      <c r="C141" s="745"/>
      <c r="D141" s="745"/>
      <c r="E141" s="745"/>
      <c r="F141" s="745"/>
      <c r="G141" s="636"/>
      <c r="H141" s="391"/>
      <c r="I141" s="127" t="s">
        <v>534</v>
      </c>
      <c r="J141" s="130"/>
      <c r="K141" s="130"/>
      <c r="L141" s="130"/>
      <c r="M141" s="130"/>
      <c r="N141" s="130"/>
      <c r="O141" s="130"/>
      <c r="P141" s="131"/>
    </row>
    <row r="142" spans="2:16" ht="17.25" x14ac:dyDescent="0.25">
      <c r="B142" s="738"/>
      <c r="C142" s="745"/>
      <c r="D142" s="745"/>
      <c r="E142" s="745"/>
      <c r="F142" s="745"/>
      <c r="G142" s="636"/>
      <c r="H142" s="391"/>
      <c r="I142" s="126">
        <f>SUM(I143:I143)</f>
        <v>77265</v>
      </c>
      <c r="J142" s="89"/>
      <c r="K142" s="642">
        <f>SUM(K143:K143)</f>
        <v>0</v>
      </c>
      <c r="L142" s="643"/>
      <c r="M142" s="126">
        <f>SUM(M143:M143)</f>
        <v>25755</v>
      </c>
      <c r="N142" s="123"/>
      <c r="O142" s="126">
        <f>SUM(O143:O143)</f>
        <v>51510</v>
      </c>
      <c r="P142" s="62"/>
    </row>
    <row r="143" spans="2:16" ht="33.75" customHeight="1" thickBot="1" x14ac:dyDescent="0.3">
      <c r="B143" s="740"/>
      <c r="C143" s="747"/>
      <c r="D143" s="747"/>
      <c r="E143" s="747"/>
      <c r="F143" s="747"/>
      <c r="G143" s="636"/>
      <c r="H143" s="391"/>
      <c r="I143" s="88">
        <f>SUM(K143+M143+O143)</f>
        <v>77265</v>
      </c>
      <c r="J143" s="89" t="str">
        <f>"(50)"</f>
        <v>(50)</v>
      </c>
      <c r="K143" s="657">
        <f>K140</f>
        <v>0</v>
      </c>
      <c r="L143" s="644" t="str">
        <f>"(50)"</f>
        <v>(50)</v>
      </c>
      <c r="M143" s="88">
        <f>M140</f>
        <v>25755</v>
      </c>
      <c r="N143" s="89" t="str">
        <f>"(50)"</f>
        <v>(50)</v>
      </c>
      <c r="O143" s="88">
        <f>O140</f>
        <v>51510</v>
      </c>
      <c r="P143" s="77" t="str">
        <f>"(50)"</f>
        <v>(50)</v>
      </c>
    </row>
    <row r="144" spans="2:16" ht="17.25" x14ac:dyDescent="0.25">
      <c r="B144" s="737" t="str">
        <f>'kuni 2025 detsember tegevuskava'!A75&amp;"/"&amp;'kuni 2025 detsember tegevuskava'!C75</f>
        <v>Siseministeerium /SMIT</v>
      </c>
      <c r="C144" s="744" t="str">
        <f>'kuni 2025 detsember tegevuskava'!I75</f>
        <v>MISX kontseptsiooni elluviimine on vajalik teostada samal ajal, kui tuleb üleval hoida ka kasutusel olevad süsteeme. Lisaressurss aitab tagada SMITi poolsete nõuete ülevaatamise, et tagada jätkusuutlikud lahendused.</v>
      </c>
      <c r="D144" s="744" t="str">
        <f>'kuni 2025 detsember tegevuskava'!J75</f>
        <v>Süüteomenetluse digitaliseerimise toetamine - SMIT ressurss</v>
      </c>
      <c r="E144" s="744" t="str">
        <f>'kuni 2025 detsember tegevuskava'!K75</f>
        <v>SMITis on olemas ressurss (1 inimene 3a), kes vastutab arendusnõuete kontrollimise eest uute teenuste arendamisel ning annab välisele partnerile vajaliku sisendi SMITi tehniliste nõuete osas. </v>
      </c>
      <c r="F144" s="744" t="str">
        <f>'kuni 2025 detsember tegevuskava'!P75&amp;"/"</f>
        <v>SF 21-27 (taotletav raha)/</v>
      </c>
      <c r="G144" s="647" cm="1">
        <f t="array" ref="G144">_xlfn.IFS('kuni 2025 detsember tegevuskava'!G75='kuni 2025 detsember tegevuskava'!$G$151,1,'kuni 2025 detsember tegevuskava'!G75='kuni 2025 detsember tegevuskava'!$G$152,2,'kuni 2025 detsember tegevuskava'!G75='kuni 2025 detsember tegevuskava'!$G$153,3,'kuni 2025 detsember tegevuskava'!G75='kuni 2025 detsember tegevuskava'!$G$154,4)</f>
        <v>1</v>
      </c>
      <c r="H144" s="354" cm="1">
        <f t="array" ref="H144">_xlfn.IFS(OR('kuni 2025 detsember tegevuskava'!P75='kuni 2025 detsember tegevuskava'!$P$151,'kuni 2025 detsember tegevuskava'!P75='kuni 2025 detsember tegevuskava'!$P$153,'kuni 2025 detsember tegevuskava'!P75='kuni 2025 detsember tegevuskava'!$P$154,'kuni 2025 detsember tegevuskava'!P75='kuni 2025 detsember tegevuskava'!$P$155),1,'kuni 2025 detsember tegevuskava'!P75='kuni 2025 detsember tegevuskava'!$P$156,2,'kuni 2025 detsember tegevuskava'!P75='kuni 2025 detsember tegevuskava'!$P$157,2,'kuni 2025 detsember tegevuskava'!P75='kuni 2025 detsember tegevuskava'!$P$152,3)</f>
        <v>2</v>
      </c>
      <c r="I144" s="110">
        <f>SUM(I145:I145)</f>
        <v>134500</v>
      </c>
      <c r="J144" s="111"/>
      <c r="K144" s="71">
        <f>SUM(K145:K145)</f>
        <v>0</v>
      </c>
      <c r="L144" s="73"/>
      <c r="M144" s="110">
        <f>SUM(M145:M145)</f>
        <v>55000</v>
      </c>
      <c r="N144" s="111"/>
      <c r="O144" s="71">
        <f>SUM(O145:O145)</f>
        <v>79500</v>
      </c>
      <c r="P144" s="75"/>
    </row>
    <row r="145" spans="2:16" ht="17.25" x14ac:dyDescent="0.25">
      <c r="B145" s="738"/>
      <c r="C145" s="745"/>
      <c r="D145" s="745"/>
      <c r="E145" s="745"/>
      <c r="F145" s="745"/>
      <c r="G145" s="636"/>
      <c r="H145" s="391"/>
      <c r="I145" s="88">
        <f>SUM(K145+M145+O145)</f>
        <v>134500</v>
      </c>
      <c r="J145" s="89" t="str">
        <f>"(50)"</f>
        <v>(50)</v>
      </c>
      <c r="K145" s="657">
        <f>'kuni 2025 detsember tegevuskava'!Y75</f>
        <v>0</v>
      </c>
      <c r="L145" s="644" t="str">
        <f>"(50)"</f>
        <v>(50)</v>
      </c>
      <c r="M145" s="88">
        <f>'kuni 2025 detsember tegevuskava'!AB75</f>
        <v>55000</v>
      </c>
      <c r="N145" s="89" t="str">
        <f>"(50)"</f>
        <v>(50)</v>
      </c>
      <c r="O145" s="657">
        <f>'kuni 2025 detsember tegevuskava'!AE75</f>
        <v>79500</v>
      </c>
      <c r="P145" s="77" t="str">
        <f>"(50)"</f>
        <v>(50)</v>
      </c>
    </row>
    <row r="146" spans="2:16" ht="17.25" x14ac:dyDescent="0.25">
      <c r="B146" s="738"/>
      <c r="C146" s="745"/>
      <c r="D146" s="745"/>
      <c r="E146" s="745"/>
      <c r="F146" s="745"/>
      <c r="G146" s="636"/>
      <c r="H146" s="391"/>
      <c r="I146" s="127" t="s">
        <v>534</v>
      </c>
      <c r="J146" s="130"/>
      <c r="K146" s="130"/>
      <c r="L146" s="130"/>
      <c r="M146" s="130"/>
      <c r="N146" s="130"/>
      <c r="O146" s="130"/>
      <c r="P146" s="131"/>
    </row>
    <row r="147" spans="2:16" ht="17.25" x14ac:dyDescent="0.25">
      <c r="B147" s="738"/>
      <c r="C147" s="745"/>
      <c r="D147" s="745"/>
      <c r="E147" s="745"/>
      <c r="F147" s="745"/>
      <c r="G147" s="636"/>
      <c r="H147" s="391"/>
      <c r="I147" s="126">
        <f>SUM(I148:I148)</f>
        <v>134500</v>
      </c>
      <c r="J147" s="89"/>
      <c r="K147" s="642">
        <f>SUM(K148:K148)</f>
        <v>0</v>
      </c>
      <c r="L147" s="643"/>
      <c r="M147" s="126">
        <f>SUM(M148:M148)</f>
        <v>55000</v>
      </c>
      <c r="N147" s="123"/>
      <c r="O147" s="126">
        <f>SUM(O148:O148)</f>
        <v>79500</v>
      </c>
      <c r="P147" s="62"/>
    </row>
    <row r="148" spans="2:16" ht="30" customHeight="1" thickBot="1" x14ac:dyDescent="0.3">
      <c r="B148" s="739"/>
      <c r="C148" s="746"/>
      <c r="D148" s="746"/>
      <c r="E148" s="746"/>
      <c r="F148" s="746"/>
      <c r="G148" s="651"/>
      <c r="H148" s="353"/>
      <c r="I148" s="108">
        <f>SUM(K148+M148+O148)</f>
        <v>134500</v>
      </c>
      <c r="J148" s="109" t="str">
        <f>"(50)"</f>
        <v>(50)</v>
      </c>
      <c r="K148" s="82">
        <f>K145</f>
        <v>0</v>
      </c>
      <c r="L148" s="83" t="str">
        <f>"(50)"</f>
        <v>(50)</v>
      </c>
      <c r="M148" s="108">
        <f>M145</f>
        <v>55000</v>
      </c>
      <c r="N148" s="109" t="str">
        <f>"(50)"</f>
        <v>(50)</v>
      </c>
      <c r="O148" s="108">
        <f>O145</f>
        <v>79500</v>
      </c>
      <c r="P148" s="84" t="str">
        <f>"(50)"</f>
        <v>(50)</v>
      </c>
    </row>
    <row r="149" spans="2:16" ht="17.25" x14ac:dyDescent="0.25">
      <c r="B149" s="737" t="str">
        <f>'kuni 2025 detsember tegevuskava'!A76&amp;"/"&amp;'kuni 2025 detsember tegevuskava'!C76</f>
        <v>Siseministeerium /SMIT</v>
      </c>
      <c r="C149" s="744" t="str">
        <f>'kuni 2025 detsember tegevuskava'!I76</f>
        <v>Süüteomenetluse digitaliseerimisega ning olemasolevate rakenduste välja vahetamisega on lühikesel ajaperioodil vajalik viia läbi 30 projekti. Olemasoleva ressursiga on seda keeruline teha, kuna tuleb jätkata ka olemasolevate süsteemide olevaloleku tagamist. PPAs peavad kõik projekti kaasatud sisupoole eksperdid ilma lisaressursita panustama oma põhitöö kõrvalt, mistõttu ei ole neil võimalik panustada piisavalt.</v>
      </c>
      <c r="D149" s="744" t="str">
        <f>'kuni 2025 detsember tegevuskava'!J76</f>
        <v xml:space="preserve">MIS-X kontseptsiooni  töökohad </v>
      </c>
      <c r="E149" s="744" t="str">
        <f>'kuni 2025 detsember tegevuskava'!K76</f>
        <v>Tagatud on süüteomenetluse digitaliseerimise projektide elluviimiseks vajalik ressurss PPAs ja SMITis</v>
      </c>
      <c r="F149" s="744" t="str">
        <f>'kuni 2025 detsember tegevuskava'!P76&amp;"/"</f>
        <v>RES IKT (vaja juurde taotleda)/</v>
      </c>
      <c r="G149" s="647" cm="1">
        <f t="array" ref="G149">_xlfn.IFS('kuni 2025 detsember tegevuskava'!G76='kuni 2025 detsember tegevuskava'!$G$151,1,'kuni 2025 detsember tegevuskava'!G76='kuni 2025 detsember tegevuskava'!$G$152,2,'kuni 2025 detsember tegevuskava'!G76='kuni 2025 detsember tegevuskava'!$G$153,3,'kuni 2025 detsember tegevuskava'!G76='kuni 2025 detsember tegevuskava'!$G$154,4)</f>
        <v>1</v>
      </c>
      <c r="H149" s="354" cm="1">
        <f t="array" ref="H149">_xlfn.IFS(OR('kuni 2025 detsember tegevuskava'!P76='kuni 2025 detsember tegevuskava'!$P$151,'kuni 2025 detsember tegevuskava'!P76='kuni 2025 detsember tegevuskava'!$P$153,'kuni 2025 detsember tegevuskava'!P76='kuni 2025 detsember tegevuskava'!$P$154,'kuni 2025 detsember tegevuskava'!P76='kuni 2025 detsember tegevuskava'!$P$155),1,'kuni 2025 detsember tegevuskava'!P76='kuni 2025 detsember tegevuskava'!$P$156,2,'kuni 2025 detsember tegevuskava'!P76='kuni 2025 detsember tegevuskava'!$P$157,2,'kuni 2025 detsember tegevuskava'!P76='kuni 2025 detsember tegevuskava'!$P$152,3)</f>
        <v>1</v>
      </c>
      <c r="I149" s="110">
        <f>SUM(I150:I151)</f>
        <v>726479</v>
      </c>
      <c r="J149" s="111"/>
      <c r="K149" s="71">
        <f>SUM(K150:K151)</f>
        <v>0</v>
      </c>
      <c r="L149" s="73"/>
      <c r="M149" s="110">
        <f>SUM(M150:M151)</f>
        <v>0</v>
      </c>
      <c r="N149" s="111"/>
      <c r="O149" s="71">
        <f>SUM(O150:O151)</f>
        <v>726479</v>
      </c>
      <c r="P149" s="75"/>
    </row>
    <row r="150" spans="2:16" ht="17.25" x14ac:dyDescent="0.25">
      <c r="B150" s="738"/>
      <c r="C150" s="745"/>
      <c r="D150" s="745"/>
      <c r="E150" s="745"/>
      <c r="F150" s="745"/>
      <c r="G150" s="636"/>
      <c r="H150" s="391"/>
      <c r="I150" s="88">
        <f>SUM(K150+M150+O150)</f>
        <v>705311</v>
      </c>
      <c r="J150" s="89" t="str">
        <f>"(50)"</f>
        <v>(50)</v>
      </c>
      <c r="K150" s="657">
        <f>'kuni 2025 detsember tegevuskava'!Y76</f>
        <v>0</v>
      </c>
      <c r="L150" s="644" t="str">
        <f>"(50)"</f>
        <v>(50)</v>
      </c>
      <c r="M150" s="88">
        <f>'kuni 2025 detsember tegevuskava'!AB76</f>
        <v>0</v>
      </c>
      <c r="N150" s="89" t="str">
        <f>"(50)"</f>
        <v>(50)</v>
      </c>
      <c r="O150" s="657">
        <f>'kuni 2025 detsember tegevuskava'!AE76</f>
        <v>705311</v>
      </c>
      <c r="P150" s="77" t="str">
        <f>"(50)"</f>
        <v>(50)</v>
      </c>
    </row>
    <row r="151" spans="2:16" ht="17.25" x14ac:dyDescent="0.25">
      <c r="B151" s="738"/>
      <c r="C151" s="745"/>
      <c r="D151" s="745"/>
      <c r="E151" s="745"/>
      <c r="F151" s="745"/>
      <c r="G151" s="636"/>
      <c r="H151" s="391"/>
      <c r="I151" s="90">
        <f>SUM(K151+M151+O151)</f>
        <v>21168</v>
      </c>
      <c r="J151" s="91" t="str">
        <f>"(55)"</f>
        <v>(55)</v>
      </c>
      <c r="K151" s="85">
        <f>'kuni 2025 detsember tegevuskava'!Z76</f>
        <v>0</v>
      </c>
      <c r="L151" s="78" t="str">
        <f>"(55)"</f>
        <v>(55)</v>
      </c>
      <c r="M151" s="90">
        <f>'kuni 2025 detsember tegevuskava'!AC76</f>
        <v>0</v>
      </c>
      <c r="N151" s="91" t="str">
        <f>"(55)"</f>
        <v>(55)</v>
      </c>
      <c r="O151" s="85">
        <f>'kuni 2025 detsember tegevuskava'!AF76</f>
        <v>21168</v>
      </c>
      <c r="P151" s="79" t="str">
        <f>"(55)"</f>
        <v>(55)</v>
      </c>
    </row>
    <row r="152" spans="2:16" ht="17.25" x14ac:dyDescent="0.25">
      <c r="B152" s="738"/>
      <c r="C152" s="745"/>
      <c r="D152" s="745"/>
      <c r="E152" s="745"/>
      <c r="F152" s="745"/>
      <c r="G152" s="636"/>
      <c r="H152" s="391"/>
      <c r="I152" s="119" t="s">
        <v>534</v>
      </c>
      <c r="J152" s="8"/>
      <c r="K152" s="8"/>
      <c r="L152" s="8"/>
      <c r="M152" s="8"/>
      <c r="N152" s="8"/>
      <c r="O152" s="8"/>
      <c r="P152" s="121"/>
    </row>
    <row r="153" spans="2:16" ht="17.25" x14ac:dyDescent="0.25">
      <c r="B153" s="738"/>
      <c r="C153" s="745"/>
      <c r="D153" s="745"/>
      <c r="E153" s="745"/>
      <c r="F153" s="745"/>
      <c r="G153" s="636"/>
      <c r="H153" s="391"/>
      <c r="I153" s="86">
        <f>SUM(I154:I155)</f>
        <v>731135.96</v>
      </c>
      <c r="J153" s="87"/>
      <c r="K153" s="80">
        <f>SUM(K154:K155)</f>
        <v>0</v>
      </c>
      <c r="L153" s="81"/>
      <c r="M153" s="86">
        <f>SUM(M154:M155)</f>
        <v>0</v>
      </c>
      <c r="N153" s="92"/>
      <c r="O153" s="86">
        <f>SUM(O154:O155)</f>
        <v>731135.96</v>
      </c>
      <c r="P153" s="112"/>
    </row>
    <row r="154" spans="2:16" ht="17.25" x14ac:dyDescent="0.25">
      <c r="B154" s="738"/>
      <c r="C154" s="745"/>
      <c r="D154" s="745"/>
      <c r="E154" s="745"/>
      <c r="F154" s="745"/>
      <c r="G154" s="636"/>
      <c r="H154" s="391"/>
      <c r="I154" s="88">
        <f>SUM(K154+M154+O154)</f>
        <v>705311</v>
      </c>
      <c r="J154" s="89" t="str">
        <f>"(50)"</f>
        <v>(50)</v>
      </c>
      <c r="K154" s="657">
        <f>K150</f>
        <v>0</v>
      </c>
      <c r="L154" s="644" t="str">
        <f>"(50)"</f>
        <v>(50)</v>
      </c>
      <c r="M154" s="88">
        <f>M150</f>
        <v>0</v>
      </c>
      <c r="N154" s="89" t="str">
        <f>"(50)"</f>
        <v>(50)</v>
      </c>
      <c r="O154" s="88">
        <f>O150</f>
        <v>705311</v>
      </c>
      <c r="P154" s="77" t="str">
        <f>"(50)"</f>
        <v>(50)</v>
      </c>
    </row>
    <row r="155" spans="2:16" ht="74.099999999999994" customHeight="1" thickBot="1" x14ac:dyDescent="0.3">
      <c r="B155" s="739"/>
      <c r="C155" s="746"/>
      <c r="D155" s="746"/>
      <c r="E155" s="746"/>
      <c r="F155" s="746"/>
      <c r="G155" s="651"/>
      <c r="H155" s="353"/>
      <c r="I155" s="108">
        <f>SUM(K155+M155+O155)</f>
        <v>25824.959999999999</v>
      </c>
      <c r="J155" s="109" t="str">
        <f>"(55)"</f>
        <v>(55)</v>
      </c>
      <c r="K155" s="82">
        <f>SUM(K151*1.2)</f>
        <v>0</v>
      </c>
      <c r="L155" s="83" t="str">
        <f>"(55)"</f>
        <v>(55)</v>
      </c>
      <c r="M155" s="108">
        <f>SUM(M151*1.22)</f>
        <v>0</v>
      </c>
      <c r="N155" s="109" t="str">
        <f>"(55)"</f>
        <v>(55)</v>
      </c>
      <c r="O155" s="108">
        <f>SUM(O151*1.22)</f>
        <v>25824.959999999999</v>
      </c>
      <c r="P155" s="84" t="str">
        <f>"(55)"</f>
        <v>(55)</v>
      </c>
    </row>
    <row r="156" spans="2:16" ht="17.25" x14ac:dyDescent="0.25">
      <c r="B156" s="737" t="str">
        <f>'kuni 2025 detsember tegevuskava'!A89&amp;"/"&amp;'kuni 2025 detsember tegevuskava'!C89</f>
        <v>Siseministeerium /SMIT/PPA</v>
      </c>
      <c r="C156" s="744" t="str">
        <f>'kuni 2025 detsember tegevuskava'!I89</f>
        <v>KILP käideldavuse tase ei vasta teiste seotud kriitiliste teenuste tasemega , mistõttu võivad sattuda ohtu inimelude ning ei suudatea tagada õigeaegselt turvalisust/sündmustele reageerimist.</v>
      </c>
      <c r="D156" s="744" t="str">
        <f>'kuni 2025 detsember tegevuskava'!J89</f>
        <v>PPA KILP Projekt KILP taktikalise juhtimise rakenduse käideldavuse tõstmine K2-lt K3le</v>
      </c>
      <c r="E156" s="744" t="str">
        <f>'kuni 2025 detsember tegevuskava'!K89</f>
        <v xml:space="preserve">2024 tulemus: Teostatud detailanalüüs 2024 arendustöödeks. Infras on tellitud keskkonnad (dev, test ja live).
2025 Lõpptulemus: KILP käideldavuse tase vastab K3 nõuetele. Turvatestimin eon läbi viidud.
</v>
      </c>
      <c r="F156" s="744" t="str">
        <f>'kuni 2025 detsember tegevuskava'!P89&amp;"/"</f>
        <v>SF 21-27 (taotletav raha)/</v>
      </c>
      <c r="G156" s="647" cm="1">
        <f t="array" ref="G156">_xlfn.IFS('kuni 2025 detsember tegevuskava'!G89='kuni 2025 detsember tegevuskava'!$G$151,1,'kuni 2025 detsember tegevuskava'!G89='kuni 2025 detsember tegevuskava'!$G$152,2,'kuni 2025 detsember tegevuskava'!G89='kuni 2025 detsember tegevuskava'!$G$153,3,'kuni 2025 detsember tegevuskava'!G89='kuni 2025 detsember tegevuskava'!$G$154,4)</f>
        <v>1</v>
      </c>
      <c r="H156" s="354" cm="1">
        <f t="array" ref="H156">_xlfn.IFS(OR('kuni 2025 detsember tegevuskava'!P89='kuni 2025 detsember tegevuskava'!$P$151,'kuni 2025 detsember tegevuskava'!P89='kuni 2025 detsember tegevuskava'!$P$153,'kuni 2025 detsember tegevuskava'!P89='kuni 2025 detsember tegevuskava'!$P$154,'kuni 2025 detsember tegevuskava'!P89='kuni 2025 detsember tegevuskava'!$P$155),1,'kuni 2025 detsember tegevuskava'!P89='kuni 2025 detsember tegevuskava'!$P$156,2,'kuni 2025 detsember tegevuskava'!P89='kuni 2025 detsember tegevuskava'!$P$157,2,'kuni 2025 detsember tegevuskava'!P89='kuni 2025 detsember tegevuskava'!$P$152,3)</f>
        <v>2</v>
      </c>
      <c r="I156" s="110">
        <f>SUM(I157:I157)</f>
        <v>236800</v>
      </c>
      <c r="J156" s="111"/>
      <c r="K156" s="71">
        <f>SUM(K157:K157)</f>
        <v>0</v>
      </c>
      <c r="L156" s="73"/>
      <c r="M156" s="110">
        <f>SUM(M157:M157)</f>
        <v>0</v>
      </c>
      <c r="N156" s="111"/>
      <c r="O156" s="71">
        <f>SUM(O157:O157)</f>
        <v>236800</v>
      </c>
      <c r="P156" s="75"/>
    </row>
    <row r="157" spans="2:16" ht="17.25" x14ac:dyDescent="0.25">
      <c r="B157" s="738"/>
      <c r="C157" s="745"/>
      <c r="D157" s="745"/>
      <c r="E157" s="745"/>
      <c r="F157" s="745"/>
      <c r="G157" s="636"/>
      <c r="H157" s="391"/>
      <c r="I157" s="88">
        <f>SUM(K157+M157+O157)</f>
        <v>236800</v>
      </c>
      <c r="J157" s="89" t="str">
        <f>"(15)"</f>
        <v>(15)</v>
      </c>
      <c r="K157" s="657">
        <f>'kuni 2025 detsember tegevuskava'!X89</f>
        <v>0</v>
      </c>
      <c r="L157" s="644" t="str">
        <f>"(15)"</f>
        <v>(15)</v>
      </c>
      <c r="M157" s="88">
        <f>'kuni 2025 detsember tegevuskava'!AA89</f>
        <v>0</v>
      </c>
      <c r="N157" s="89" t="str">
        <f>"(15)"</f>
        <v>(15)</v>
      </c>
      <c r="O157" s="657">
        <f>'kuni 2025 detsember tegevuskava'!AD89</f>
        <v>236800</v>
      </c>
      <c r="P157" s="77" t="str">
        <f>"(15)"</f>
        <v>(15)</v>
      </c>
    </row>
    <row r="158" spans="2:16" ht="17.25" x14ac:dyDescent="0.25">
      <c r="B158" s="738"/>
      <c r="C158" s="745"/>
      <c r="D158" s="745"/>
      <c r="E158" s="745"/>
      <c r="F158" s="745"/>
      <c r="G158" s="636"/>
      <c r="H158" s="391"/>
      <c r="I158" s="127" t="s">
        <v>534</v>
      </c>
      <c r="J158" s="130"/>
      <c r="K158" s="130"/>
      <c r="L158" s="130"/>
      <c r="M158" s="130"/>
      <c r="N158" s="130"/>
      <c r="O158" s="130"/>
      <c r="P158" s="131"/>
    </row>
    <row r="159" spans="2:16" ht="17.25" x14ac:dyDescent="0.25">
      <c r="B159" s="738"/>
      <c r="C159" s="745"/>
      <c r="D159" s="745"/>
      <c r="E159" s="745"/>
      <c r="F159" s="745"/>
      <c r="G159" s="636"/>
      <c r="H159" s="391"/>
      <c r="I159" s="126">
        <f>SUM(I160:I160)</f>
        <v>288896</v>
      </c>
      <c r="J159" s="89"/>
      <c r="K159" s="642">
        <f>SUM(K160:K160)</f>
        <v>0</v>
      </c>
      <c r="L159" s="643"/>
      <c r="M159" s="126">
        <f>SUM(M160:M160)</f>
        <v>0</v>
      </c>
      <c r="N159" s="123"/>
      <c r="O159" s="126">
        <f>SUM(O160:O160)</f>
        <v>288896</v>
      </c>
      <c r="P159" s="62"/>
    </row>
    <row r="160" spans="2:16" ht="28.5" customHeight="1" thickBot="1" x14ac:dyDescent="0.3">
      <c r="B160" s="739"/>
      <c r="C160" s="746"/>
      <c r="D160" s="746"/>
      <c r="E160" s="746"/>
      <c r="F160" s="746"/>
      <c r="G160" s="651"/>
      <c r="H160" s="353"/>
      <c r="I160" s="108">
        <f>SUM(K160+M160+O160)</f>
        <v>288896</v>
      </c>
      <c r="J160" s="109" t="str">
        <f>"(15)"</f>
        <v>(15)</v>
      </c>
      <c r="K160" s="82">
        <f>SUM(K157*1.2)</f>
        <v>0</v>
      </c>
      <c r="L160" s="83" t="str">
        <f>"(15)"</f>
        <v>(15)</v>
      </c>
      <c r="M160" s="108">
        <f>SUM(M157*1.22)</f>
        <v>0</v>
      </c>
      <c r="N160" s="109" t="str">
        <f>"(15)"</f>
        <v>(15)</v>
      </c>
      <c r="O160" s="108">
        <f>SUM(O157*1.22)</f>
        <v>288896</v>
      </c>
      <c r="P160" s="84" t="str">
        <f>"(15)"</f>
        <v>(15)</v>
      </c>
    </row>
    <row r="161" spans="2:17" ht="17.25" x14ac:dyDescent="0.25">
      <c r="B161" s="737" t="str">
        <f>'kuni 2025 detsember tegevuskava'!A90&amp;"/"&amp;'kuni 2025 detsember tegevuskava'!C90</f>
        <v>Siseministeerium /SMIT/PPA</v>
      </c>
      <c r="C161" s="744" t="str">
        <f>'kuni 2025 detsember tegevuskava'!I90</f>
        <v xml:space="preserve">Ressurssidele väljasõidukorralduste andmine on ajakulukas ja väljasõidu korraldusi saab anda ainult ressursside loetelus (on aeganõudev). KILPIs puudub ülevaade partnerasutuste ressursside andmetest ja paiknemisest, mis on vajalikud sündmuse lahendamisel. Häirekeskuse infosüsteemis SOS ja partnerasutuste ressurssidel puuduvad andmed sündmuskohal olevatest politsei ressurssidest. Puudub oeratiivaruandlus, mistõttu ülevaade olukorrast vastutusalas on aeganõudev ja puudulik. Patrullil puudub eelinfo olukorrast ülesande täitmise alas. </v>
      </c>
      <c r="D161" s="744" t="str">
        <f>'kuni 2025 detsember tegevuskava'!J90</f>
        <v>Operatiivinfo haldamine, väljasõidukorralduste automatiseerimine ja andmete vahendamine SOS-ga</v>
      </c>
      <c r="E161" s="744" t="str">
        <f>'kuni 2025 detsember tegevuskava'!K90</f>
        <v>2024 valmib: KILP ja SOS on liidestatud nii, et sündmuse lahendamisele kaasatud ressurssidel on ülevaade sündmuskohal toimuvast ja kaasatud ressurssidest. KILP elupäästvale sündmusele alarmeeritakse lähim vaaba ressurss automaatselt. KILPis on erinevate operatiivaruannete genereerimise ja haldamise võimekus. 
2025 valmib:  KILP rakenduses saab patrullidele anda väljasõidukorraldusi kaardikuvalt. SOSist tuleva juhtumiandmete täiendamine kõne andmetega koos positsioneerimisandmetega. Oluorra eelinfot saab edastada digittalselt teenistuslehele ja juhtumi juurde.</v>
      </c>
      <c r="F161" s="744" t="str">
        <f>'kuni 2025 detsember tegevuskava'!P90&amp;"/"</f>
        <v>SF 21-27 (taotletav raha)/</v>
      </c>
      <c r="G161" s="647" cm="1">
        <f t="array" ref="G161">_xlfn.IFS('kuni 2025 detsember tegevuskava'!G90='kuni 2025 detsember tegevuskava'!$G$151,1,'kuni 2025 detsember tegevuskava'!G90='kuni 2025 detsember tegevuskava'!$G$152,2,'kuni 2025 detsember tegevuskava'!G90='kuni 2025 detsember tegevuskava'!$G$153,3,'kuni 2025 detsember tegevuskava'!G90='kuni 2025 detsember tegevuskava'!$G$154,4)</f>
        <v>1</v>
      </c>
      <c r="H161" s="354" cm="1">
        <f t="array" ref="H161">_xlfn.IFS(OR('kuni 2025 detsember tegevuskava'!P90='kuni 2025 detsember tegevuskava'!$P$151,'kuni 2025 detsember tegevuskava'!P90='kuni 2025 detsember tegevuskava'!$P$153,'kuni 2025 detsember tegevuskava'!P90='kuni 2025 detsember tegevuskava'!$P$154,'kuni 2025 detsember tegevuskava'!P90='kuni 2025 detsember tegevuskava'!$P$155),1,'kuni 2025 detsember tegevuskava'!P90='kuni 2025 detsember tegevuskava'!$P$156,2,'kuni 2025 detsember tegevuskava'!P90='kuni 2025 detsember tegevuskava'!$P$157,2,'kuni 2025 detsember tegevuskava'!P90='kuni 2025 detsember tegevuskava'!$P$152,3)</f>
        <v>2</v>
      </c>
      <c r="I161" s="110">
        <f>SUM(I162:I162)</f>
        <v>493800</v>
      </c>
      <c r="J161" s="111"/>
      <c r="K161" s="71">
        <f>SUM(K162:K162)</f>
        <v>0</v>
      </c>
      <c r="L161" s="73"/>
      <c r="M161" s="110">
        <f>SUM(M162:M162)</f>
        <v>200000</v>
      </c>
      <c r="N161" s="111"/>
      <c r="O161" s="71">
        <f>SUM(O162:O162)</f>
        <v>293800</v>
      </c>
      <c r="P161" s="75"/>
      <c r="Q161" s="349"/>
    </row>
    <row r="162" spans="2:17" ht="17.25" x14ac:dyDescent="0.25">
      <c r="B162" s="738"/>
      <c r="C162" s="745"/>
      <c r="D162" s="745"/>
      <c r="E162" s="745"/>
      <c r="F162" s="745"/>
      <c r="G162" s="636"/>
      <c r="H162" s="391"/>
      <c r="I162" s="88">
        <f>SUM(K162+M162+O162)</f>
        <v>493800</v>
      </c>
      <c r="J162" s="89" t="str">
        <f>"(15)"</f>
        <v>(15)</v>
      </c>
      <c r="K162" s="657">
        <f>'kuni 2025 detsember tegevuskava'!X90</f>
        <v>0</v>
      </c>
      <c r="L162" s="644" t="str">
        <f>"(15)"</f>
        <v>(15)</v>
      </c>
      <c r="M162" s="629">
        <f>'kuni 2025 detsember tegevuskava'!AA90</f>
        <v>200000</v>
      </c>
      <c r="N162" s="89" t="str">
        <f>"(15)"</f>
        <v>(15)</v>
      </c>
      <c r="O162" s="657">
        <f>'kuni 2025 detsember tegevuskava'!AD90</f>
        <v>293800</v>
      </c>
      <c r="P162" s="77" t="str">
        <f>"(15)"</f>
        <v>(15)</v>
      </c>
    </row>
    <row r="163" spans="2:17" ht="17.25" x14ac:dyDescent="0.25">
      <c r="B163" s="738"/>
      <c r="C163" s="745"/>
      <c r="D163" s="745"/>
      <c r="E163" s="745"/>
      <c r="F163" s="745"/>
      <c r="G163" s="636"/>
      <c r="H163" s="391"/>
      <c r="I163" s="127" t="s">
        <v>534</v>
      </c>
      <c r="J163" s="130"/>
      <c r="K163" s="130"/>
      <c r="L163" s="130"/>
      <c r="M163" s="130"/>
      <c r="N163" s="130"/>
      <c r="O163" s="130"/>
      <c r="P163" s="131"/>
    </row>
    <row r="164" spans="2:17" ht="17.25" x14ac:dyDescent="0.25">
      <c r="B164" s="738"/>
      <c r="C164" s="745"/>
      <c r="D164" s="745"/>
      <c r="E164" s="745"/>
      <c r="F164" s="745"/>
      <c r="G164" s="636"/>
      <c r="H164" s="391"/>
      <c r="I164" s="126">
        <f>SUM(I165:I165)</f>
        <v>602436</v>
      </c>
      <c r="J164" s="89"/>
      <c r="K164" s="642">
        <f>SUM(K165:K165)</f>
        <v>0</v>
      </c>
      <c r="L164" s="643"/>
      <c r="M164" s="126">
        <f>SUM(M165:M165)</f>
        <v>244000</v>
      </c>
      <c r="N164" s="123"/>
      <c r="O164" s="126">
        <f>SUM(O165:O165)</f>
        <v>358436</v>
      </c>
      <c r="P164" s="62"/>
    </row>
    <row r="165" spans="2:17" ht="163.5" customHeight="1" thickBot="1" x14ac:dyDescent="0.3">
      <c r="B165" s="739"/>
      <c r="C165" s="746"/>
      <c r="D165" s="746"/>
      <c r="E165" s="746"/>
      <c r="F165" s="746"/>
      <c r="G165" s="651"/>
      <c r="H165" s="353"/>
      <c r="I165" s="108">
        <f>SUM(K165+M165+O165)</f>
        <v>602436</v>
      </c>
      <c r="J165" s="109" t="str">
        <f>"(15)"</f>
        <v>(15)</v>
      </c>
      <c r="K165" s="82">
        <f>SUM(K162*1.2)</f>
        <v>0</v>
      </c>
      <c r="L165" s="83" t="str">
        <f>"(15)"</f>
        <v>(15)</v>
      </c>
      <c r="M165" s="108">
        <f>SUM(M162*1.22)</f>
        <v>244000</v>
      </c>
      <c r="N165" s="109" t="str">
        <f>"(15)"</f>
        <v>(15)</v>
      </c>
      <c r="O165" s="108">
        <f>SUM(O162*1.22)</f>
        <v>358436</v>
      </c>
      <c r="P165" s="84" t="str">
        <f>"(15)"</f>
        <v>(15)</v>
      </c>
    </row>
    <row r="166" spans="2:17" ht="17.25" x14ac:dyDescent="0.25">
      <c r="B166" s="737" t="str">
        <f>'kuni 2025 detsember tegevuskava'!A91&amp;"/"&amp;'kuni 2025 detsember tegevuskava'!C91</f>
        <v>Siseministeerium /Politsei- ja Piirivalveamet</v>
      </c>
      <c r="C166" s="744" t="str">
        <f>'kuni 2025 detsember tegevuskava'!I91</f>
        <v xml:space="preserve">KILP projektide edukaks elluviimiseks on vajalik projektijuhi palkamine PPAs. </v>
      </c>
      <c r="D166" s="744" t="str">
        <f>'kuni 2025 detsember tegevuskava'!J91</f>
        <v>KILP projektijuht</v>
      </c>
      <c r="E166" s="744" t="str">
        <f>'kuni 2025 detsember tegevuskava'!K91</f>
        <v>Projektijuhtimine on tagatud</v>
      </c>
      <c r="F166" s="744" t="str">
        <f>'kuni 2025 detsember tegevuskava'!P91&amp;"/"</f>
        <v>SF 21-27 (taotletav raha)/</v>
      </c>
      <c r="G166" s="647" cm="1">
        <f t="array" ref="G166">_xlfn.IFS('kuni 2025 detsember tegevuskava'!G91='kuni 2025 detsember tegevuskava'!$G$151,1,'kuni 2025 detsember tegevuskava'!G91='kuni 2025 detsember tegevuskava'!$G$152,2,'kuni 2025 detsember tegevuskava'!G91='kuni 2025 detsember tegevuskava'!$G$153,3,'kuni 2025 detsember tegevuskava'!G91='kuni 2025 detsember tegevuskava'!$G$154,4)</f>
        <v>1</v>
      </c>
      <c r="H166" s="354" cm="1">
        <f t="array" ref="H166">_xlfn.IFS(OR('kuni 2025 detsember tegevuskava'!P91='kuni 2025 detsember tegevuskava'!$P$151,'kuni 2025 detsember tegevuskava'!P91='kuni 2025 detsember tegevuskava'!$P$153,'kuni 2025 detsember tegevuskava'!P91='kuni 2025 detsember tegevuskava'!$P$154,'kuni 2025 detsember tegevuskava'!P91='kuni 2025 detsember tegevuskava'!$P$155),1,'kuni 2025 detsember tegevuskava'!P91='kuni 2025 detsember tegevuskava'!$P$156,2,'kuni 2025 detsember tegevuskava'!P91='kuni 2025 detsember tegevuskava'!$P$157,2,'kuni 2025 detsember tegevuskava'!P91='kuni 2025 detsember tegevuskava'!$P$152,3)</f>
        <v>2</v>
      </c>
      <c r="I166" s="110">
        <f>SUM(I167:I167)</f>
        <v>38956</v>
      </c>
      <c r="J166" s="111"/>
      <c r="K166" s="71">
        <f>SUM(K167:K167)</f>
        <v>0</v>
      </c>
      <c r="L166" s="73"/>
      <c r="M166" s="110">
        <f>SUM(M167:M167)</f>
        <v>13000</v>
      </c>
      <c r="N166" s="111"/>
      <c r="O166" s="71">
        <f>SUM(O167:O167)</f>
        <v>25956</v>
      </c>
      <c r="P166" s="75"/>
    </row>
    <row r="167" spans="2:17" ht="17.25" x14ac:dyDescent="0.25">
      <c r="B167" s="738"/>
      <c r="C167" s="745"/>
      <c r="D167" s="745"/>
      <c r="E167" s="745"/>
      <c r="F167" s="745"/>
      <c r="G167" s="636"/>
      <c r="H167" s="391"/>
      <c r="I167" s="88">
        <f>SUM(K167+M167+O167)</f>
        <v>38956</v>
      </c>
      <c r="J167" s="89" t="str">
        <f>"(50)"</f>
        <v>(50)</v>
      </c>
      <c r="K167" s="657">
        <f>'kuni 2025 detsember tegevuskava'!Y91</f>
        <v>0</v>
      </c>
      <c r="L167" s="644" t="str">
        <f>"(50)"</f>
        <v>(50)</v>
      </c>
      <c r="M167" s="88">
        <f>'kuni 2025 detsember tegevuskava'!AB91</f>
        <v>13000</v>
      </c>
      <c r="N167" s="89" t="str">
        <f>"(50)"</f>
        <v>(50)</v>
      </c>
      <c r="O167" s="657">
        <f>'kuni 2025 detsember tegevuskava'!AE91</f>
        <v>25956</v>
      </c>
      <c r="P167" s="77" t="str">
        <f>"(50)"</f>
        <v>(50)</v>
      </c>
    </row>
    <row r="168" spans="2:17" ht="17.25" x14ac:dyDescent="0.25">
      <c r="B168" s="738"/>
      <c r="C168" s="745"/>
      <c r="D168" s="745"/>
      <c r="E168" s="745"/>
      <c r="F168" s="745"/>
      <c r="G168" s="636"/>
      <c r="H168" s="391"/>
      <c r="I168" s="127" t="s">
        <v>534</v>
      </c>
      <c r="J168" s="130"/>
      <c r="K168" s="130"/>
      <c r="L168" s="130"/>
      <c r="M168" s="130"/>
      <c r="N168" s="130"/>
      <c r="O168" s="130"/>
      <c r="P168" s="131"/>
    </row>
    <row r="169" spans="2:17" ht="17.25" x14ac:dyDescent="0.25">
      <c r="B169" s="738"/>
      <c r="C169" s="745"/>
      <c r="D169" s="745"/>
      <c r="E169" s="745"/>
      <c r="F169" s="745"/>
      <c r="G169" s="636"/>
      <c r="H169" s="391"/>
      <c r="I169" s="126">
        <f>SUM(I170:I170)</f>
        <v>38956</v>
      </c>
      <c r="J169" s="89"/>
      <c r="K169" s="642">
        <f>SUM(K170:K170)</f>
        <v>0</v>
      </c>
      <c r="L169" s="643"/>
      <c r="M169" s="126">
        <f>SUM(M170:M170)</f>
        <v>13000</v>
      </c>
      <c r="N169" s="123"/>
      <c r="O169" s="126">
        <f>SUM(O170:O170)</f>
        <v>25956</v>
      </c>
      <c r="P169" s="62"/>
    </row>
    <row r="170" spans="2:17" ht="18" thickBot="1" x14ac:dyDescent="0.3">
      <c r="B170" s="740"/>
      <c r="C170" s="747"/>
      <c r="D170" s="747"/>
      <c r="E170" s="747"/>
      <c r="F170" s="747"/>
      <c r="G170" s="636"/>
      <c r="H170" s="391"/>
      <c r="I170" s="88">
        <f>SUM(K170+M170+O170)</f>
        <v>38956</v>
      </c>
      <c r="J170" s="89" t="str">
        <f>"(50)"</f>
        <v>(50)</v>
      </c>
      <c r="K170" s="657">
        <f>K167</f>
        <v>0</v>
      </c>
      <c r="L170" s="644" t="str">
        <f>"(50)"</f>
        <v>(50)</v>
      </c>
      <c r="M170" s="88">
        <f>M167</f>
        <v>13000</v>
      </c>
      <c r="N170" s="89" t="str">
        <f>"(50)"</f>
        <v>(50)</v>
      </c>
      <c r="O170" s="88">
        <f>O167</f>
        <v>25956</v>
      </c>
      <c r="P170" s="77" t="str">
        <f>"(50)"</f>
        <v>(50)</v>
      </c>
    </row>
    <row r="171" spans="2:17" ht="17.25" x14ac:dyDescent="0.25">
      <c r="B171" s="737" t="str">
        <f>'kuni 2025 detsember tegevuskava'!A94&amp;"/"&amp;'kuni 2025 detsember tegevuskava'!C94</f>
        <v>Siseministeerium /SMIT/PPA</v>
      </c>
      <c r="C171" s="744" t="str">
        <f>'kuni 2025 detsember tegevuskava'!I94</f>
        <v>APOLLO vahendusel ei ole võimalik vastu võtta rohkem kui  üks sündmuse asukoht, mis piirab patrullide operatiivtegevuse juhtimist ja lahendamist.</v>
      </c>
      <c r="D171" s="744" t="str">
        <f>'kuni 2025 detsember tegevuskava'!J94</f>
        <v>KILP ja APOLLO vahel asukohtade andmestiku vahetamine</v>
      </c>
      <c r="E171" s="744" t="str">
        <f>'kuni 2025 detsember tegevuskava'!K94</f>
        <v>APOLLO oskab vastu võtta lisaks sündmuse sasukohale muid asukohti, neid näha ja muuta nende andmeid.</v>
      </c>
      <c r="F171" s="744" t="str">
        <f>'kuni 2025 detsember tegevuskava'!P94&amp;"/"</f>
        <v>SF 21-27 (taotletav raha)/</v>
      </c>
      <c r="G171" s="647" cm="1">
        <f t="array" ref="G171">_xlfn.IFS('kuni 2025 detsember tegevuskava'!G94='kuni 2025 detsember tegevuskava'!$G$151,1,'kuni 2025 detsember tegevuskava'!G94='kuni 2025 detsember tegevuskava'!$G$152,2,'kuni 2025 detsember tegevuskava'!G94='kuni 2025 detsember tegevuskava'!$G$153,3,'kuni 2025 detsember tegevuskava'!G94='kuni 2025 detsember tegevuskava'!$G$154,4)</f>
        <v>1</v>
      </c>
      <c r="H171" s="354" cm="1">
        <f t="array" ref="H171">_xlfn.IFS(OR('kuni 2025 detsember tegevuskava'!P94='kuni 2025 detsember tegevuskava'!$P$151,'kuni 2025 detsember tegevuskava'!P94='kuni 2025 detsember tegevuskava'!$P$153,'kuni 2025 detsember tegevuskava'!P94='kuni 2025 detsember tegevuskava'!$P$154,'kuni 2025 detsember tegevuskava'!P94='kuni 2025 detsember tegevuskava'!$P$155),1,'kuni 2025 detsember tegevuskava'!P94='kuni 2025 detsember tegevuskava'!$P$156,2,'kuni 2025 detsember tegevuskava'!P94='kuni 2025 detsember tegevuskava'!$P$157,2,'kuni 2025 detsember tegevuskava'!P94='kuni 2025 detsember tegevuskava'!$P$152,3)</f>
        <v>2</v>
      </c>
      <c r="I171" s="110">
        <f>SUM(I172:I172)</f>
        <v>183600</v>
      </c>
      <c r="J171" s="111"/>
      <c r="K171" s="71">
        <f>SUM(K172:K172)</f>
        <v>0</v>
      </c>
      <c r="L171" s="73"/>
      <c r="M171" s="110">
        <f>SUM(M172:M172)</f>
        <v>110000</v>
      </c>
      <c r="N171" s="111"/>
      <c r="O171" s="71">
        <f>SUM(O172:O172)</f>
        <v>73600</v>
      </c>
      <c r="P171" s="75"/>
    </row>
    <row r="172" spans="2:17" ht="17.25" x14ac:dyDescent="0.25">
      <c r="B172" s="738"/>
      <c r="C172" s="745"/>
      <c r="D172" s="745"/>
      <c r="E172" s="745"/>
      <c r="F172" s="745"/>
      <c r="G172" s="636"/>
      <c r="H172" s="391"/>
      <c r="I172" s="88">
        <f>SUM(K172+M172+O172)</f>
        <v>183600</v>
      </c>
      <c r="J172" s="89" t="str">
        <f>"(15)"</f>
        <v>(15)</v>
      </c>
      <c r="K172" s="657">
        <f>'kuni 2025 detsember tegevuskava'!X94</f>
        <v>0</v>
      </c>
      <c r="L172" s="644" t="str">
        <f>"(15)"</f>
        <v>(15)</v>
      </c>
      <c r="M172" s="88">
        <f>'kuni 2025 detsember tegevuskava'!AA94</f>
        <v>110000</v>
      </c>
      <c r="N172" s="89" t="str">
        <f>"(15)"</f>
        <v>(15)</v>
      </c>
      <c r="O172" s="657">
        <f>'kuni 2025 detsember tegevuskava'!AD94</f>
        <v>73600</v>
      </c>
      <c r="P172" s="77" t="str">
        <f>"(15)"</f>
        <v>(15)</v>
      </c>
    </row>
    <row r="173" spans="2:17" ht="17.25" x14ac:dyDescent="0.25">
      <c r="B173" s="738"/>
      <c r="C173" s="745"/>
      <c r="D173" s="745"/>
      <c r="E173" s="745"/>
      <c r="F173" s="745"/>
      <c r="G173" s="636"/>
      <c r="H173" s="391"/>
      <c r="I173" s="127" t="s">
        <v>534</v>
      </c>
      <c r="J173" s="130"/>
      <c r="K173" s="130"/>
      <c r="L173" s="130"/>
      <c r="M173" s="130"/>
      <c r="N173" s="130"/>
      <c r="O173" s="130"/>
      <c r="P173" s="131"/>
    </row>
    <row r="174" spans="2:17" ht="17.25" x14ac:dyDescent="0.25">
      <c r="B174" s="738"/>
      <c r="C174" s="745"/>
      <c r="D174" s="745"/>
      <c r="E174" s="745"/>
      <c r="F174" s="745"/>
      <c r="G174" s="636"/>
      <c r="H174" s="391"/>
      <c r="I174" s="126">
        <f>SUM(I175:I175)</f>
        <v>223992</v>
      </c>
      <c r="J174" s="89"/>
      <c r="K174" s="642">
        <f>SUM(K175:K175)</f>
        <v>0</v>
      </c>
      <c r="L174" s="643"/>
      <c r="M174" s="126">
        <f>SUM(M175:M175)</f>
        <v>134200</v>
      </c>
      <c r="N174" s="123"/>
      <c r="O174" s="126">
        <f>SUM(O175:O175)</f>
        <v>89792</v>
      </c>
      <c r="P174" s="62"/>
    </row>
    <row r="175" spans="2:17" ht="18" thickBot="1" x14ac:dyDescent="0.3">
      <c r="B175" s="739"/>
      <c r="C175" s="746"/>
      <c r="D175" s="746"/>
      <c r="E175" s="746"/>
      <c r="F175" s="746"/>
      <c r="G175" s="651"/>
      <c r="H175" s="353"/>
      <c r="I175" s="108">
        <f>SUM(K175+M175+O175)</f>
        <v>223992</v>
      </c>
      <c r="J175" s="109" t="str">
        <f>"(15)"</f>
        <v>(15)</v>
      </c>
      <c r="K175" s="82">
        <f>SUM(K172*1.2)</f>
        <v>0</v>
      </c>
      <c r="L175" s="83" t="str">
        <f>"(15)"</f>
        <v>(15)</v>
      </c>
      <c r="M175" s="108">
        <f>SUM(M172*1.22)</f>
        <v>134200</v>
      </c>
      <c r="N175" s="109" t="str">
        <f>"(15)"</f>
        <v>(15)</v>
      </c>
      <c r="O175" s="108">
        <f>SUM(O172*1.22)</f>
        <v>89792</v>
      </c>
      <c r="P175" s="84" t="str">
        <f>"(15)"</f>
        <v>(15)</v>
      </c>
    </row>
    <row r="176" spans="2:17" ht="17.25" x14ac:dyDescent="0.25">
      <c r="B176" s="737" t="str">
        <f>'kuni 2025 detsember tegevuskava'!A98&amp;"/"&amp;'kuni 2025 detsember tegevuskava'!C98</f>
        <v>Siseministeerium /SMIT</v>
      </c>
      <c r="C176" s="744" t="str">
        <f>'kuni 2025 detsember tegevuskava'!I98</f>
        <v>PPA operatiivresurside väljapaneku ja taktikalise juhtimise funktsionaalsuste  jätkusuutlikkus ei ole tagatud. Osaline rahastus olemas 2026 lõpuni. SMIT KILP meeskonnal puudub baasrahastus.</v>
      </c>
      <c r="D176" s="744" t="str">
        <f>'kuni 2025 detsember tegevuskava'!J98</f>
        <v>KILP jätkusuutlikkuse tagamine PPA operatiivressursside väljapanekul ja sündmuste taktikalisel juhtimisel</v>
      </c>
      <c r="E176" s="744" t="str">
        <f>'kuni 2025 detsember tegevuskava'!K98</f>
        <v>KILP funktsionaalsuste jätkusuutlikkus on tagatud. KILP uued väikearendused on ellu viidud.
Kulud sisaldavad: SMIT meeskonna personalikulu ja majanduskulu sh koolitus ning PPA projektijuhi (SF arenduste rakendamiseks) palgakulu ja majandukulu koos maksudega.</v>
      </c>
      <c r="F176" s="744" t="str">
        <f>'kuni 2025 detsember tegevuskava'!P98&amp;"/"</f>
        <v>RES IKT (vaja juurde taotleda)/</v>
      </c>
      <c r="G176" s="647" cm="1">
        <f t="array" ref="G176">_xlfn.IFS('kuni 2025 detsember tegevuskava'!G98='kuni 2025 detsember tegevuskava'!$G$151,1,'kuni 2025 detsember tegevuskava'!G98='kuni 2025 detsember tegevuskava'!$G$152,2,'kuni 2025 detsember tegevuskava'!G98='kuni 2025 detsember tegevuskava'!$G$153,3,'kuni 2025 detsember tegevuskava'!G98='kuni 2025 detsember tegevuskava'!$G$154,4)</f>
        <v>1</v>
      </c>
      <c r="H176" s="354" cm="1">
        <f t="array" ref="H176">_xlfn.IFS(OR('kuni 2025 detsember tegevuskava'!P98='kuni 2025 detsember tegevuskava'!$P$151,'kuni 2025 detsember tegevuskava'!P98='kuni 2025 detsember tegevuskava'!$P$153,'kuni 2025 detsember tegevuskava'!P98='kuni 2025 detsember tegevuskava'!$P$154,'kuni 2025 detsember tegevuskava'!P98='kuni 2025 detsember tegevuskava'!$P$155),1,'kuni 2025 detsember tegevuskava'!P98='kuni 2025 detsember tegevuskava'!$P$156,2,'kuni 2025 detsember tegevuskava'!P98='kuni 2025 detsember tegevuskava'!$P$157,2,'kuni 2025 detsember tegevuskava'!P98='kuni 2025 detsember tegevuskava'!$P$152,3)</f>
        <v>1</v>
      </c>
      <c r="I176" s="110">
        <f>SUM(I177:I178)</f>
        <v>278677</v>
      </c>
      <c r="J176" s="111"/>
      <c r="K176" s="71">
        <f>SUM(K177:K178)</f>
        <v>0</v>
      </c>
      <c r="L176" s="73"/>
      <c r="M176" s="110">
        <f>SUM(M177:M178)</f>
        <v>0</v>
      </c>
      <c r="N176" s="111"/>
      <c r="O176" s="71">
        <f>SUM(O177:O178)</f>
        <v>278677</v>
      </c>
      <c r="P176" s="75"/>
    </row>
    <row r="177" spans="2:16" ht="17.25" x14ac:dyDescent="0.25">
      <c r="B177" s="738"/>
      <c r="C177" s="745"/>
      <c r="D177" s="745"/>
      <c r="E177" s="745"/>
      <c r="F177" s="745"/>
      <c r="G177" s="636"/>
      <c r="H177" s="391"/>
      <c r="I177" s="88">
        <f>SUM(K177+M177+O177)</f>
        <v>224653</v>
      </c>
      <c r="J177" s="89" t="str">
        <f>"(50)"</f>
        <v>(50)</v>
      </c>
      <c r="K177" s="657">
        <f>'kuni 2025 detsember tegevuskava'!Y98</f>
        <v>0</v>
      </c>
      <c r="L177" s="644" t="str">
        <f>"(50)"</f>
        <v>(50)</v>
      </c>
      <c r="M177" s="88">
        <f>'kuni 2025 detsember tegevuskava'!AB98</f>
        <v>0</v>
      </c>
      <c r="N177" s="89" t="str">
        <f>"(50)"</f>
        <v>(50)</v>
      </c>
      <c r="O177" s="657">
        <f>'kuni 2025 detsember tegevuskava'!AE98</f>
        <v>224653</v>
      </c>
      <c r="P177" s="77" t="str">
        <f>"(50)"</f>
        <v>(50)</v>
      </c>
    </row>
    <row r="178" spans="2:16" ht="17.25" x14ac:dyDescent="0.25">
      <c r="B178" s="738"/>
      <c r="C178" s="745"/>
      <c r="D178" s="745"/>
      <c r="E178" s="745"/>
      <c r="F178" s="745"/>
      <c r="G178" s="636"/>
      <c r="H178" s="391"/>
      <c r="I178" s="90">
        <f>SUM(K178+M178+O178)</f>
        <v>54024</v>
      </c>
      <c r="J178" s="91" t="str">
        <f>"(55)"</f>
        <v>(55)</v>
      </c>
      <c r="K178" s="85">
        <f>'kuni 2025 detsember tegevuskava'!Z98</f>
        <v>0</v>
      </c>
      <c r="L178" s="78" t="str">
        <f>"(55)"</f>
        <v>(55)</v>
      </c>
      <c r="M178" s="90">
        <f>'kuni 2025 detsember tegevuskava'!AC98</f>
        <v>0</v>
      </c>
      <c r="N178" s="91" t="str">
        <f>"(55)"</f>
        <v>(55)</v>
      </c>
      <c r="O178" s="85">
        <f>'kuni 2025 detsember tegevuskava'!AF98</f>
        <v>54024</v>
      </c>
      <c r="P178" s="79" t="str">
        <f>"(55)"</f>
        <v>(55)</v>
      </c>
    </row>
    <row r="179" spans="2:16" ht="17.25" x14ac:dyDescent="0.25">
      <c r="B179" s="738"/>
      <c r="C179" s="745"/>
      <c r="D179" s="745"/>
      <c r="E179" s="745"/>
      <c r="F179" s="745"/>
      <c r="G179" s="636"/>
      <c r="H179" s="391"/>
      <c r="I179" s="119" t="s">
        <v>534</v>
      </c>
      <c r="J179" s="8"/>
      <c r="K179" s="8"/>
      <c r="L179" s="8"/>
      <c r="M179" s="8"/>
      <c r="N179" s="8"/>
      <c r="O179" s="8"/>
      <c r="P179" s="121"/>
    </row>
    <row r="180" spans="2:16" ht="17.25" x14ac:dyDescent="0.25">
      <c r="B180" s="738"/>
      <c r="C180" s="745"/>
      <c r="D180" s="745"/>
      <c r="E180" s="745"/>
      <c r="F180" s="745"/>
      <c r="G180" s="636"/>
      <c r="H180" s="391"/>
      <c r="I180" s="86">
        <f>SUM(I181:I182)</f>
        <v>290562.28000000003</v>
      </c>
      <c r="J180" s="87"/>
      <c r="K180" s="80">
        <f>SUM(K181:K182)</f>
        <v>0</v>
      </c>
      <c r="L180" s="81"/>
      <c r="M180" s="86">
        <f>SUM(M181:M182)</f>
        <v>0</v>
      </c>
      <c r="N180" s="92"/>
      <c r="O180" s="86">
        <f>SUM(O181:O182)</f>
        <v>290562.28000000003</v>
      </c>
      <c r="P180" s="112"/>
    </row>
    <row r="181" spans="2:16" ht="17.25" x14ac:dyDescent="0.25">
      <c r="B181" s="738"/>
      <c r="C181" s="745"/>
      <c r="D181" s="745"/>
      <c r="E181" s="745"/>
      <c r="F181" s="745"/>
      <c r="G181" s="636"/>
      <c r="H181" s="391"/>
      <c r="I181" s="88">
        <f>SUM(K181+M181+O181)</f>
        <v>224653</v>
      </c>
      <c r="J181" s="89" t="str">
        <f>"(50)"</f>
        <v>(50)</v>
      </c>
      <c r="K181" s="657">
        <f>K177</f>
        <v>0</v>
      </c>
      <c r="L181" s="644" t="str">
        <f>"(50)"</f>
        <v>(50)</v>
      </c>
      <c r="M181" s="88">
        <f>M177</f>
        <v>0</v>
      </c>
      <c r="N181" s="89" t="str">
        <f>"(50)"</f>
        <v>(50)</v>
      </c>
      <c r="O181" s="88">
        <f>O177</f>
        <v>224653</v>
      </c>
      <c r="P181" s="77" t="str">
        <f>"(50)"</f>
        <v>(50)</v>
      </c>
    </row>
    <row r="182" spans="2:16" ht="18" thickBot="1" x14ac:dyDescent="0.3">
      <c r="B182" s="739"/>
      <c r="C182" s="746"/>
      <c r="D182" s="746"/>
      <c r="E182" s="746"/>
      <c r="F182" s="746"/>
      <c r="G182" s="651"/>
      <c r="H182" s="353"/>
      <c r="I182" s="108">
        <f>SUM(K182+M182+O182)</f>
        <v>65909.279999999999</v>
      </c>
      <c r="J182" s="109" t="str">
        <f>"(55)"</f>
        <v>(55)</v>
      </c>
      <c r="K182" s="82">
        <f>SUM(K178*1.2)</f>
        <v>0</v>
      </c>
      <c r="L182" s="83" t="str">
        <f>"(55)"</f>
        <v>(55)</v>
      </c>
      <c r="M182" s="108">
        <f>SUM(M178*1.22)</f>
        <v>0</v>
      </c>
      <c r="N182" s="109" t="str">
        <f>"(55)"</f>
        <v>(55)</v>
      </c>
      <c r="O182" s="108">
        <f>SUM(O178*1.22)</f>
        <v>65909.279999999999</v>
      </c>
      <c r="P182" s="84" t="str">
        <f>"(55)"</f>
        <v>(55)</v>
      </c>
    </row>
    <row r="183" spans="2:16" ht="17.25" x14ac:dyDescent="0.25">
      <c r="B183" s="737" t="str">
        <f>'kuni 2025 detsember tegevuskava'!A100&amp;"/"&amp;'kuni 2025 detsember tegevuskava'!C100</f>
        <v>Siseministeerium /SMIT</v>
      </c>
      <c r="C183" s="744" t="str">
        <f>'kuni 2025 detsember tegevuskava'!I100</f>
        <v>SOS2 on nii moraalselt kui ka tehnoloogiliselt vananenud (kriitiliste intsidentide kui ka muude rikete arv on tõusuteel)  ning selle edasi arendamine ja sinna uute funktsionaalsuste arendamine ei ole enam võimalik.</v>
      </c>
      <c r="D183" s="744" t="str">
        <f>'kuni 2025 detsember tegevuskava'!J100</f>
        <v>Häirekeskus SF Uue põlvkonna hädaabiteadete menetlemise infosüsteemi (HKSOS) logistiku töövoo realiseerimiseks</v>
      </c>
      <c r="E183" s="744" t="str">
        <f>'kuni 2025 detsember tegevuskava'!K100</f>
        <v xml:space="preserve">2024-2026 (kokku 1,5 milj): On valminud ja kasutusele võetud kaasaegsel tehnoloogial põhinev HKSOS logistiku töövoogude kasutajaliides. Kasutusele on võetud kaasaegsem tehnoloogia, kõrgem töökindlus ja kasutajate rahulolu on kasvanud ning on võimalik osutada kiiremat abi. 2024-2025: Logistiku töövoog etapp I ( SF 393 750 € KM-ta) 2025-2026: Logistiku töövoog etapp II ( SF 787 500 € KM-ta)
2026: Logistiku töövoog etapp III ( SF 318 750 € KM-ta)
</v>
      </c>
      <c r="F183" s="744" t="str">
        <f>'kuni 2025 detsember tegevuskava'!P100&amp;"/"</f>
        <v>SF 21-27 (taotletav raha)/</v>
      </c>
      <c r="G183" s="647" cm="1">
        <f t="array" ref="G183">_xlfn.IFS('kuni 2025 detsember tegevuskava'!G100='kuni 2025 detsember tegevuskava'!$G$151,1,'kuni 2025 detsember tegevuskava'!G100='kuni 2025 detsember tegevuskava'!$G$152,2,'kuni 2025 detsember tegevuskava'!G100='kuni 2025 detsember tegevuskava'!$G$153,3,'kuni 2025 detsember tegevuskava'!G100='kuni 2025 detsember tegevuskava'!$G$154,4)</f>
        <v>1</v>
      </c>
      <c r="H183" s="354" cm="1">
        <f t="array" ref="H183">_xlfn.IFS(OR('kuni 2025 detsember tegevuskava'!P100='kuni 2025 detsember tegevuskava'!$P$151,'kuni 2025 detsember tegevuskava'!P100='kuni 2025 detsember tegevuskava'!$P$153,'kuni 2025 detsember tegevuskava'!P100='kuni 2025 detsember tegevuskava'!$P$154,'kuni 2025 detsember tegevuskava'!P100='kuni 2025 detsember tegevuskava'!$P$155),1,'kuni 2025 detsember tegevuskava'!P100='kuni 2025 detsember tegevuskava'!$P$156,2,'kuni 2025 detsember tegevuskava'!P100='kuni 2025 detsember tegevuskava'!$P$157,2,'kuni 2025 detsember tegevuskava'!P100='kuni 2025 detsember tegevuskava'!$P$152,3)</f>
        <v>2</v>
      </c>
      <c r="I183" s="110">
        <f>SUM(I184:I184)</f>
        <v>787500</v>
      </c>
      <c r="J183" s="111"/>
      <c r="K183" s="71">
        <f>SUM(K184:K184)</f>
        <v>0</v>
      </c>
      <c r="L183" s="73"/>
      <c r="M183" s="110">
        <f>SUM(M184:M184)</f>
        <v>147656</v>
      </c>
      <c r="N183" s="111"/>
      <c r="O183" s="71">
        <f>SUM(O184:O184)</f>
        <v>639844</v>
      </c>
      <c r="P183" s="75"/>
    </row>
    <row r="184" spans="2:16" ht="17.25" x14ac:dyDescent="0.25">
      <c r="B184" s="738"/>
      <c r="C184" s="745"/>
      <c r="D184" s="745"/>
      <c r="E184" s="745"/>
      <c r="F184" s="745"/>
      <c r="G184" s="636"/>
      <c r="H184" s="391"/>
      <c r="I184" s="88">
        <f>SUM(K184+M184+O184)</f>
        <v>787500</v>
      </c>
      <c r="J184" s="89" t="str">
        <f>"(15)"</f>
        <v>(15)</v>
      </c>
      <c r="K184" s="657">
        <f>'kuni 2025 detsember tegevuskava'!X100</f>
        <v>0</v>
      </c>
      <c r="L184" s="644" t="str">
        <f>"(15)"</f>
        <v>(15)</v>
      </c>
      <c r="M184" s="88">
        <f>'kuni 2025 detsember tegevuskava'!AA100</f>
        <v>147656</v>
      </c>
      <c r="N184" s="89" t="str">
        <f>"(15)"</f>
        <v>(15)</v>
      </c>
      <c r="O184" s="657">
        <f>'kuni 2025 detsember tegevuskava'!AD100</f>
        <v>639844</v>
      </c>
      <c r="P184" s="77" t="str">
        <f>"(15)"</f>
        <v>(15)</v>
      </c>
    </row>
    <row r="185" spans="2:16" ht="17.25" x14ac:dyDescent="0.25">
      <c r="B185" s="738"/>
      <c r="C185" s="745"/>
      <c r="D185" s="745"/>
      <c r="E185" s="745"/>
      <c r="F185" s="745"/>
      <c r="G185" s="636"/>
      <c r="H185" s="391"/>
      <c r="I185" s="127" t="s">
        <v>534</v>
      </c>
      <c r="J185" s="130"/>
      <c r="K185" s="130"/>
      <c r="L185" s="130"/>
      <c r="M185" s="130"/>
      <c r="N185" s="130"/>
      <c r="O185" s="130"/>
      <c r="P185" s="131"/>
    </row>
    <row r="186" spans="2:16" ht="17.25" x14ac:dyDescent="0.25">
      <c r="B186" s="738"/>
      <c r="C186" s="745"/>
      <c r="D186" s="745"/>
      <c r="E186" s="745"/>
      <c r="F186" s="745"/>
      <c r="G186" s="636"/>
      <c r="H186" s="391"/>
      <c r="I186" s="126">
        <f>SUM(I187:I187)</f>
        <v>960750</v>
      </c>
      <c r="J186" s="89"/>
      <c r="K186" s="642">
        <f>SUM(K187:K187)</f>
        <v>0</v>
      </c>
      <c r="L186" s="643"/>
      <c r="M186" s="126">
        <f>SUM(M187:M187)</f>
        <v>180140.32</v>
      </c>
      <c r="N186" s="123"/>
      <c r="O186" s="126">
        <f>SUM(O187:O187)</f>
        <v>780609.67999999993</v>
      </c>
      <c r="P186" s="62"/>
    </row>
    <row r="187" spans="2:16" ht="129" customHeight="1" thickBot="1" x14ac:dyDescent="0.3">
      <c r="B187" s="739"/>
      <c r="C187" s="746"/>
      <c r="D187" s="746"/>
      <c r="E187" s="746"/>
      <c r="F187" s="746"/>
      <c r="G187" s="651"/>
      <c r="H187" s="353"/>
      <c r="I187" s="108">
        <f>SUM(K187+M187+O187)</f>
        <v>960750</v>
      </c>
      <c r="J187" s="109" t="str">
        <f>"(15)"</f>
        <v>(15)</v>
      </c>
      <c r="K187" s="82">
        <f>SUM(K184*1.2)</f>
        <v>0</v>
      </c>
      <c r="L187" s="83" t="str">
        <f>"(15)"</f>
        <v>(15)</v>
      </c>
      <c r="M187" s="108">
        <f>SUM(M184*1.22)</f>
        <v>180140.32</v>
      </c>
      <c r="N187" s="109" t="str">
        <f>"(15)"</f>
        <v>(15)</v>
      </c>
      <c r="O187" s="108">
        <f>SUM(O184*1.22)</f>
        <v>780609.67999999993</v>
      </c>
      <c r="P187" s="84" t="str">
        <f>"(15)"</f>
        <v>(15)</v>
      </c>
    </row>
    <row r="188" spans="2:16" ht="17.25" x14ac:dyDescent="0.25">
      <c r="B188" s="737" t="str">
        <f>'kuni 2025 detsember tegevuskava'!A101&amp;"/"&amp;'kuni 2025 detsember tegevuskava'!C101</f>
        <v>Siseministeerium /SMIT</v>
      </c>
      <c r="C188" s="744" t="str">
        <f>'kuni 2025 detsember tegevuskava'!I101</f>
        <v>EU Ligipääsetavused direktiivi rakendamine aastaks 2025</v>
      </c>
      <c r="D188" s="744" t="str">
        <f>'kuni 2025 detsember tegevuskava'!J101</f>
        <v>Ligipääsetavuse direktiivi rakendamise analüüs</v>
      </c>
      <c r="E188" s="744" t="str">
        <f>'kuni 2025 detsember tegevuskava'!K101</f>
        <v>Analüüsitud on seadusega tulenevate kohustuste täitmine ja ligipääsetavuse võimaluste laienemine Ligipääsetavuse direktiivi rakendamiseks:
2024: Videokõne ja RTT võimekus uues kõnesides analüüs (RK 250 000 €  KM-ta, partner CGI)
2024-2025: Videokõne ja RTT võimekus uues kõnesides arendus (baas rahad)
2025: PEMEA võimekus 112 teenuses analüüs (RK  500 000 € KM-ta)
2025-2027: PEMEA võimekus 112 teenuses arendus ( rahastus planeerimata)</v>
      </c>
      <c r="F188" s="744" t="str">
        <f>'kuni 2025 detsember tegevuskava'!P101&amp;"/"</f>
        <v>Muu rahastus/</v>
      </c>
      <c r="G188" s="647" cm="1">
        <f t="array" ref="G188">_xlfn.IFS('kuni 2025 detsember tegevuskava'!G101='kuni 2025 detsember tegevuskava'!$G$151,1,'kuni 2025 detsember tegevuskava'!G101='kuni 2025 detsember tegevuskava'!$G$152,2,'kuni 2025 detsember tegevuskava'!G101='kuni 2025 detsember tegevuskava'!$G$153,3,'kuni 2025 detsember tegevuskava'!G101='kuni 2025 detsember tegevuskava'!$G$154,4)</f>
        <v>1</v>
      </c>
      <c r="H188" s="354" cm="1">
        <f t="array" ref="H188">_xlfn.IFS(OR('kuni 2025 detsember tegevuskava'!P101='kuni 2025 detsember tegevuskava'!$P$151,'kuni 2025 detsember tegevuskava'!P101='kuni 2025 detsember tegevuskava'!$P$153,'kuni 2025 detsember tegevuskava'!P101='kuni 2025 detsember tegevuskava'!$P$154,'kuni 2025 detsember tegevuskava'!P101='kuni 2025 detsember tegevuskava'!$P$155),1,'kuni 2025 detsember tegevuskava'!P101='kuni 2025 detsember tegevuskava'!$P$156,2,'kuni 2025 detsember tegevuskava'!P101='kuni 2025 detsember tegevuskava'!$P$157,2,'kuni 2025 detsember tegevuskava'!P101='kuni 2025 detsember tegevuskava'!$P$152,3)</f>
        <v>3</v>
      </c>
      <c r="I188" s="110">
        <f>SUM(I189:I189)</f>
        <v>750000</v>
      </c>
      <c r="J188" s="111"/>
      <c r="K188" s="71">
        <f>SUM(K189:K189)</f>
        <v>0</v>
      </c>
      <c r="L188" s="73"/>
      <c r="M188" s="110">
        <f>SUM(M189:M189)</f>
        <v>250000</v>
      </c>
      <c r="N188" s="111"/>
      <c r="O188" s="71">
        <f>SUM(O189:O189)</f>
        <v>500000</v>
      </c>
      <c r="P188" s="75"/>
    </row>
    <row r="189" spans="2:16" ht="17.25" x14ac:dyDescent="0.25">
      <c r="B189" s="738"/>
      <c r="C189" s="745"/>
      <c r="D189" s="745"/>
      <c r="E189" s="745"/>
      <c r="F189" s="745"/>
      <c r="G189" s="636"/>
      <c r="H189" s="391"/>
      <c r="I189" s="88">
        <f>SUM(K189+M189+O189)</f>
        <v>750000</v>
      </c>
      <c r="J189" s="89" t="str">
        <f>"(15)"</f>
        <v>(15)</v>
      </c>
      <c r="K189" s="657">
        <f>'kuni 2025 detsember tegevuskava'!X101</f>
        <v>0</v>
      </c>
      <c r="L189" s="644" t="str">
        <f>"(15)"</f>
        <v>(15)</v>
      </c>
      <c r="M189" s="88">
        <f>'kuni 2025 detsember tegevuskava'!AA101</f>
        <v>250000</v>
      </c>
      <c r="N189" s="89" t="str">
        <f>"(15)"</f>
        <v>(15)</v>
      </c>
      <c r="O189" s="657">
        <f>'kuni 2025 detsember tegevuskava'!AD101</f>
        <v>500000</v>
      </c>
      <c r="P189" s="77" t="str">
        <f>"(15)"</f>
        <v>(15)</v>
      </c>
    </row>
    <row r="190" spans="2:16" ht="17.25" x14ac:dyDescent="0.25">
      <c r="B190" s="738"/>
      <c r="C190" s="745"/>
      <c r="D190" s="745"/>
      <c r="E190" s="745"/>
      <c r="F190" s="745"/>
      <c r="G190" s="636"/>
      <c r="H190" s="391"/>
      <c r="I190" s="127" t="s">
        <v>534</v>
      </c>
      <c r="J190" s="130"/>
      <c r="K190" s="130"/>
      <c r="L190" s="130"/>
      <c r="M190" s="130"/>
      <c r="N190" s="130"/>
      <c r="O190" s="130"/>
      <c r="P190" s="131"/>
    </row>
    <row r="191" spans="2:16" ht="17.25" x14ac:dyDescent="0.25">
      <c r="B191" s="738"/>
      <c r="C191" s="745"/>
      <c r="D191" s="745"/>
      <c r="E191" s="745"/>
      <c r="F191" s="745"/>
      <c r="G191" s="636"/>
      <c r="H191" s="391"/>
      <c r="I191" s="126">
        <f>SUM(I192:I192)</f>
        <v>915000</v>
      </c>
      <c r="J191" s="89"/>
      <c r="K191" s="642">
        <f>SUM(K192:K192)</f>
        <v>0</v>
      </c>
      <c r="L191" s="643"/>
      <c r="M191" s="126">
        <f>SUM(M192:M192)</f>
        <v>305000</v>
      </c>
      <c r="N191" s="123"/>
      <c r="O191" s="126">
        <f>SUM(O192:O192)</f>
        <v>610000</v>
      </c>
      <c r="P191" s="62"/>
    </row>
    <row r="192" spans="2:16" ht="132.75" customHeight="1" thickBot="1" x14ac:dyDescent="0.3">
      <c r="B192" s="740"/>
      <c r="C192" s="747"/>
      <c r="D192" s="747"/>
      <c r="E192" s="747"/>
      <c r="F192" s="747"/>
      <c r="G192" s="636"/>
      <c r="H192" s="391"/>
      <c r="I192" s="88">
        <f>SUM(K192+M192+O192)</f>
        <v>915000</v>
      </c>
      <c r="J192" s="89" t="str">
        <f>"(15)"</f>
        <v>(15)</v>
      </c>
      <c r="K192" s="657">
        <f>SUM(K189*1.2)</f>
        <v>0</v>
      </c>
      <c r="L192" s="644" t="str">
        <f>"(15)"</f>
        <v>(15)</v>
      </c>
      <c r="M192" s="88">
        <f>SUM(M189*1.22)</f>
        <v>305000</v>
      </c>
      <c r="N192" s="89" t="str">
        <f>"(15)"</f>
        <v>(15)</v>
      </c>
      <c r="O192" s="88">
        <f>SUM(O189*1.22)</f>
        <v>610000</v>
      </c>
      <c r="P192" s="77" t="str">
        <f>"(15)"</f>
        <v>(15)</v>
      </c>
    </row>
    <row r="193" spans="2:16" ht="17.25" x14ac:dyDescent="0.25">
      <c r="B193" s="737" t="str">
        <f>'kuni 2025 detsember tegevuskava'!A102&amp;"/"&amp;'kuni 2025 detsember tegevuskava'!C102</f>
        <v>Siseministeerium /SMIT</v>
      </c>
      <c r="C193" s="744" t="str">
        <f>'kuni 2025 detsember tegevuskava'!I102</f>
        <v>SOS2 on nii moraalselt kui ka tehnoloogiliselt vananenud (kriitiliste intsidentide kui ka muude rikete arv on tõusuteel)  ning selle edasi arendamine ja sinna uute funktsionaalsuste arendamine ei ole enam võimalik.</v>
      </c>
      <c r="D193" s="744" t="str">
        <f>'kuni 2025 detsember tegevuskava'!J102</f>
        <v>Uue põlvkonna hädaabiteadete menetlemise infosüsteemi (SOS3) realiseerimine</v>
      </c>
      <c r="E193" s="744" t="str">
        <f>'kuni 2025 detsember tegevuskava'!K102</f>
        <v xml:space="preserve">Tagatud on jätkusuutlikus HKSOS arendamisele (sh. logistiku ja päästekorraldaja töövood). Kogu taotletav ressurss (2 arendajat (front- ja back-end), devOps insener ja süsteemianalüütik) on vajalik infosüsteemide arenduseks, mis toetavad 112 teenust. </v>
      </c>
      <c r="F193" s="744" t="str">
        <f>'kuni 2025 detsember tegevuskava'!P102&amp;"/"</f>
        <v>SF 21-27 (taotletav raha)/</v>
      </c>
      <c r="G193" s="647" cm="1">
        <f t="array" ref="G193">_xlfn.IFS('kuni 2025 detsember tegevuskava'!G102='kuni 2025 detsember tegevuskava'!$G$151,1,'kuni 2025 detsember tegevuskava'!G102='kuni 2025 detsember tegevuskava'!$G$152,2,'kuni 2025 detsember tegevuskava'!G102='kuni 2025 detsember tegevuskava'!$G$153,3,'kuni 2025 detsember tegevuskava'!G102='kuni 2025 detsember tegevuskava'!$G$154,4)</f>
        <v>1</v>
      </c>
      <c r="H193" s="354" cm="1">
        <f t="array" ref="H193">_xlfn.IFS(OR('kuni 2025 detsember tegevuskava'!P102='kuni 2025 detsember tegevuskava'!$P$151,'kuni 2025 detsember tegevuskava'!P102='kuni 2025 detsember tegevuskava'!$P$153,'kuni 2025 detsember tegevuskava'!P102='kuni 2025 detsember tegevuskava'!$P$154,'kuni 2025 detsember tegevuskava'!P102='kuni 2025 detsember tegevuskava'!$P$155),1,'kuni 2025 detsember tegevuskava'!P102='kuni 2025 detsember tegevuskava'!$P$156,2,'kuni 2025 detsember tegevuskava'!P102='kuni 2025 detsember tegevuskava'!$P$157,2,'kuni 2025 detsember tegevuskava'!P102='kuni 2025 detsember tegevuskava'!$P$152,3)</f>
        <v>2</v>
      </c>
      <c r="I193" s="110">
        <f>SUM(I194:I194)</f>
        <v>190156</v>
      </c>
      <c r="J193" s="111"/>
      <c r="K193" s="71">
        <f>SUM(K194:K194)</f>
        <v>0</v>
      </c>
      <c r="L193" s="73"/>
      <c r="M193" s="110">
        <f>SUM(M194:M194)</f>
        <v>0</v>
      </c>
      <c r="N193" s="111"/>
      <c r="O193" s="71">
        <f>SUM(O194:O194)</f>
        <v>190156</v>
      </c>
      <c r="P193" s="75"/>
    </row>
    <row r="194" spans="2:16" ht="17.25" x14ac:dyDescent="0.25">
      <c r="B194" s="738"/>
      <c r="C194" s="745"/>
      <c r="D194" s="745"/>
      <c r="E194" s="745"/>
      <c r="F194" s="745"/>
      <c r="G194" s="636"/>
      <c r="H194" s="391"/>
      <c r="I194" s="88">
        <f>SUM(K194+M194+O194)</f>
        <v>190156</v>
      </c>
      <c r="J194" s="89" t="str">
        <f>"(50)"</f>
        <v>(50)</v>
      </c>
      <c r="K194" s="657">
        <f>'kuni 2025 detsember tegevuskava'!Y102</f>
        <v>0</v>
      </c>
      <c r="L194" s="644" t="str">
        <f>"(50)"</f>
        <v>(50)</v>
      </c>
      <c r="M194" s="88">
        <f>'kuni 2025 detsember tegevuskava'!AB102</f>
        <v>0</v>
      </c>
      <c r="N194" s="89" t="str">
        <f>"(50)"</f>
        <v>(50)</v>
      </c>
      <c r="O194" s="657">
        <f>'kuni 2025 detsember tegevuskava'!AE102</f>
        <v>190156</v>
      </c>
      <c r="P194" s="77" t="str">
        <f>"(50)"</f>
        <v>(50)</v>
      </c>
    </row>
    <row r="195" spans="2:16" ht="17.25" x14ac:dyDescent="0.25">
      <c r="B195" s="738"/>
      <c r="C195" s="745"/>
      <c r="D195" s="745"/>
      <c r="E195" s="745"/>
      <c r="F195" s="745"/>
      <c r="G195" s="636"/>
      <c r="H195" s="391"/>
      <c r="I195" s="127" t="s">
        <v>534</v>
      </c>
      <c r="J195" s="130"/>
      <c r="K195" s="130"/>
      <c r="L195" s="130"/>
      <c r="M195" s="130"/>
      <c r="N195" s="130"/>
      <c r="O195" s="130"/>
      <c r="P195" s="131"/>
    </row>
    <row r="196" spans="2:16" ht="17.25" x14ac:dyDescent="0.25">
      <c r="B196" s="738"/>
      <c r="C196" s="745"/>
      <c r="D196" s="745"/>
      <c r="E196" s="745"/>
      <c r="F196" s="745"/>
      <c r="G196" s="636"/>
      <c r="H196" s="391"/>
      <c r="I196" s="126">
        <f>SUM(I197:I197)</f>
        <v>190156</v>
      </c>
      <c r="J196" s="89"/>
      <c r="K196" s="642">
        <f>SUM(K197:K197)</f>
        <v>0</v>
      </c>
      <c r="L196" s="643"/>
      <c r="M196" s="126">
        <f>SUM(M197:M197)</f>
        <v>0</v>
      </c>
      <c r="N196" s="123"/>
      <c r="O196" s="126">
        <f>SUM(O197:O197)</f>
        <v>190156</v>
      </c>
      <c r="P196" s="62"/>
    </row>
    <row r="197" spans="2:16" ht="28.5" customHeight="1" thickBot="1" x14ac:dyDescent="0.3">
      <c r="B197" s="739"/>
      <c r="C197" s="746"/>
      <c r="D197" s="746"/>
      <c r="E197" s="746"/>
      <c r="F197" s="746"/>
      <c r="G197" s="651"/>
      <c r="H197" s="353"/>
      <c r="I197" s="108">
        <f>SUM(K197+M197+O197)</f>
        <v>190156</v>
      </c>
      <c r="J197" s="109" t="str">
        <f>"(50)"</f>
        <v>(50)</v>
      </c>
      <c r="K197" s="82">
        <f>K194</f>
        <v>0</v>
      </c>
      <c r="L197" s="83" t="str">
        <f>"(50)"</f>
        <v>(50)</v>
      </c>
      <c r="M197" s="108">
        <f>M194</f>
        <v>0</v>
      </c>
      <c r="N197" s="109" t="str">
        <f>"(50)"</f>
        <v>(50)</v>
      </c>
      <c r="O197" s="108">
        <f>O194</f>
        <v>190156</v>
      </c>
      <c r="P197" s="84" t="str">
        <f>"(50)"</f>
        <v>(50)</v>
      </c>
    </row>
    <row r="198" spans="2:16" ht="17.25" x14ac:dyDescent="0.25">
      <c r="B198" s="737" t="str">
        <f>'kuni 2025 detsember tegevuskava'!A114&amp;"/"&amp;'kuni 2025 detsember tegevuskava'!C114</f>
        <v>Siseministeerium /SMIT</v>
      </c>
      <c r="C198" s="744"/>
      <c r="D198" s="744" t="str">
        <f>'kuni 2025 detsember tegevuskava'!J114</f>
        <v>Kriisiaegse infovahetusplatvormi SitRep keskkonna arendamine . 2923 ja 2024 rahastus on tagatud lisaeelarvest (kriisideks valmisolek).</v>
      </c>
      <c r="E198" s="744" t="str">
        <f>'kuni 2025 detsember tegevuskava'!K114</f>
        <v>2023 ja 2024 tagatakse ärikriitiline teenus- dubleeritud mitmesse andmekeskusesse, läbi on viidud on turvatestid, andmete säilitamine ja arhiveerimine on viidud äripoole nõuetele vastavaks. 2023: Loodud on ühistööriist (collaboration-tool) võimaldades mitmel kasutajal sama aegselt infosisestust. Selle tulemusel on loobutud litsentsitootest. Võimalik erinevatest keskkondadest tuua live kaardipilti (nt elektrikatkestuste kaart, Tarktee, Ilmahoiatused)
Objektiotsingu lisamine.</v>
      </c>
      <c r="F198" s="744" t="str">
        <f>'kuni 2025 detsember tegevuskava'!P114&amp;"/"</f>
        <v>Muu rahastus/</v>
      </c>
      <c r="G198" s="647" cm="1">
        <f t="array" ref="G198">_xlfn.IFS('kuni 2025 detsember tegevuskava'!G114='kuni 2025 detsember tegevuskava'!$G$151,1,'kuni 2025 detsember tegevuskava'!G114='kuni 2025 detsember tegevuskava'!$G$152,2,'kuni 2025 detsember tegevuskava'!G114='kuni 2025 detsember tegevuskava'!$G$153,3,'kuni 2025 detsember tegevuskava'!G114='kuni 2025 detsember tegevuskava'!$G$154,4)</f>
        <v>1</v>
      </c>
      <c r="H198" s="354" cm="1">
        <f t="array" ref="H198">_xlfn.IFS(OR('kuni 2025 detsember tegevuskava'!P114='kuni 2025 detsember tegevuskava'!$P$151,'kuni 2025 detsember tegevuskava'!P114='kuni 2025 detsember tegevuskava'!$P$153,'kuni 2025 detsember tegevuskava'!P114='kuni 2025 detsember tegevuskava'!$P$154,'kuni 2025 detsember tegevuskava'!P114='kuni 2025 detsember tegevuskava'!$P$155),1,'kuni 2025 detsember tegevuskava'!P114='kuni 2025 detsember tegevuskava'!$P$156,2,'kuni 2025 detsember tegevuskava'!P114='kuni 2025 detsember tegevuskava'!$P$157,2,'kuni 2025 detsember tegevuskava'!P114='kuni 2025 detsember tegevuskava'!$P$152,3)</f>
        <v>3</v>
      </c>
      <c r="I198" s="110">
        <f>SUM(I199:I199)</f>
        <v>224000</v>
      </c>
      <c r="J198" s="111"/>
      <c r="K198" s="71">
        <f>SUM(K199:K199)</f>
        <v>0</v>
      </c>
      <c r="L198" s="73"/>
      <c r="M198" s="110">
        <f>SUM(M199:M199)</f>
        <v>112000</v>
      </c>
      <c r="N198" s="111"/>
      <c r="O198" s="71">
        <f>SUM(O199:O199)</f>
        <v>112000</v>
      </c>
      <c r="P198" s="75"/>
    </row>
    <row r="199" spans="2:16" ht="17.25" x14ac:dyDescent="0.25">
      <c r="B199" s="738"/>
      <c r="C199" s="745"/>
      <c r="D199" s="745"/>
      <c r="E199" s="745"/>
      <c r="F199" s="745"/>
      <c r="G199" s="636"/>
      <c r="H199" s="391"/>
      <c r="I199" s="88">
        <f>SUM(K199+M199+O199)</f>
        <v>224000</v>
      </c>
      <c r="J199" s="89" t="str">
        <f>"(15)"</f>
        <v>(15)</v>
      </c>
      <c r="K199" s="657">
        <f>'kuni 2025 detsember tegevuskava'!X114</f>
        <v>0</v>
      </c>
      <c r="L199" s="644" t="str">
        <f>"(15)"</f>
        <v>(15)</v>
      </c>
      <c r="M199" s="88">
        <f>'kuni 2025 detsember tegevuskava'!AA114</f>
        <v>112000</v>
      </c>
      <c r="N199" s="89" t="str">
        <f>"(15)"</f>
        <v>(15)</v>
      </c>
      <c r="O199" s="657">
        <f>'kuni 2025 detsember tegevuskava'!AD114</f>
        <v>112000</v>
      </c>
      <c r="P199" s="77" t="str">
        <f>"(15)"</f>
        <v>(15)</v>
      </c>
    </row>
    <row r="200" spans="2:16" ht="17.25" x14ac:dyDescent="0.25">
      <c r="B200" s="738"/>
      <c r="C200" s="745"/>
      <c r="D200" s="745"/>
      <c r="E200" s="745"/>
      <c r="F200" s="745"/>
      <c r="G200" s="636"/>
      <c r="H200" s="391"/>
      <c r="I200" s="119" t="s">
        <v>534</v>
      </c>
      <c r="J200" s="8"/>
      <c r="K200" s="8"/>
      <c r="L200" s="8"/>
      <c r="M200" s="8"/>
      <c r="N200" s="8"/>
      <c r="O200" s="8"/>
      <c r="P200" s="121"/>
    </row>
    <row r="201" spans="2:16" ht="17.25" x14ac:dyDescent="0.25">
      <c r="B201" s="738"/>
      <c r="C201" s="745"/>
      <c r="D201" s="745"/>
      <c r="E201" s="745"/>
      <c r="F201" s="745"/>
      <c r="G201" s="636"/>
      <c r="H201" s="391"/>
      <c r="I201" s="86">
        <f>SUM(I202:I202)</f>
        <v>273280</v>
      </c>
      <c r="J201" s="87"/>
      <c r="K201" s="80">
        <f>SUM(K202:K202)</f>
        <v>0</v>
      </c>
      <c r="L201" s="81"/>
      <c r="M201" s="86">
        <f>SUM(M202:M202)</f>
        <v>136640</v>
      </c>
      <c r="N201" s="92"/>
      <c r="O201" s="86">
        <f>SUM(O202:O202)</f>
        <v>136640</v>
      </c>
      <c r="P201" s="112"/>
    </row>
    <row r="202" spans="2:16" ht="120" customHeight="1" thickBot="1" x14ac:dyDescent="0.3">
      <c r="B202" s="739"/>
      <c r="C202" s="746"/>
      <c r="D202" s="746"/>
      <c r="E202" s="746"/>
      <c r="F202" s="746"/>
      <c r="G202" s="651"/>
      <c r="H202" s="353"/>
      <c r="I202" s="108">
        <f>SUM(K202+M202+O202)</f>
        <v>273280</v>
      </c>
      <c r="J202" s="109" t="str">
        <f>"(15)"</f>
        <v>(15)</v>
      </c>
      <c r="K202" s="82">
        <f>SUM(K199*1.2)</f>
        <v>0</v>
      </c>
      <c r="L202" s="83" t="str">
        <f>"(15)"</f>
        <v>(15)</v>
      </c>
      <c r="M202" s="108">
        <f>SUM(M199*1.22)</f>
        <v>136640</v>
      </c>
      <c r="N202" s="109" t="str">
        <f>"(15)"</f>
        <v>(15)</v>
      </c>
      <c r="O202" s="108">
        <f>SUM(O199*1.22)</f>
        <v>136640</v>
      </c>
      <c r="P202" s="84" t="str">
        <f>"(15)"</f>
        <v>(15)</v>
      </c>
    </row>
    <row r="203" spans="2:16" ht="17.25" x14ac:dyDescent="0.25">
      <c r="B203" s="737" t="str">
        <f>'kuni 2025 detsember tegevuskava'!A115&amp;"/"&amp;'kuni 2025 detsember tegevuskava'!C115</f>
        <v>Siseministeerium /SMIT</v>
      </c>
      <c r="C203" s="744"/>
      <c r="D203" s="744" t="str">
        <f>'kuni 2025 detsember tegevuskava'!J115</f>
        <v>SitRep baasrahastuse suurendamine</v>
      </c>
      <c r="E203" s="744" t="str">
        <f>'kuni 2025 detsember tegevuskava'!K115</f>
        <v>Tagatud on SitRep keskkonna toetamiseks vajaminev ressurss SMITis ja teenuse taseme tõstmine ärikriitilisiseks.</v>
      </c>
      <c r="F203" s="744" t="str">
        <f>'kuni 2025 detsember tegevuskava'!P115&amp;"/"</f>
        <v>RES IKT (vaja juurde taotleda)/</v>
      </c>
      <c r="G203" s="647" cm="1">
        <f t="array" ref="G203">_xlfn.IFS('kuni 2025 detsember tegevuskava'!G115='kuni 2025 detsember tegevuskava'!$G$151,1,'kuni 2025 detsember tegevuskava'!G115='kuni 2025 detsember tegevuskava'!$G$152,2,'kuni 2025 detsember tegevuskava'!G115='kuni 2025 detsember tegevuskava'!$G$153,3,'kuni 2025 detsember tegevuskava'!G115='kuni 2025 detsember tegevuskava'!$G$154,4)</f>
        <v>2</v>
      </c>
      <c r="H203" s="354" cm="1">
        <f t="array" ref="H203">_xlfn.IFS(OR('kuni 2025 detsember tegevuskava'!P115='kuni 2025 detsember tegevuskava'!$P$151,'kuni 2025 detsember tegevuskava'!P115='kuni 2025 detsember tegevuskava'!$P$153,'kuni 2025 detsember tegevuskava'!P115='kuni 2025 detsember tegevuskava'!$P$154,'kuni 2025 detsember tegevuskava'!P115='kuni 2025 detsember tegevuskava'!$P$155),1,'kuni 2025 detsember tegevuskava'!P115='kuni 2025 detsember tegevuskava'!$P$156,2,'kuni 2025 detsember tegevuskava'!P115='kuni 2025 detsember tegevuskava'!$P$157,2,'kuni 2025 detsember tegevuskava'!P115='kuni 2025 detsember tegevuskava'!$P$152,3)</f>
        <v>1</v>
      </c>
      <c r="I203" s="110">
        <f>SUM(I204:I206)</f>
        <v>1311044</v>
      </c>
      <c r="J203" s="111"/>
      <c r="K203" s="71">
        <f>SUM(K204:K206)</f>
        <v>0</v>
      </c>
      <c r="L203" s="73"/>
      <c r="M203" s="110">
        <f>SUM(M204:M206)</f>
        <v>446308</v>
      </c>
      <c r="N203" s="111"/>
      <c r="O203" s="71">
        <f>SUM(O204:O206)</f>
        <v>864736</v>
      </c>
      <c r="P203" s="75"/>
    </row>
    <row r="204" spans="2:16" ht="17.25" x14ac:dyDescent="0.25">
      <c r="B204" s="738"/>
      <c r="C204" s="745"/>
      <c r="D204" s="745"/>
      <c r="E204" s="745"/>
      <c r="F204" s="745"/>
      <c r="G204" s="636"/>
      <c r="H204" s="391"/>
      <c r="I204" s="88">
        <f>SUM(K204+M204+O204)</f>
        <v>1199384</v>
      </c>
      <c r="J204" s="89" t="str">
        <f>"(15)"</f>
        <v>(15)</v>
      </c>
      <c r="K204" s="657">
        <f>'kuni 2025 detsember tegevuskava'!X115</f>
        <v>0</v>
      </c>
      <c r="L204" s="644" t="str">
        <f>"(15)"</f>
        <v>(15)</v>
      </c>
      <c r="M204" s="88">
        <f>'kuni 2025 detsember tegevuskava'!AA115</f>
        <v>415480</v>
      </c>
      <c r="N204" s="89" t="str">
        <f>"(15)"</f>
        <v>(15)</v>
      </c>
      <c r="O204" s="657">
        <f>'kuni 2025 detsember tegevuskava'!AD115</f>
        <v>783904</v>
      </c>
      <c r="P204" s="77" t="str">
        <f>"(15)"</f>
        <v>(15)</v>
      </c>
    </row>
    <row r="205" spans="2:16" ht="17.25" x14ac:dyDescent="0.25">
      <c r="B205" s="738"/>
      <c r="C205" s="745"/>
      <c r="D205" s="745"/>
      <c r="E205" s="745"/>
      <c r="F205" s="745"/>
      <c r="G205" s="636"/>
      <c r="H205" s="391"/>
      <c r="I205" s="88">
        <f>SUM(K205+M205+O205)</f>
        <v>70909</v>
      </c>
      <c r="J205" s="89" t="str">
        <f>"(50)"</f>
        <v>(50)</v>
      </c>
      <c r="K205" s="657">
        <f>'kuni 2025 detsember tegevuskava'!Y115</f>
        <v>0</v>
      </c>
      <c r="L205" s="644" t="str">
        <f>"(50)"</f>
        <v>(50)</v>
      </c>
      <c r="M205" s="88">
        <f>'kuni 2025 detsember tegevuskava'!AB115</f>
        <v>10704</v>
      </c>
      <c r="N205" s="89" t="str">
        <f>"(50)"</f>
        <v>(50)</v>
      </c>
      <c r="O205" s="657">
        <f>'kuni 2025 detsember tegevuskava'!AE115</f>
        <v>60205</v>
      </c>
      <c r="P205" s="77" t="str">
        <f>"(50)"</f>
        <v>(50)</v>
      </c>
    </row>
    <row r="206" spans="2:16" ht="17.25" x14ac:dyDescent="0.25">
      <c r="B206" s="738"/>
      <c r="C206" s="745"/>
      <c r="D206" s="745"/>
      <c r="E206" s="745"/>
      <c r="F206" s="745"/>
      <c r="G206" s="636"/>
      <c r="H206" s="391"/>
      <c r="I206" s="90">
        <f>SUM(K206+M206+O206)</f>
        <v>40751</v>
      </c>
      <c r="J206" s="91" t="str">
        <f>"(55)"</f>
        <v>(55)</v>
      </c>
      <c r="K206" s="85">
        <f>'kuni 2025 detsember tegevuskava'!Z115</f>
        <v>0</v>
      </c>
      <c r="L206" s="78" t="str">
        <f>"(55)"</f>
        <v>(55)</v>
      </c>
      <c r="M206" s="90">
        <f>'kuni 2025 detsember tegevuskava'!AC115</f>
        <v>20124</v>
      </c>
      <c r="N206" s="91" t="str">
        <f>"(55)"</f>
        <v>(55)</v>
      </c>
      <c r="O206" s="85">
        <f>'kuni 2025 detsember tegevuskava'!AF115</f>
        <v>20627</v>
      </c>
      <c r="P206" s="79" t="str">
        <f>"(55)"</f>
        <v>(55)</v>
      </c>
    </row>
    <row r="207" spans="2:16" ht="17.25" x14ac:dyDescent="0.25">
      <c r="B207" s="738"/>
      <c r="C207" s="745"/>
      <c r="D207" s="745"/>
      <c r="E207" s="745"/>
      <c r="F207" s="745"/>
      <c r="G207" s="636"/>
      <c r="H207" s="391"/>
      <c r="I207" s="119" t="s">
        <v>534</v>
      </c>
      <c r="J207" s="8"/>
      <c r="K207" s="8"/>
      <c r="L207" s="8"/>
      <c r="M207" s="8"/>
      <c r="N207" s="8"/>
      <c r="O207" s="8"/>
      <c r="P207" s="121"/>
    </row>
    <row r="208" spans="2:16" ht="17.25" x14ac:dyDescent="0.25">
      <c r="B208" s="738"/>
      <c r="C208" s="745"/>
      <c r="D208" s="745"/>
      <c r="E208" s="745"/>
      <c r="F208" s="745"/>
      <c r="G208" s="636"/>
      <c r="H208" s="391"/>
      <c r="I208" s="86">
        <f>SUM(I209:I211)</f>
        <v>1583873.7</v>
      </c>
      <c r="J208" s="87"/>
      <c r="K208" s="80">
        <f>SUM(K209:K211)</f>
        <v>0</v>
      </c>
      <c r="L208" s="81"/>
      <c r="M208" s="86">
        <f>SUM(M209:M211)</f>
        <v>542140.88</v>
      </c>
      <c r="N208" s="92"/>
      <c r="O208" s="86">
        <f>SUM(O209:O211)</f>
        <v>1041732.82</v>
      </c>
      <c r="P208" s="112"/>
    </row>
    <row r="209" spans="2:16" ht="17.25" x14ac:dyDescent="0.25">
      <c r="B209" s="738"/>
      <c r="C209" s="745"/>
      <c r="D209" s="745"/>
      <c r="E209" s="745"/>
      <c r="F209" s="745"/>
      <c r="G209" s="636"/>
      <c r="H209" s="391"/>
      <c r="I209" s="88">
        <f>SUM(K209+M209+O209)</f>
        <v>1463248.48</v>
      </c>
      <c r="J209" s="89" t="str">
        <f>"(15)"</f>
        <v>(15)</v>
      </c>
      <c r="K209" s="657">
        <f>SUM(K204*1.2)</f>
        <v>0</v>
      </c>
      <c r="L209" s="644" t="str">
        <f>"(15)"</f>
        <v>(15)</v>
      </c>
      <c r="M209" s="88">
        <f>SUM(M204*1.22)</f>
        <v>506885.6</v>
      </c>
      <c r="N209" s="89" t="str">
        <f>"(15)"</f>
        <v>(15)</v>
      </c>
      <c r="O209" s="88">
        <f>SUM(O204*1.22)</f>
        <v>956362.88</v>
      </c>
      <c r="P209" s="77" t="str">
        <f>"(15)"</f>
        <v>(15)</v>
      </c>
    </row>
    <row r="210" spans="2:16" ht="17.25" x14ac:dyDescent="0.25">
      <c r="B210" s="738"/>
      <c r="C210" s="745"/>
      <c r="D210" s="745"/>
      <c r="E210" s="745"/>
      <c r="F210" s="745"/>
      <c r="G210" s="636"/>
      <c r="H210" s="391"/>
      <c r="I210" s="88">
        <f>SUM(K210+M210+O210)</f>
        <v>70909</v>
      </c>
      <c r="J210" s="89" t="str">
        <f>"(50)"</f>
        <v>(50)</v>
      </c>
      <c r="K210" s="657">
        <f>K205</f>
        <v>0</v>
      </c>
      <c r="L210" s="644" t="str">
        <f>"(50)"</f>
        <v>(50)</v>
      </c>
      <c r="M210" s="88">
        <f>M205</f>
        <v>10704</v>
      </c>
      <c r="N210" s="89" t="str">
        <f>"(50)"</f>
        <v>(50)</v>
      </c>
      <c r="O210" s="88">
        <f>O205</f>
        <v>60205</v>
      </c>
      <c r="P210" s="77" t="str">
        <f>"(50)"</f>
        <v>(50)</v>
      </c>
    </row>
    <row r="211" spans="2:16" ht="18" thickBot="1" x14ac:dyDescent="0.3">
      <c r="B211" s="739"/>
      <c r="C211" s="746"/>
      <c r="D211" s="746"/>
      <c r="E211" s="746"/>
      <c r="F211" s="746"/>
      <c r="G211" s="651"/>
      <c r="H211" s="353"/>
      <c r="I211" s="108">
        <f>SUM(K211+M211+O211)</f>
        <v>49716.22</v>
      </c>
      <c r="J211" s="109" t="str">
        <f>"(55)"</f>
        <v>(55)</v>
      </c>
      <c r="K211" s="82">
        <f>SUM(K206*1.2)</f>
        <v>0</v>
      </c>
      <c r="L211" s="83" t="str">
        <f>"(55)"</f>
        <v>(55)</v>
      </c>
      <c r="M211" s="108">
        <f>SUM(M206*1.22)</f>
        <v>24551.279999999999</v>
      </c>
      <c r="N211" s="109" t="str">
        <f>"(55)"</f>
        <v>(55)</v>
      </c>
      <c r="O211" s="108">
        <f>SUM(O206*1.22)</f>
        <v>25164.94</v>
      </c>
      <c r="P211" s="84" t="str">
        <f>"(55)"</f>
        <v>(55)</v>
      </c>
    </row>
    <row r="212" spans="2:16" ht="17.25" x14ac:dyDescent="0.25">
      <c r="B212" s="737" t="str">
        <f>'kuni 2025 detsember tegevuskava'!A116&amp;"/"&amp;'kuni 2025 detsember tegevuskava'!C116</f>
        <v>Siseministeerium /SMIT</v>
      </c>
      <c r="C212" s="744"/>
      <c r="D212" s="744" t="str">
        <f>'kuni 2025 detsember tegevuskava'!J116</f>
        <v>Kriisiaegse infovahetusplatvormi SitRep keskkonna arendamine</v>
      </c>
      <c r="E212" s="744" t="str">
        <f>'kuni 2025 detsember tegevuskava'!K116</f>
        <v>2023 ja 2024 tagatakse ärikriitiline teenus- dubleeritud mitmesse andmekeskusesse, läbi on viidud on turvatestid, andmete säilitamine ja arhiveerimine on viidud äripoole nõuetele vastavaks. 2023: Loodud on ühistööriist (collaboration-tool) võimaldades mitmel kasutajal sama aegselt infosisestust. Selle tulemusel on loobutud litsentsitootest. Võimalik erinevatest keskkondadest tuua live kaardipilti (nt elektrikatkestuste kaart, Tarktee, Ilmahoiatused)
Objektiotsingu lisamine.</v>
      </c>
      <c r="F212" s="744" t="str">
        <f>'kuni 2025 detsember tegevuskava'!P116&amp;"/"</f>
        <v>Muu rahastus/</v>
      </c>
      <c r="G212" s="647" cm="1">
        <f t="array" ref="G212">_xlfn.IFS('kuni 2025 detsember tegevuskava'!G116='kuni 2025 detsember tegevuskava'!$G$151,1,'kuni 2025 detsember tegevuskava'!G116='kuni 2025 detsember tegevuskava'!$G$152,2,'kuni 2025 detsember tegevuskava'!G116='kuni 2025 detsember tegevuskava'!$G$153,3,'kuni 2025 detsember tegevuskava'!G116='kuni 2025 detsember tegevuskava'!$G$154,4)</f>
        <v>1</v>
      </c>
      <c r="H212" s="354" cm="1">
        <f t="array" ref="H212">_xlfn.IFS(OR('kuni 2025 detsember tegevuskava'!P116='kuni 2025 detsember tegevuskava'!$P$151,'kuni 2025 detsember tegevuskava'!P116='kuni 2025 detsember tegevuskava'!$P$153,'kuni 2025 detsember tegevuskava'!P116='kuni 2025 detsember tegevuskava'!$P$154,'kuni 2025 detsember tegevuskava'!P116='kuni 2025 detsember tegevuskava'!$P$155),1,'kuni 2025 detsember tegevuskava'!P116='kuni 2025 detsember tegevuskava'!$P$156,2,'kuni 2025 detsember tegevuskava'!P116='kuni 2025 detsember tegevuskava'!$P$157,2,'kuni 2025 detsember tegevuskava'!P116='kuni 2025 detsember tegevuskava'!$P$152,3)</f>
        <v>3</v>
      </c>
      <c r="I212" s="110">
        <f>SUM(I213:I213)</f>
        <v>112000</v>
      </c>
      <c r="J212" s="111"/>
      <c r="K212" s="71">
        <f>SUM(K213:K213)</f>
        <v>0</v>
      </c>
      <c r="L212" s="73"/>
      <c r="M212" s="110">
        <f>SUM(M213:M213)</f>
        <v>0</v>
      </c>
      <c r="N212" s="111"/>
      <c r="O212" s="71">
        <f>SUM(O213:O213)</f>
        <v>112000</v>
      </c>
      <c r="P212" s="75"/>
    </row>
    <row r="213" spans="2:16" ht="17.25" x14ac:dyDescent="0.25">
      <c r="B213" s="738"/>
      <c r="C213" s="745"/>
      <c r="D213" s="745"/>
      <c r="E213" s="745"/>
      <c r="F213" s="745"/>
      <c r="G213" s="636"/>
      <c r="H213" s="391"/>
      <c r="I213" s="88">
        <f>SUM(K213+M213+O213)</f>
        <v>112000</v>
      </c>
      <c r="J213" s="89" t="str">
        <f>"(15)"</f>
        <v>(15)</v>
      </c>
      <c r="K213" s="657">
        <f>'kuni 2025 detsember tegevuskava'!X116</f>
        <v>0</v>
      </c>
      <c r="L213" s="644" t="str">
        <f>"(15)"</f>
        <v>(15)</v>
      </c>
      <c r="M213" s="88">
        <f>'kuni 2025 detsember tegevuskava'!AA116</f>
        <v>0</v>
      </c>
      <c r="N213" s="89" t="str">
        <f>"(15)"</f>
        <v>(15)</v>
      </c>
      <c r="O213" s="657">
        <f>'kuni 2025 detsember tegevuskava'!AD116</f>
        <v>112000</v>
      </c>
      <c r="P213" s="77" t="str">
        <f>"(15)"</f>
        <v>(15)</v>
      </c>
    </row>
    <row r="214" spans="2:16" ht="17.25" x14ac:dyDescent="0.25">
      <c r="B214" s="738"/>
      <c r="C214" s="745"/>
      <c r="D214" s="745"/>
      <c r="E214" s="745"/>
      <c r="F214" s="745"/>
      <c r="G214" s="636"/>
      <c r="H214" s="391"/>
      <c r="I214" s="127" t="s">
        <v>534</v>
      </c>
      <c r="J214" s="130"/>
      <c r="K214" s="130"/>
      <c r="L214" s="130"/>
      <c r="M214" s="130"/>
      <c r="N214" s="130"/>
      <c r="O214" s="130"/>
      <c r="P214" s="131"/>
    </row>
    <row r="215" spans="2:16" ht="17.25" x14ac:dyDescent="0.25">
      <c r="B215" s="738"/>
      <c r="C215" s="745"/>
      <c r="D215" s="745"/>
      <c r="E215" s="745"/>
      <c r="F215" s="745"/>
      <c r="G215" s="636"/>
      <c r="H215" s="391"/>
      <c r="I215" s="126">
        <f>SUM(I216:I216)</f>
        <v>136640</v>
      </c>
      <c r="J215" s="89"/>
      <c r="K215" s="642">
        <f>SUM(K216:K216)</f>
        <v>0</v>
      </c>
      <c r="L215" s="643"/>
      <c r="M215" s="126">
        <f>SUM(M216:M216)</f>
        <v>0</v>
      </c>
      <c r="N215" s="123"/>
      <c r="O215" s="126">
        <f>SUM(O216:O216)</f>
        <v>136640</v>
      </c>
      <c r="P215" s="62"/>
    </row>
    <row r="216" spans="2:16" ht="124.5" customHeight="1" thickBot="1" x14ac:dyDescent="0.3">
      <c r="B216" s="739"/>
      <c r="C216" s="746"/>
      <c r="D216" s="746"/>
      <c r="E216" s="746"/>
      <c r="F216" s="746"/>
      <c r="G216" s="651"/>
      <c r="H216" s="353"/>
      <c r="I216" s="108">
        <f>SUM(K216+M216+O216)</f>
        <v>136640</v>
      </c>
      <c r="J216" s="109" t="str">
        <f>"(15)"</f>
        <v>(15)</v>
      </c>
      <c r="K216" s="82">
        <f>SUM(K213*1.2)</f>
        <v>0</v>
      </c>
      <c r="L216" s="83" t="str">
        <f>"(15)"</f>
        <v>(15)</v>
      </c>
      <c r="M216" s="108">
        <f>SUM(M213*1.22)</f>
        <v>0</v>
      </c>
      <c r="N216" s="109" t="str">
        <f>"(15)"</f>
        <v>(15)</v>
      </c>
      <c r="O216" s="108">
        <f>SUM(O213*1.22)</f>
        <v>136640</v>
      </c>
      <c r="P216" s="84" t="str">
        <f>"(15)"</f>
        <v>(15)</v>
      </c>
    </row>
    <row r="217" spans="2:16" ht="17.25" x14ac:dyDescent="0.25">
      <c r="B217" s="737" t="str">
        <f>'kuni 2025 detsember tegevuskava'!A129&amp;"/"&amp;'kuni 2025 detsember tegevuskava'!C129</f>
        <v>Siseministeerium /SMIT/PPA</v>
      </c>
      <c r="C217" s="744"/>
      <c r="D217" s="744" t="str">
        <f>'kuni 2025 detsember tegevuskava'!J129</f>
        <v>Migratsioonijärelevalve andmekogu MIGIS II etapi arendused</v>
      </c>
      <c r="E217" s="744"/>
      <c r="F217" s="744" t="str">
        <f>'kuni 2025 detsember tegevuskava'!P129&amp;"/"</f>
        <v>SF 21-27 (taotletav raha)/</v>
      </c>
      <c r="G217" s="647" cm="1">
        <f t="array" ref="G217">_xlfn.IFS('kuni 2025 detsember tegevuskava'!G129='kuni 2025 detsember tegevuskava'!$G$151,1,'kuni 2025 detsember tegevuskava'!G129='kuni 2025 detsember tegevuskava'!$G$152,2,'kuni 2025 detsember tegevuskava'!G129='kuni 2025 detsember tegevuskava'!$G$153,3,'kuni 2025 detsember tegevuskava'!G129='kuni 2025 detsember tegevuskava'!$G$154,4)</f>
        <v>1</v>
      </c>
      <c r="H217" s="354" cm="1">
        <f t="array" ref="H217">_xlfn.IFS(OR('kuni 2025 detsember tegevuskava'!P129='kuni 2025 detsember tegevuskava'!$P$151,'kuni 2025 detsember tegevuskava'!P129='kuni 2025 detsember tegevuskava'!$P$153,'kuni 2025 detsember tegevuskava'!P129='kuni 2025 detsember tegevuskava'!$P$154,'kuni 2025 detsember tegevuskava'!P129='kuni 2025 detsember tegevuskava'!$P$155),1,'kuni 2025 detsember tegevuskava'!P129='kuni 2025 detsember tegevuskava'!$P$156,2,'kuni 2025 detsember tegevuskava'!P129='kuni 2025 detsember tegevuskava'!$P$157,2,'kuni 2025 detsember tegevuskava'!P129='kuni 2025 detsember tegevuskava'!$P$152,3)</f>
        <v>2</v>
      </c>
      <c r="I217" s="110">
        <f>SUM(I218:I218)</f>
        <v>320000</v>
      </c>
      <c r="J217" s="111"/>
      <c r="K217" s="71">
        <f>SUM(K218:K218)</f>
        <v>0</v>
      </c>
      <c r="L217" s="73"/>
      <c r="M217" s="110">
        <f>SUM(M218:M218)</f>
        <v>80000</v>
      </c>
      <c r="N217" s="111"/>
      <c r="O217" s="71">
        <f>SUM(O218:O218)</f>
        <v>240000</v>
      </c>
      <c r="P217" s="75"/>
    </row>
    <row r="218" spans="2:16" ht="17.25" x14ac:dyDescent="0.25">
      <c r="B218" s="738"/>
      <c r="C218" s="745"/>
      <c r="D218" s="745"/>
      <c r="E218" s="745"/>
      <c r="F218" s="745"/>
      <c r="G218" s="636"/>
      <c r="H218" s="391"/>
      <c r="I218" s="88">
        <f>SUM(K218+M218+O218)</f>
        <v>320000</v>
      </c>
      <c r="J218" s="89" t="str">
        <f>"(15)"</f>
        <v>(15)</v>
      </c>
      <c r="K218" s="657">
        <f>'kuni 2025 detsember tegevuskava'!X129</f>
        <v>0</v>
      </c>
      <c r="L218" s="644" t="str">
        <f>"(15)"</f>
        <v>(15)</v>
      </c>
      <c r="M218" s="88">
        <f>'kuni 2025 detsember tegevuskava'!AA129</f>
        <v>80000</v>
      </c>
      <c r="N218" s="89" t="str">
        <f>"(15)"</f>
        <v>(15)</v>
      </c>
      <c r="O218" s="657">
        <f>'kuni 2025 detsember tegevuskava'!AD129</f>
        <v>240000</v>
      </c>
      <c r="P218" s="77" t="str">
        <f>"(15)"</f>
        <v>(15)</v>
      </c>
    </row>
    <row r="219" spans="2:16" ht="17.25" x14ac:dyDescent="0.25">
      <c r="B219" s="738"/>
      <c r="C219" s="745"/>
      <c r="D219" s="745"/>
      <c r="E219" s="745"/>
      <c r="F219" s="745"/>
      <c r="G219" s="636"/>
      <c r="H219" s="391"/>
      <c r="I219" s="127" t="s">
        <v>534</v>
      </c>
      <c r="J219" s="130"/>
      <c r="K219" s="130"/>
      <c r="L219" s="130"/>
      <c r="M219" s="130"/>
      <c r="N219" s="130"/>
      <c r="O219" s="130"/>
      <c r="P219" s="131"/>
    </row>
    <row r="220" spans="2:16" ht="17.25" x14ac:dyDescent="0.25">
      <c r="B220" s="738"/>
      <c r="C220" s="745"/>
      <c r="D220" s="745"/>
      <c r="E220" s="745"/>
      <c r="F220" s="745"/>
      <c r="G220" s="636"/>
      <c r="H220" s="391"/>
      <c r="I220" s="126">
        <f>SUM(I221:I221)</f>
        <v>390400</v>
      </c>
      <c r="J220" s="89"/>
      <c r="K220" s="642">
        <f>SUM(K221:K221)</f>
        <v>0</v>
      </c>
      <c r="L220" s="643"/>
      <c r="M220" s="126">
        <f>SUM(M221:M221)</f>
        <v>97600</v>
      </c>
      <c r="N220" s="123"/>
      <c r="O220" s="126">
        <f>SUM(O221:O221)</f>
        <v>292800</v>
      </c>
      <c r="P220" s="62"/>
    </row>
    <row r="221" spans="2:16" ht="18" thickBot="1" x14ac:dyDescent="0.3">
      <c r="B221" s="739"/>
      <c r="C221" s="746"/>
      <c r="D221" s="746"/>
      <c r="E221" s="746"/>
      <c r="F221" s="746"/>
      <c r="G221" s="651"/>
      <c r="H221" s="353"/>
      <c r="I221" s="108">
        <f>SUM(K221+M221+O221)</f>
        <v>390400</v>
      </c>
      <c r="J221" s="109" t="str">
        <f>"(15)"</f>
        <v>(15)</v>
      </c>
      <c r="K221" s="82">
        <f>SUM(K218*1.2)</f>
        <v>0</v>
      </c>
      <c r="L221" s="83" t="str">
        <f>"(15)"</f>
        <v>(15)</v>
      </c>
      <c r="M221" s="108">
        <f>SUM(M218*1.22)</f>
        <v>97600</v>
      </c>
      <c r="N221" s="109" t="str">
        <f>"(15)"</f>
        <v>(15)</v>
      </c>
      <c r="O221" s="108">
        <f>SUM(O218*1.22)</f>
        <v>292800</v>
      </c>
      <c r="P221" s="84" t="str">
        <f>"(15)"</f>
        <v>(15)</v>
      </c>
    </row>
    <row r="222" spans="2:16" ht="17.25" x14ac:dyDescent="0.25">
      <c r="B222" s="737" t="str">
        <f>'kuni 2025 detsember tegevuskava'!A130&amp;"/"&amp;'kuni 2025 detsember tegevuskava'!C130</f>
        <v>Siseministeerium /Maksu- ja Tolliamet, RMIT</v>
      </c>
      <c r="C222" s="744"/>
      <c r="D222" s="744" t="str">
        <f>'kuni 2025 detsember tegevuskava'!J130</f>
        <v>RIS II etapp 2.osa: MTA liidestus, arendused</v>
      </c>
      <c r="E222" s="744" t="str">
        <f>'kuni 2025 detsember tegevuskava'!K130</f>
        <v xml:space="preserve">MTA arendused, et liidestuda RIS-iga ja toimiks andmevahetus. Tulemus: sündmusteenus: andmed regitreeritakse ühes kohas </v>
      </c>
      <c r="F222" s="744" t="str">
        <f>'kuni 2025 detsember tegevuskava'!P130&amp;"/"</f>
        <v>SF 21-27 (taotletav raha)/</v>
      </c>
      <c r="G222" s="647" cm="1">
        <f t="array" ref="G222">_xlfn.IFS('kuni 2025 detsember tegevuskava'!G130='kuni 2025 detsember tegevuskava'!$G$151,1,'kuni 2025 detsember tegevuskava'!G130='kuni 2025 detsember tegevuskava'!$G$152,2,'kuni 2025 detsember tegevuskava'!G130='kuni 2025 detsember tegevuskava'!$G$153,3,'kuni 2025 detsember tegevuskava'!G130='kuni 2025 detsember tegevuskava'!$G$154,4)</f>
        <v>1</v>
      </c>
      <c r="H222" s="354" cm="1">
        <f t="array" ref="H222">_xlfn.IFS(OR('kuni 2025 detsember tegevuskava'!P130='kuni 2025 detsember tegevuskava'!$P$151,'kuni 2025 detsember tegevuskava'!P130='kuni 2025 detsember tegevuskava'!$P$153,'kuni 2025 detsember tegevuskava'!P130='kuni 2025 detsember tegevuskava'!$P$154,'kuni 2025 detsember tegevuskava'!P130='kuni 2025 detsember tegevuskava'!$P$155),1,'kuni 2025 detsember tegevuskava'!P130='kuni 2025 detsember tegevuskava'!$P$156,2,'kuni 2025 detsember tegevuskava'!P130='kuni 2025 detsember tegevuskava'!$P$157,2,'kuni 2025 detsember tegevuskava'!P130='kuni 2025 detsember tegevuskava'!$P$152,3)</f>
        <v>2</v>
      </c>
      <c r="I222" s="110">
        <f>SUM(I223:I223)</f>
        <v>83334</v>
      </c>
      <c r="J222" s="111"/>
      <c r="K222" s="71">
        <f>SUM(K223:K223)</f>
        <v>0</v>
      </c>
      <c r="L222" s="73"/>
      <c r="M222" s="110">
        <f>SUM(M223:M223)</f>
        <v>33333.599999999999</v>
      </c>
      <c r="N222" s="111"/>
      <c r="O222" s="71">
        <f>SUM(O223:O223)</f>
        <v>50000.4</v>
      </c>
      <c r="P222" s="75"/>
    </row>
    <row r="223" spans="2:16" ht="17.25" x14ac:dyDescent="0.25">
      <c r="B223" s="738"/>
      <c r="C223" s="745"/>
      <c r="D223" s="745"/>
      <c r="E223" s="745"/>
      <c r="F223" s="745"/>
      <c r="G223" s="636"/>
      <c r="H223" s="391"/>
      <c r="I223" s="88">
        <f>SUM(K223+M223+O223)</f>
        <v>83334</v>
      </c>
      <c r="J223" s="89" t="str">
        <f>"(15)"</f>
        <v>(15)</v>
      </c>
      <c r="K223" s="657">
        <f>'kuni 2025 detsember tegevuskava'!X130</f>
        <v>0</v>
      </c>
      <c r="L223" s="644" t="str">
        <f>"(15)"</f>
        <v>(15)</v>
      </c>
      <c r="M223" s="88">
        <f>'kuni 2025 detsember tegevuskava'!AA130</f>
        <v>33333.599999999999</v>
      </c>
      <c r="N223" s="89" t="str">
        <f>"(15)"</f>
        <v>(15)</v>
      </c>
      <c r="O223" s="657">
        <f>'kuni 2025 detsember tegevuskava'!AD130</f>
        <v>50000.4</v>
      </c>
      <c r="P223" s="77" t="str">
        <f>"(15)"</f>
        <v>(15)</v>
      </c>
    </row>
    <row r="224" spans="2:16" ht="17.25" x14ac:dyDescent="0.25">
      <c r="B224" s="738"/>
      <c r="C224" s="745"/>
      <c r="D224" s="745"/>
      <c r="E224" s="745"/>
      <c r="F224" s="745"/>
      <c r="G224" s="636"/>
      <c r="H224" s="391"/>
      <c r="I224" s="127" t="s">
        <v>534</v>
      </c>
      <c r="J224" s="130"/>
      <c r="K224" s="130"/>
      <c r="L224" s="130"/>
      <c r="M224" s="130"/>
      <c r="N224" s="130"/>
      <c r="O224" s="130"/>
      <c r="P224" s="131"/>
    </row>
    <row r="225" spans="2:16" ht="17.25" x14ac:dyDescent="0.25">
      <c r="B225" s="738"/>
      <c r="C225" s="745"/>
      <c r="D225" s="745"/>
      <c r="E225" s="745"/>
      <c r="F225" s="745"/>
      <c r="G225" s="636"/>
      <c r="H225" s="391"/>
      <c r="I225" s="126">
        <f>SUM(I226:I226)</f>
        <v>101667.48</v>
      </c>
      <c r="J225" s="89"/>
      <c r="K225" s="642">
        <f>SUM(K226:K226)</f>
        <v>0</v>
      </c>
      <c r="L225" s="643"/>
      <c r="M225" s="126">
        <f>SUM(M226:M226)</f>
        <v>40666.991999999998</v>
      </c>
      <c r="N225" s="123"/>
      <c r="O225" s="126">
        <f>SUM(O226:O226)</f>
        <v>61000.487999999998</v>
      </c>
      <c r="P225" s="62"/>
    </row>
    <row r="226" spans="2:16" ht="18" thickBot="1" x14ac:dyDescent="0.3">
      <c r="B226" s="739"/>
      <c r="C226" s="746"/>
      <c r="D226" s="746"/>
      <c r="E226" s="746"/>
      <c r="F226" s="746"/>
      <c r="G226" s="651"/>
      <c r="H226" s="353"/>
      <c r="I226" s="108">
        <f>SUM(K226+M226+O226)</f>
        <v>101667.48</v>
      </c>
      <c r="J226" s="109" t="str">
        <f>"(15)"</f>
        <v>(15)</v>
      </c>
      <c r="K226" s="82">
        <f>SUM(K223*1.2)</f>
        <v>0</v>
      </c>
      <c r="L226" s="83" t="str">
        <f>"(15)"</f>
        <v>(15)</v>
      </c>
      <c r="M226" s="108">
        <f>SUM(M223*1.22)</f>
        <v>40666.991999999998</v>
      </c>
      <c r="N226" s="109" t="str">
        <f>"(15)"</f>
        <v>(15)</v>
      </c>
      <c r="O226" s="108">
        <f>SUM(O223*1.22)</f>
        <v>61000.487999999998</v>
      </c>
      <c r="P226" s="84" t="str">
        <f>"(15)"</f>
        <v>(15)</v>
      </c>
    </row>
    <row r="227" spans="2:16" ht="17.25" x14ac:dyDescent="0.25">
      <c r="B227" s="737" t="str">
        <f>'kuni 2025 detsember tegevuskava'!A131&amp;"/"&amp;'kuni 2025 detsember tegevuskava'!C131</f>
        <v>Siseministeerium /SMIT</v>
      </c>
      <c r="C227" s="744"/>
      <c r="D227" s="744" t="str">
        <f>'kuni 2025 detsember tegevuskava'!J131</f>
        <v>RIS: TI arendused</v>
      </c>
      <c r="E227" s="744" t="str">
        <f>'kuni 2025 detsember tegevuskava'!K131</f>
        <v>TI arendused, et liidestuda RIS-iga ja toimiks andmevahetus.</v>
      </c>
      <c r="F227" s="744" t="str">
        <f>'kuni 2025 detsember tegevuskava'!P131&amp;"/"</f>
        <v>Muu rahastus/</v>
      </c>
      <c r="G227" s="647" cm="1">
        <f t="array" ref="G227">_xlfn.IFS('kuni 2025 detsember tegevuskava'!G131='kuni 2025 detsember tegevuskava'!$G$151,1,'kuni 2025 detsember tegevuskava'!G131='kuni 2025 detsember tegevuskava'!$G$152,2,'kuni 2025 detsember tegevuskava'!G131='kuni 2025 detsember tegevuskava'!$G$153,3,'kuni 2025 detsember tegevuskava'!G131='kuni 2025 detsember tegevuskava'!$G$154,4)</f>
        <v>1</v>
      </c>
      <c r="H227" s="354" cm="1">
        <f t="array" ref="H227">_xlfn.IFS(OR('kuni 2025 detsember tegevuskava'!P131='kuni 2025 detsember tegevuskava'!$P$151,'kuni 2025 detsember tegevuskava'!P131='kuni 2025 detsember tegevuskava'!$P$153,'kuni 2025 detsember tegevuskava'!P131='kuni 2025 detsember tegevuskava'!$P$154,'kuni 2025 detsember tegevuskava'!P131='kuni 2025 detsember tegevuskava'!$P$155),1,'kuni 2025 detsember tegevuskava'!P131='kuni 2025 detsember tegevuskava'!$P$156,2,'kuni 2025 detsember tegevuskava'!P131='kuni 2025 detsember tegevuskava'!$P$157,2,'kuni 2025 detsember tegevuskava'!P131='kuni 2025 detsember tegevuskava'!$P$152,3)</f>
        <v>3</v>
      </c>
      <c r="I227" s="110">
        <f>SUM(I228:I228)</f>
        <v>500500</v>
      </c>
      <c r="J227" s="111"/>
      <c r="K227" s="71">
        <f>SUM(K228:K228)</f>
        <v>0</v>
      </c>
      <c r="L227" s="73"/>
      <c r="M227" s="110">
        <f>SUM(M228:M228)</f>
        <v>429000</v>
      </c>
      <c r="N227" s="111"/>
      <c r="O227" s="71">
        <f>SUM(O228:O228)</f>
        <v>71500</v>
      </c>
      <c r="P227" s="75"/>
    </row>
    <row r="228" spans="2:16" ht="17.25" x14ac:dyDescent="0.25">
      <c r="B228" s="738"/>
      <c r="C228" s="745"/>
      <c r="D228" s="745"/>
      <c r="E228" s="745"/>
      <c r="F228" s="745"/>
      <c r="G228" s="636"/>
      <c r="H228" s="391"/>
      <c r="I228" s="88">
        <f>SUM(K228+M228+O228)</f>
        <v>500500</v>
      </c>
      <c r="J228" s="89" t="str">
        <f>"(15)"</f>
        <v>(15)</v>
      </c>
      <c r="K228" s="657">
        <f>'kuni 2025 detsember tegevuskava'!X131</f>
        <v>0</v>
      </c>
      <c r="L228" s="644" t="str">
        <f>"(15)"</f>
        <v>(15)</v>
      </c>
      <c r="M228" s="88">
        <f>'kuni 2025 detsember tegevuskava'!AA131</f>
        <v>429000</v>
      </c>
      <c r="N228" s="89" t="str">
        <f>"(15)"</f>
        <v>(15)</v>
      </c>
      <c r="O228" s="657">
        <f>'kuni 2025 detsember tegevuskava'!AD131</f>
        <v>71500</v>
      </c>
      <c r="P228" s="77" t="str">
        <f>"(15)"</f>
        <v>(15)</v>
      </c>
    </row>
    <row r="229" spans="2:16" ht="17.25" x14ac:dyDescent="0.25">
      <c r="B229" s="738"/>
      <c r="C229" s="745"/>
      <c r="D229" s="745"/>
      <c r="E229" s="745"/>
      <c r="F229" s="745"/>
      <c r="G229" s="636"/>
      <c r="H229" s="391"/>
      <c r="I229" s="127" t="s">
        <v>534</v>
      </c>
      <c r="J229" s="130"/>
      <c r="K229" s="130"/>
      <c r="L229" s="130"/>
      <c r="M229" s="130"/>
      <c r="N229" s="130"/>
      <c r="O229" s="130"/>
      <c r="P229" s="131"/>
    </row>
    <row r="230" spans="2:16" ht="17.25" x14ac:dyDescent="0.25">
      <c r="B230" s="738"/>
      <c r="C230" s="745"/>
      <c r="D230" s="745"/>
      <c r="E230" s="745"/>
      <c r="F230" s="745"/>
      <c r="G230" s="636"/>
      <c r="H230" s="391"/>
      <c r="I230" s="126">
        <f>SUM(I231:I231)</f>
        <v>610610</v>
      </c>
      <c r="J230" s="89"/>
      <c r="K230" s="642">
        <f>SUM(K231:K231)</f>
        <v>0</v>
      </c>
      <c r="L230" s="643"/>
      <c r="M230" s="126">
        <f>SUM(M231:M231)</f>
        <v>523380</v>
      </c>
      <c r="N230" s="123"/>
      <c r="O230" s="126">
        <f>SUM(O231:O231)</f>
        <v>87230</v>
      </c>
      <c r="P230" s="62"/>
    </row>
    <row r="231" spans="2:16" ht="18" thickBot="1" x14ac:dyDescent="0.3">
      <c r="B231" s="739"/>
      <c r="C231" s="746"/>
      <c r="D231" s="746"/>
      <c r="E231" s="746"/>
      <c r="F231" s="746"/>
      <c r="G231" s="651"/>
      <c r="H231" s="353"/>
      <c r="I231" s="108">
        <f>SUM(K231+M231+O231)</f>
        <v>610610</v>
      </c>
      <c r="J231" s="109" t="str">
        <f>"(15)"</f>
        <v>(15)</v>
      </c>
      <c r="K231" s="82">
        <f>SUM(K228*1.2)</f>
        <v>0</v>
      </c>
      <c r="L231" s="83" t="str">
        <f>"(15)"</f>
        <v>(15)</v>
      </c>
      <c r="M231" s="108">
        <f>SUM(M228*1.22)</f>
        <v>523380</v>
      </c>
      <c r="N231" s="109" t="str">
        <f>"(15)"</f>
        <v>(15)</v>
      </c>
      <c r="O231" s="108">
        <f>SUM(O228*1.22)</f>
        <v>87230</v>
      </c>
      <c r="P231" s="84" t="str">
        <f>"(15)"</f>
        <v>(15)</v>
      </c>
    </row>
    <row r="232" spans="2:16" ht="14.1" customHeight="1" x14ac:dyDescent="0.25">
      <c r="B232" s="737" t="str">
        <f>'kuni 2025 detsember tegevuskava'!A132&amp;"/"&amp;'kuni 2025 detsember tegevuskava'!C132</f>
        <v>Siseministeerium /SMIT/PPA</v>
      </c>
      <c r="C232" s="744"/>
      <c r="D232" s="744" t="str">
        <f>'kuni 2025 detsember tegevuskava'!J132</f>
        <v>RIS II etapp 2.osa RIS liidestus MTA ja Tiga (PPA poolne osa)</v>
      </c>
      <c r="E232" s="744"/>
      <c r="F232" s="744" t="str">
        <f>'kuni 2025 detsember tegevuskava'!P132&amp;"/"</f>
        <v>SF 21-27 (taotletav raha)/</v>
      </c>
      <c r="G232" s="647" cm="1">
        <f t="array" ref="G232">_xlfn.IFS('kuni 2025 detsember tegevuskava'!G132='kuni 2025 detsember tegevuskava'!$G$151,1,'kuni 2025 detsember tegevuskava'!G132='kuni 2025 detsember tegevuskava'!$G$152,2,'kuni 2025 detsember tegevuskava'!G132='kuni 2025 detsember tegevuskava'!$G$153,3,'kuni 2025 detsember tegevuskava'!G132='kuni 2025 detsember tegevuskava'!$G$154,4)</f>
        <v>1</v>
      </c>
      <c r="H232" s="354" cm="1">
        <f t="array" ref="H232">_xlfn.IFS(OR('kuni 2025 detsember tegevuskava'!P132='kuni 2025 detsember tegevuskava'!$P$151,'kuni 2025 detsember tegevuskava'!P132='kuni 2025 detsember tegevuskava'!$P$153,'kuni 2025 detsember tegevuskava'!P132='kuni 2025 detsember tegevuskava'!$P$154,'kuni 2025 detsember tegevuskava'!P132='kuni 2025 detsember tegevuskava'!$P$155),1,'kuni 2025 detsember tegevuskava'!P132='kuni 2025 detsember tegevuskava'!$P$156,2,'kuni 2025 detsember tegevuskava'!P132='kuni 2025 detsember tegevuskava'!$P$157,2,'kuni 2025 detsember tegevuskava'!P132='kuni 2025 detsember tegevuskava'!$P$152,3)</f>
        <v>2</v>
      </c>
      <c r="I232" s="110">
        <f>SUM(I233:I233)</f>
        <v>542773</v>
      </c>
      <c r="J232" s="111"/>
      <c r="K232" s="71">
        <f>SUM(K233:K233)</f>
        <v>0</v>
      </c>
      <c r="L232" s="73"/>
      <c r="M232" s="110">
        <f>SUM(M233:M233)</f>
        <v>217109.2</v>
      </c>
      <c r="N232" s="111"/>
      <c r="O232" s="71">
        <f>SUM(O233:O233)</f>
        <v>325663.8</v>
      </c>
      <c r="P232" s="75"/>
    </row>
    <row r="233" spans="2:16" ht="14.1" customHeight="1" x14ac:dyDescent="0.25">
      <c r="B233" s="738"/>
      <c r="C233" s="745"/>
      <c r="D233" s="745"/>
      <c r="E233" s="745"/>
      <c r="F233" s="745"/>
      <c r="G233" s="636"/>
      <c r="H233" s="391"/>
      <c r="I233" s="88">
        <f>SUM(K233+M233+O233)</f>
        <v>542773</v>
      </c>
      <c r="J233" s="89" t="str">
        <f>"(15)"</f>
        <v>(15)</v>
      </c>
      <c r="K233" s="657">
        <f>'kuni 2025 detsember tegevuskava'!X132</f>
        <v>0</v>
      </c>
      <c r="L233" s="644" t="str">
        <f>"(15)"</f>
        <v>(15)</v>
      </c>
      <c r="M233" s="88">
        <f>'kuni 2025 detsember tegevuskava'!AA132</f>
        <v>217109.2</v>
      </c>
      <c r="N233" s="89" t="str">
        <f>"(15)"</f>
        <v>(15)</v>
      </c>
      <c r="O233" s="657">
        <f>'kuni 2025 detsember tegevuskava'!AD132</f>
        <v>325663.8</v>
      </c>
      <c r="P233" s="77" t="str">
        <f>"(15)"</f>
        <v>(15)</v>
      </c>
    </row>
    <row r="234" spans="2:16" ht="14.1" customHeight="1" x14ac:dyDescent="0.25">
      <c r="B234" s="738"/>
      <c r="C234" s="745"/>
      <c r="D234" s="745"/>
      <c r="E234" s="745"/>
      <c r="F234" s="745"/>
      <c r="G234" s="636"/>
      <c r="H234" s="391"/>
      <c r="I234" s="127" t="s">
        <v>534</v>
      </c>
      <c r="J234" s="130"/>
      <c r="K234" s="130"/>
      <c r="L234" s="130"/>
      <c r="M234" s="130"/>
      <c r="N234" s="130"/>
      <c r="O234" s="130"/>
      <c r="P234" s="131"/>
    </row>
    <row r="235" spans="2:16" ht="14.1" customHeight="1" x14ac:dyDescent="0.25">
      <c r="B235" s="738"/>
      <c r="C235" s="745"/>
      <c r="D235" s="745"/>
      <c r="E235" s="745"/>
      <c r="F235" s="745"/>
      <c r="G235" s="636"/>
      <c r="H235" s="391"/>
      <c r="I235" s="126">
        <f>SUM(I236:I236)</f>
        <v>662183.05999999994</v>
      </c>
      <c r="J235" s="89"/>
      <c r="K235" s="642">
        <f>SUM(K236:K236)</f>
        <v>0</v>
      </c>
      <c r="L235" s="643"/>
      <c r="M235" s="126">
        <f>SUM(M236:M236)</f>
        <v>264873.22399999999</v>
      </c>
      <c r="N235" s="123"/>
      <c r="O235" s="126">
        <f>SUM(O236:O236)</f>
        <v>397309.83599999995</v>
      </c>
      <c r="P235" s="62"/>
    </row>
    <row r="236" spans="2:16" ht="17.100000000000001" customHeight="1" thickBot="1" x14ac:dyDescent="0.3">
      <c r="B236" s="740"/>
      <c r="C236" s="747"/>
      <c r="D236" s="747"/>
      <c r="E236" s="747"/>
      <c r="F236" s="747"/>
      <c r="G236" s="636"/>
      <c r="H236" s="391"/>
      <c r="I236" s="88">
        <f>SUM(K236+M236+O236)</f>
        <v>662183.05999999994</v>
      </c>
      <c r="J236" s="89" t="str">
        <f>"(15)"</f>
        <v>(15)</v>
      </c>
      <c r="K236" s="657">
        <f>SUM(K233*1.2)</f>
        <v>0</v>
      </c>
      <c r="L236" s="644" t="str">
        <f>"(15)"</f>
        <v>(15)</v>
      </c>
      <c r="M236" s="88">
        <f>SUM(M233*1.22)</f>
        <v>264873.22399999999</v>
      </c>
      <c r="N236" s="89" t="str">
        <f>"(15)"</f>
        <v>(15)</v>
      </c>
      <c r="O236" s="88">
        <f>SUM(O233*1.22)</f>
        <v>397309.83599999995</v>
      </c>
      <c r="P236" s="77" t="str">
        <f>"(15)"</f>
        <v>(15)</v>
      </c>
    </row>
    <row r="237" spans="2:16" ht="17.25" x14ac:dyDescent="0.25">
      <c r="B237" s="748" t="str">
        <f>'kuni 2025 detsember tegevuskava'!A137&amp;"/"&amp;'kuni 2025 detsember tegevuskava'!C133</f>
        <v>Turvaline elukeskkond/SMIT</v>
      </c>
      <c r="C237" s="751"/>
      <c r="D237" s="751" t="str">
        <f>'kuni 2025 detsember tegevuskava'!J133</f>
        <v>RIS III etapp 1. ja 2. osa (elamisloa taotluste iseteeninduskeskkond, elamisloa menetleja töölaud, elamislubade menetluskeskkond) ning IV etapp (konsultatsioonimenetlused)</v>
      </c>
      <c r="E237" s="751"/>
      <c r="F237" s="751" t="str">
        <f>'kuni 2025 detsember tegevuskava'!P133&amp;"/"</f>
        <v>RES IKT (vaja juurde taotleda)/</v>
      </c>
      <c r="G237" s="647" cm="1">
        <f t="array" ref="G237">_xlfn.IFS('kuni 2025 detsember tegevuskava'!G133='kuni 2025 detsember tegevuskava'!$G$151,1,'kuni 2025 detsember tegevuskava'!G133='kuni 2025 detsember tegevuskava'!$G$152,2,'kuni 2025 detsember tegevuskava'!G133='kuni 2025 detsember tegevuskava'!$G$153,3,'kuni 2025 detsember tegevuskava'!G133='kuni 2025 detsember tegevuskava'!$G$154,4)</f>
        <v>1</v>
      </c>
      <c r="H237" s="354" cm="1">
        <f t="array" ref="H237">_xlfn.IFS(OR('kuni 2025 detsember tegevuskava'!P133='kuni 2025 detsember tegevuskava'!$P$151,'kuni 2025 detsember tegevuskava'!P133='kuni 2025 detsember tegevuskava'!$P$153,'kuni 2025 detsember tegevuskava'!P133='kuni 2025 detsember tegevuskava'!$P$154,'kuni 2025 detsember tegevuskava'!P133='kuni 2025 detsember tegevuskava'!$P$155),1,'kuni 2025 detsember tegevuskava'!P133='kuni 2025 detsember tegevuskava'!$P$156,2,'kuni 2025 detsember tegevuskava'!P133='kuni 2025 detsember tegevuskava'!$P$157,2,'kuni 2025 detsember tegevuskava'!P137='kuni 2025 detsember tegevuskava'!$P$152,3)</f>
        <v>1</v>
      </c>
      <c r="I237" s="110">
        <f>SUM(I238:I239)</f>
        <v>595839</v>
      </c>
      <c r="J237" s="111"/>
      <c r="K237" s="71">
        <f>SUM(K238:K239)</f>
        <v>0</v>
      </c>
      <c r="L237" s="73"/>
      <c r="M237" s="110">
        <f>SUM(M238:M239)</f>
        <v>193222</v>
      </c>
      <c r="N237" s="111"/>
      <c r="O237" s="71">
        <f>SUM(O238:O239)</f>
        <v>402617</v>
      </c>
      <c r="P237" s="75"/>
    </row>
    <row r="238" spans="2:16" ht="17.25" x14ac:dyDescent="0.25">
      <c r="B238" s="749"/>
      <c r="C238" s="752"/>
      <c r="D238" s="752"/>
      <c r="E238" s="752"/>
      <c r="F238" s="752"/>
      <c r="G238" s="636"/>
      <c r="H238" s="391"/>
      <c r="I238" s="88">
        <f>SUM(K238+M238+O238)</f>
        <v>467832</v>
      </c>
      <c r="J238" s="89" t="str">
        <f>"(50)"</f>
        <v>(50)</v>
      </c>
      <c r="K238" s="658">
        <f>'kuni 2025 detsember tegevuskava'!Y133</f>
        <v>0</v>
      </c>
      <c r="L238" s="659" t="str">
        <f>"(50)"</f>
        <v>(50)</v>
      </c>
      <c r="M238" s="288">
        <f>'kuni 2025 detsember tegevuskava'!AB133</f>
        <v>155944</v>
      </c>
      <c r="N238" s="286" t="str">
        <f>"(50)"</f>
        <v>(50)</v>
      </c>
      <c r="O238" s="658">
        <f>'kuni 2025 detsember tegevuskava'!AE133</f>
        <v>311888</v>
      </c>
      <c r="P238" s="77" t="str">
        <f>"(50)"</f>
        <v>(50)</v>
      </c>
    </row>
    <row r="239" spans="2:16" ht="17.25" x14ac:dyDescent="0.25">
      <c r="B239" s="749"/>
      <c r="C239" s="752"/>
      <c r="D239" s="752"/>
      <c r="E239" s="752"/>
      <c r="F239" s="752"/>
      <c r="G239" s="636"/>
      <c r="H239" s="391"/>
      <c r="I239" s="88">
        <f>SUM(K239+M239+O239)</f>
        <v>128007</v>
      </c>
      <c r="J239" s="89" t="str">
        <f>"(55)"</f>
        <v>(55)</v>
      </c>
      <c r="K239" s="658">
        <f>'kuni 2025 detsember tegevuskava'!Z137</f>
        <v>0</v>
      </c>
      <c r="L239" s="659" t="str">
        <f>"(55)"</f>
        <v>(55)</v>
      </c>
      <c r="M239" s="288">
        <f>'kuni 2025 detsember tegevuskava'!AC133</f>
        <v>37278</v>
      </c>
      <c r="N239" s="286" t="str">
        <f>"(55)"</f>
        <v>(55)</v>
      </c>
      <c r="O239" s="658">
        <f>'kuni 2025 detsember tegevuskava'!AF133</f>
        <v>90729</v>
      </c>
      <c r="P239" s="77" t="str">
        <f>"(55)"</f>
        <v>(55)</v>
      </c>
    </row>
    <row r="240" spans="2:16" ht="17.25" x14ac:dyDescent="0.25">
      <c r="B240" s="749"/>
      <c r="C240" s="752"/>
      <c r="D240" s="752"/>
      <c r="E240" s="752"/>
      <c r="F240" s="752"/>
      <c r="G240" s="636"/>
      <c r="H240" s="391"/>
      <c r="I240" s="127" t="s">
        <v>534</v>
      </c>
      <c r="J240" s="130"/>
      <c r="K240" s="130"/>
      <c r="L240" s="130"/>
      <c r="M240" s="130"/>
      <c r="N240" s="130"/>
      <c r="O240" s="130"/>
      <c r="P240" s="131"/>
    </row>
    <row r="241" spans="2:16" ht="17.25" x14ac:dyDescent="0.25">
      <c r="B241" s="749"/>
      <c r="C241" s="752"/>
      <c r="D241" s="752"/>
      <c r="E241" s="752"/>
      <c r="F241" s="752"/>
      <c r="G241" s="636"/>
      <c r="H241" s="391"/>
      <c r="I241" s="126">
        <f>SUM(I242:I243)</f>
        <v>624000.54</v>
      </c>
      <c r="J241" s="89"/>
      <c r="K241" s="642">
        <f>SUM(K242:K243)</f>
        <v>0</v>
      </c>
      <c r="L241" s="643"/>
      <c r="M241" s="126">
        <f>SUM(M242:M243)</f>
        <v>201423.16</v>
      </c>
      <c r="N241" s="123"/>
      <c r="O241" s="126">
        <f>SUM(O242:O243)</f>
        <v>422577.38</v>
      </c>
      <c r="P241" s="62"/>
    </row>
    <row r="242" spans="2:16" ht="17.25" x14ac:dyDescent="0.25">
      <c r="B242" s="749"/>
      <c r="C242" s="752"/>
      <c r="D242" s="752"/>
      <c r="E242" s="752"/>
      <c r="F242" s="752"/>
      <c r="G242" s="636"/>
      <c r="H242" s="391"/>
      <c r="I242" s="88">
        <f>SUM(K242+M242+O242)</f>
        <v>467832</v>
      </c>
      <c r="J242" s="89" t="str">
        <f>"(50)"</f>
        <v>(50)</v>
      </c>
      <c r="K242" s="657">
        <f>K238</f>
        <v>0</v>
      </c>
      <c r="L242" s="644" t="str">
        <f>"(50)"</f>
        <v>(50)</v>
      </c>
      <c r="M242" s="88">
        <f>M238</f>
        <v>155944</v>
      </c>
      <c r="N242" s="89" t="str">
        <f>"(50)"</f>
        <v>(50)</v>
      </c>
      <c r="O242" s="88">
        <f>O238</f>
        <v>311888</v>
      </c>
      <c r="P242" s="77" t="str">
        <f>"(50)"</f>
        <v>(50)</v>
      </c>
    </row>
    <row r="243" spans="2:16" ht="30.75" customHeight="1" thickBot="1" x14ac:dyDescent="0.3">
      <c r="B243" s="750"/>
      <c r="C243" s="753"/>
      <c r="D243" s="753"/>
      <c r="E243" s="753"/>
      <c r="F243" s="753"/>
      <c r="G243" s="651"/>
      <c r="H243" s="353"/>
      <c r="I243" s="108">
        <f>SUM(K243+M243+O243)</f>
        <v>156168.54</v>
      </c>
      <c r="J243" s="109" t="str">
        <f>"(55)"</f>
        <v>(55)</v>
      </c>
      <c r="K243" s="82">
        <f>SUM(K239*1.2)</f>
        <v>0</v>
      </c>
      <c r="L243" s="83" t="str">
        <f>"(55)"</f>
        <v>(55)</v>
      </c>
      <c r="M243" s="108">
        <f>SUM(M239*1.22)</f>
        <v>45479.159999999996</v>
      </c>
      <c r="N243" s="109" t="str">
        <f>"(55)"</f>
        <v>(55)</v>
      </c>
      <c r="O243" s="108">
        <f>SUM(O239*1.22)</f>
        <v>110689.38</v>
      </c>
      <c r="P243" s="84" t="str">
        <f>"(55)"</f>
        <v>(55)</v>
      </c>
    </row>
    <row r="244" spans="2:16" ht="17.25" x14ac:dyDescent="0.25">
      <c r="B244" s="737" t="str">
        <f>'kuni 2025 detsember tegevuskava'!A138&amp;"/"&amp;'kuni 2025 detsember tegevuskava'!C138</f>
        <v>Siseministeerium /SMIT/PPA</v>
      </c>
      <c r="C244" s="744" t="str">
        <f>'kuni 2025 detsember tegevuskava'!I138</f>
        <v>Loodud ja kasutusel on uus relvaregister, millele lisatakse järk-järgult funtsionaalsusi. Hetkel ei ole piirkonnapolitseinikul võimalik relva hoiutingimuste kontrolli kohapeal kanda relvregistrisse läbi kaasaskantava APOLLO tahvli.</v>
      </c>
      <c r="D244" s="744" t="str">
        <f>'kuni 2025 detsember tegevuskava'!J138</f>
        <v>Relvaregistri arenduste V etapp</v>
      </c>
      <c r="E244" s="744" t="str">
        <f>'kuni 2025 detsember tegevuskava'!K138</f>
        <v xml:space="preserve">APOLLOs ja relvaregstris on vaja arendatud hoiutingimuste kontrolli tööülesande edastamine ja vastuvõtmine ning tööülesannete täitmine APOLLOs, mis võimaldavad kontrolle teostatavatel ametnikel tööülesandeid antud keskkondade vahel edukalt edastada, vastu võtta ning täita vajalikke kontrolliga seotud dokumente. </v>
      </c>
      <c r="F244" s="744" t="str">
        <f>'kuni 2025 detsember tegevuskava'!P138&amp;"/"</f>
        <v>SF 21-27 (taotletav raha)/</v>
      </c>
      <c r="G244" s="647" cm="1">
        <f t="array" ref="G244">_xlfn.IFS('kuni 2025 detsember tegevuskava'!G138='kuni 2025 detsember tegevuskava'!$G$151,1,'kuni 2025 detsember tegevuskava'!G138='kuni 2025 detsember tegevuskava'!$G$152,2,'kuni 2025 detsember tegevuskava'!G138='kuni 2025 detsember tegevuskava'!$G$153,3,'kuni 2025 detsember tegevuskava'!G138='kuni 2025 detsember tegevuskava'!$G$154,4)</f>
        <v>1</v>
      </c>
      <c r="H244" s="354" cm="1">
        <f t="array" ref="H244">_xlfn.IFS(OR('kuni 2025 detsember tegevuskava'!P138='kuni 2025 detsember tegevuskava'!$P$151,'kuni 2025 detsember tegevuskava'!P138='kuni 2025 detsember tegevuskava'!$P$153,'kuni 2025 detsember tegevuskava'!P138='kuni 2025 detsember tegevuskava'!$P$154,'kuni 2025 detsember tegevuskava'!P138='kuni 2025 detsember tegevuskava'!$P$155),1,'kuni 2025 detsember tegevuskava'!P138='kuni 2025 detsember tegevuskava'!$P$156,2,'kuni 2025 detsember tegevuskava'!P138='kuni 2025 detsember tegevuskava'!$P$157,2,'kuni 2025 detsember tegevuskava'!P138='kuni 2025 detsember tegevuskava'!$P$152,3)</f>
        <v>2</v>
      </c>
      <c r="I244" s="110">
        <f>SUM(I245:I245)</f>
        <v>252500</v>
      </c>
      <c r="J244" s="111"/>
      <c r="K244" s="71">
        <f>SUM(K245:K245)</f>
        <v>0</v>
      </c>
      <c r="L244" s="73"/>
      <c r="M244" s="110">
        <f>SUM(M245:M245)</f>
        <v>84167</v>
      </c>
      <c r="N244" s="111"/>
      <c r="O244" s="71">
        <f>SUM(O245:O245)</f>
        <v>168333</v>
      </c>
      <c r="P244" s="75"/>
    </row>
    <row r="245" spans="2:16" ht="17.25" x14ac:dyDescent="0.25">
      <c r="B245" s="738"/>
      <c r="C245" s="745"/>
      <c r="D245" s="745"/>
      <c r="E245" s="745"/>
      <c r="F245" s="745"/>
      <c r="G245" s="636"/>
      <c r="H245" s="391"/>
      <c r="I245" s="88">
        <f>SUM(K245+M245+O245)</f>
        <v>252500</v>
      </c>
      <c r="J245" s="89" t="str">
        <f>"(15)"</f>
        <v>(15)</v>
      </c>
      <c r="K245" s="657">
        <f>'kuni 2025 detsember tegevuskava'!X138</f>
        <v>0</v>
      </c>
      <c r="L245" s="644" t="str">
        <f>"(15)"</f>
        <v>(15)</v>
      </c>
      <c r="M245" s="88">
        <f>'kuni 2025 detsember tegevuskava'!AA138</f>
        <v>84167</v>
      </c>
      <c r="N245" s="89" t="str">
        <f>"(15)"</f>
        <v>(15)</v>
      </c>
      <c r="O245" s="657">
        <f>'kuni 2025 detsember tegevuskava'!AD138</f>
        <v>168333</v>
      </c>
      <c r="P245" s="77" t="str">
        <f>"(15)"</f>
        <v>(15)</v>
      </c>
    </row>
    <row r="246" spans="2:16" ht="17.25" x14ac:dyDescent="0.25">
      <c r="B246" s="738"/>
      <c r="C246" s="745"/>
      <c r="D246" s="745"/>
      <c r="E246" s="745"/>
      <c r="F246" s="745"/>
      <c r="G246" s="636"/>
      <c r="H246" s="391"/>
      <c r="I246" s="127" t="s">
        <v>534</v>
      </c>
      <c r="J246" s="130"/>
      <c r="K246" s="130"/>
      <c r="L246" s="130"/>
      <c r="M246" s="130"/>
      <c r="N246" s="130"/>
      <c r="O246" s="130"/>
      <c r="P246" s="131"/>
    </row>
    <row r="247" spans="2:16" ht="17.25" x14ac:dyDescent="0.25">
      <c r="B247" s="738"/>
      <c r="C247" s="745"/>
      <c r="D247" s="745"/>
      <c r="E247" s="745"/>
      <c r="F247" s="745"/>
      <c r="G247" s="636"/>
      <c r="H247" s="391"/>
      <c r="I247" s="126">
        <f>SUM(I248:I248)</f>
        <v>308050</v>
      </c>
      <c r="J247" s="89"/>
      <c r="K247" s="642">
        <f>SUM(K248:K248)</f>
        <v>0</v>
      </c>
      <c r="L247" s="643"/>
      <c r="M247" s="126">
        <f>SUM(M248:M248)</f>
        <v>102683.73999999999</v>
      </c>
      <c r="N247" s="123"/>
      <c r="O247" s="126">
        <f>SUM(O248:O248)</f>
        <v>205366.26</v>
      </c>
      <c r="P247" s="62"/>
    </row>
    <row r="248" spans="2:16" ht="60.75" customHeight="1" thickBot="1" x14ac:dyDescent="0.3">
      <c r="B248" s="739"/>
      <c r="C248" s="746"/>
      <c r="D248" s="746"/>
      <c r="E248" s="746"/>
      <c r="F248" s="746"/>
      <c r="G248" s="651"/>
      <c r="H248" s="353"/>
      <c r="I248" s="108">
        <f>SUM(K248+M248+O248)</f>
        <v>308050</v>
      </c>
      <c r="J248" s="109" t="str">
        <f>"(15)"</f>
        <v>(15)</v>
      </c>
      <c r="K248" s="82">
        <f>SUM(K245*1.2)</f>
        <v>0</v>
      </c>
      <c r="L248" s="83" t="str">
        <f>"(15)"</f>
        <v>(15)</v>
      </c>
      <c r="M248" s="108">
        <f>SUM(M245*1.22)</f>
        <v>102683.73999999999</v>
      </c>
      <c r="N248" s="109" t="str">
        <f>"(15)"</f>
        <v>(15)</v>
      </c>
      <c r="O248" s="108">
        <f>SUM(O245*1.22)</f>
        <v>205366.26</v>
      </c>
      <c r="P248" s="84" t="str">
        <f>"(15)"</f>
        <v>(15)</v>
      </c>
    </row>
    <row r="249" spans="2:16" ht="17.25" x14ac:dyDescent="0.25">
      <c r="B249" s="748" t="str">
        <f>'kuni 2025 detsember tegevuskava'!A141&amp;"/"&amp;'kuni 2025 detsember tegevuskava'!C141</f>
        <v>Siseministeerium /SMIT</v>
      </c>
      <c r="C249" s="751" t="str">
        <f>'kuni 2025 detsember tegevuskava'!I141</f>
        <v>Olemasoleva meeskonnaga ei ole võimalik teostada vajalikke arendusi, mis on tekkinud projektide vahel, kuid on olulised relvaregistri uudsuse tagamiseks ja jäävad välja planeeritud arendusprojektide skoopidest/teemadest.</v>
      </c>
      <c r="D249" s="751" t="str">
        <f>'kuni 2025 detsember tegevuskava'!J141</f>
        <v>Relvaregistri baasrahastuse suurendamine</v>
      </c>
      <c r="E249" s="751" t="str">
        <f>'kuni 2025 detsember tegevuskava'!K141</f>
        <v xml:space="preserve">RE rahastuse saamisel teostatud vajalikud arendused, mis on jäänud senistest projektidest välja (kasutajatelt uue registri kasutamisel tekkinud arendusvajadused, tehnilise võla vähendamine jms). </v>
      </c>
      <c r="F249" s="751" t="str">
        <f>'kuni 2025 detsember tegevuskava'!P141&amp;"/"</f>
        <v>RES IKT (vaja juurde taotleda)/</v>
      </c>
      <c r="G249" s="647" cm="1">
        <f t="array" ref="G249">_xlfn.IFS('kuni 2025 detsember tegevuskava'!G141='kuni 2025 detsember tegevuskava'!$G$151,1,'kuni 2025 detsember tegevuskava'!G141='kuni 2025 detsember tegevuskava'!$G$152,2,'kuni 2025 detsember tegevuskava'!G163='kuni 2025 detsember tegevuskava'!$G$153,3,'kuni 2025 detsember tegevuskava'!G163='kuni 2025 detsember tegevuskava'!$G$154,4)</f>
        <v>2</v>
      </c>
      <c r="H249" s="354" cm="1">
        <f t="array" ref="H249">_xlfn.IFS(OR('kuni 2025 detsember tegevuskava'!P141='kuni 2025 detsember tegevuskava'!$P$151,'kuni 2025 detsember tegevuskava'!P141='kuni 2025 detsember tegevuskava'!$P$153,'kuni 2025 detsember tegevuskava'!P141='kuni 2025 detsember tegevuskava'!$P$154,'kuni 2025 detsember tegevuskava'!P141='kuni 2025 detsember tegevuskava'!$P$155),1,'kuni 2025 detsember tegevuskava'!P141='kuni 2025 detsember tegevuskava'!$P$156,2,'kuni 2025 detsember tegevuskava'!P1413='kuni 2025 detsember tegevuskava'!$P$157,2,'kuni 2025 detsember tegevuskava'!P163='kuni 2025 detsember tegevuskava'!$P$152,3)</f>
        <v>1</v>
      </c>
      <c r="I249" s="660">
        <f>SUM(I250:I251)</f>
        <v>168464</v>
      </c>
      <c r="J249" s="661"/>
      <c r="K249" s="662">
        <f>SUM(K250:K251)</f>
        <v>0</v>
      </c>
      <c r="L249" s="663"/>
      <c r="M249" s="660">
        <f>SUM(M250:M251)</f>
        <v>84181</v>
      </c>
      <c r="N249" s="661"/>
      <c r="O249" s="662">
        <f>SUM(O250:O251)</f>
        <v>84283</v>
      </c>
      <c r="P249" s="664"/>
    </row>
    <row r="250" spans="2:16" ht="17.25" x14ac:dyDescent="0.25">
      <c r="B250" s="749"/>
      <c r="C250" s="752"/>
      <c r="D250" s="752"/>
      <c r="E250" s="752"/>
      <c r="F250" s="752"/>
      <c r="G250" s="636"/>
      <c r="H250" s="391"/>
      <c r="I250" s="288">
        <f>SUM(K250+M250+O250)</f>
        <v>154800</v>
      </c>
      <c r="J250" s="286" t="str">
        <f>"(50)"</f>
        <v>(50)</v>
      </c>
      <c r="K250" s="658">
        <f>'kuni 2025 detsember tegevuskava'!Y141</f>
        <v>0</v>
      </c>
      <c r="L250" s="659" t="str">
        <f>"(50)"</f>
        <v>(50)</v>
      </c>
      <c r="M250" s="288">
        <f>'kuni 2025 detsember tegevuskava'!AB141</f>
        <v>77400</v>
      </c>
      <c r="N250" s="286" t="str">
        <f>"(50)"</f>
        <v>(50)</v>
      </c>
      <c r="O250" s="658">
        <f>'kuni 2025 detsember tegevuskava'!AE141</f>
        <v>77400</v>
      </c>
      <c r="P250" s="287" t="str">
        <f>"(50)"</f>
        <v>(50)</v>
      </c>
    </row>
    <row r="251" spans="2:16" ht="17.25" x14ac:dyDescent="0.25">
      <c r="B251" s="749"/>
      <c r="C251" s="752"/>
      <c r="D251" s="752"/>
      <c r="E251" s="752"/>
      <c r="F251" s="752"/>
      <c r="G251" s="636"/>
      <c r="H251" s="391"/>
      <c r="I251" s="288">
        <f>SUM(K251+M251+O251)</f>
        <v>13664</v>
      </c>
      <c r="J251" s="286" t="str">
        <f>"(55)"</f>
        <v>(55)</v>
      </c>
      <c r="K251" s="658">
        <f>'kuni 2025 detsember tegevuskava'!Z141</f>
        <v>0</v>
      </c>
      <c r="L251" s="659" t="str">
        <f>"(55)"</f>
        <v>(55)</v>
      </c>
      <c r="M251" s="288">
        <f>'kuni 2025 detsember tegevuskava'!AC141</f>
        <v>6781</v>
      </c>
      <c r="N251" s="286" t="str">
        <f>"(55)"</f>
        <v>(55)</v>
      </c>
      <c r="O251" s="658">
        <f>'kuni 2025 detsember tegevuskava'!AF141</f>
        <v>6883</v>
      </c>
      <c r="P251" s="287" t="str">
        <f>"(55)"</f>
        <v>(55)</v>
      </c>
    </row>
    <row r="252" spans="2:16" ht="17.25" x14ac:dyDescent="0.25">
      <c r="B252" s="749"/>
      <c r="C252" s="752"/>
      <c r="D252" s="752"/>
      <c r="E252" s="752"/>
      <c r="F252" s="752"/>
      <c r="G252" s="636"/>
      <c r="H252" s="391"/>
      <c r="I252" s="114" t="s">
        <v>534</v>
      </c>
      <c r="J252" s="289"/>
      <c r="K252" s="289"/>
      <c r="L252" s="289"/>
      <c r="M252" s="289"/>
      <c r="N252" s="289"/>
      <c r="O252" s="289"/>
      <c r="P252" s="290"/>
    </row>
    <row r="253" spans="2:16" ht="17.25" x14ac:dyDescent="0.25">
      <c r="B253" s="749"/>
      <c r="C253" s="752"/>
      <c r="D253" s="752"/>
      <c r="E253" s="752"/>
      <c r="F253" s="752"/>
      <c r="G253" s="636"/>
      <c r="H253" s="391"/>
      <c r="I253" s="285">
        <f>SUM(I254:I255)</f>
        <v>171470.08000000002</v>
      </c>
      <c r="J253" s="286"/>
      <c r="K253" s="665">
        <f>SUM(K254:K255)</f>
        <v>0</v>
      </c>
      <c r="L253" s="666"/>
      <c r="M253" s="285">
        <f>SUM(M254:M255)</f>
        <v>85672.82</v>
      </c>
      <c r="N253" s="123"/>
      <c r="O253" s="285">
        <f>SUM(O254:O255)</f>
        <v>85797.26</v>
      </c>
      <c r="P253" s="62"/>
    </row>
    <row r="254" spans="2:16" ht="17.25" x14ac:dyDescent="0.25">
      <c r="B254" s="749"/>
      <c r="C254" s="752"/>
      <c r="D254" s="752"/>
      <c r="E254" s="752"/>
      <c r="F254" s="752"/>
      <c r="G254" s="636"/>
      <c r="H254" s="391"/>
      <c r="I254" s="288">
        <f>SUM(K254+M254+O254)</f>
        <v>154800</v>
      </c>
      <c r="J254" s="286" t="str">
        <f>"(50)"</f>
        <v>(50)</v>
      </c>
      <c r="K254" s="658">
        <f>K250</f>
        <v>0</v>
      </c>
      <c r="L254" s="659" t="str">
        <f>"(50)"</f>
        <v>(50)</v>
      </c>
      <c r="M254" s="288">
        <f>M250</f>
        <v>77400</v>
      </c>
      <c r="N254" s="286" t="str">
        <f>"(50)"</f>
        <v>(50)</v>
      </c>
      <c r="O254" s="288">
        <f>O250</f>
        <v>77400</v>
      </c>
      <c r="P254" s="287" t="str">
        <f>"(50)"</f>
        <v>(50)</v>
      </c>
    </row>
    <row r="255" spans="2:16" ht="18" thickBot="1" x14ac:dyDescent="0.3">
      <c r="B255" s="750"/>
      <c r="C255" s="753"/>
      <c r="D255" s="753"/>
      <c r="E255" s="753"/>
      <c r="F255" s="753"/>
      <c r="G255" s="651"/>
      <c r="H255" s="353"/>
      <c r="I255" s="291">
        <f>SUM(K255+M255+O255)</f>
        <v>16670.080000000002</v>
      </c>
      <c r="J255" s="292" t="str">
        <f>"(55)"</f>
        <v>(55)</v>
      </c>
      <c r="K255" s="293">
        <f>SUM(K251*1.2)</f>
        <v>0</v>
      </c>
      <c r="L255" s="294" t="str">
        <f>"(55)"</f>
        <v>(55)</v>
      </c>
      <c r="M255" s="291">
        <f>SUM(M251*1.22)</f>
        <v>8272.82</v>
      </c>
      <c r="N255" s="292" t="str">
        <f>"(55)"</f>
        <v>(55)</v>
      </c>
      <c r="O255" s="291">
        <f>SUM(O251*1.22)</f>
        <v>8397.26</v>
      </c>
      <c r="P255" s="295" t="str">
        <f>"(55)"</f>
        <v>(55)</v>
      </c>
    </row>
    <row r="256" spans="2:16" ht="15.6" customHeight="1" x14ac:dyDescent="0.25">
      <c r="B256" s="667" t="str">
        <f>'kuni 2025 detsember tegevuskava'!A143&amp;"/"&amp;'kuni 2025 detsember tegevuskava'!C143</f>
        <v>Siseministeerium /SMIT, PPA, PÄA, HÄK</v>
      </c>
      <c r="C256" s="754" t="str">
        <f>'kuni 2025 detsember tegevuskava'!I143</f>
        <v>Vabatahtlikuks saamine on keeruline ja bürokraatlik. Vabatahtlike ning kaasajate vaheline infovahetus on aeglane ja dubleeriv. Protsessi kulg võib erineda, sõltuvalt koordineerijast ja piirkonnast. Praegused IT lahendused on killustunud. IT meeskod puudub.</v>
      </c>
      <c r="D256" s="668" t="str">
        <f>'kuni 2025 detsember tegevuskava'!J143</f>
        <v>Vabatahtlike platvormi VAPO IT meeskonna komplekteerimine</v>
      </c>
      <c r="E256" s="668" t="str">
        <f>'kuni 2025 detsember tegevuskava'!K143</f>
        <v>Tagatud on VAPO jätkusuutlikkus ja haldamine.
- SIM teenusejuht (projektijuht) 78 626
- SMIT tooteomanik
- SMIT arhitekt
- SMIT süsteemiadministraator
- SMIT süsteemianalüütik</v>
      </c>
      <c r="F256" s="668" t="str">
        <f>'kuni 2025 detsember tegevuskava'!P143&amp;"/"</f>
        <v>RES IKT (vaja juurde taotleda)/</v>
      </c>
      <c r="G256" s="647" cm="1">
        <f t="array" ref="G256">_xlfn.IFS('kuni 2025 detsember tegevuskava'!G143='kuni 2025 detsember tegevuskava'!$G$151,1,'kuni 2025 detsember tegevuskava'!G143='kuni 2025 detsember tegevuskava'!$G$152,2,'kuni 2025 detsember tegevuskava'!G181='kuni 2025 detsember tegevuskava'!$G$153,3,'kuni 2025 detsember tegevuskava'!G181='kuni 2025 detsember tegevuskava'!$G$154,4)</f>
        <v>1</v>
      </c>
      <c r="H256" s="354" cm="1">
        <f t="array" ref="H256">_xlfn.IFS(OR('kuni 2025 detsember tegevuskava'!P143='kuni 2025 detsember tegevuskava'!$P$151,'kuni 2025 detsember tegevuskava'!P143='kuni 2025 detsember tegevuskava'!$P$153,'kuni 2025 detsember tegevuskava'!P143='kuni 2025 detsember tegevuskava'!$P$154,'kuni 2025 detsember tegevuskava'!P143='kuni 2025 detsember tegevuskava'!$P$155),1,'kuni 2025 detsember tegevuskava'!P143='kuni 2025 detsember tegevuskava'!$P$156,2,'kuni 2025 detsember tegevuskava'!P143='kuni 2025 detsember tegevuskava'!$P$157,2,'kuni 2025 detsember tegevuskava'!P181='kuni 2025 detsember tegevuskava'!$P$152,3)</f>
        <v>1</v>
      </c>
      <c r="I256" s="660">
        <f>SUM(I257:I258)</f>
        <v>457967</v>
      </c>
      <c r="J256" s="661"/>
      <c r="K256" s="662">
        <f>SUM(K257:K258)</f>
        <v>0</v>
      </c>
      <c r="L256" s="663"/>
      <c r="M256" s="660">
        <f>SUM(M257:M258)</f>
        <v>0</v>
      </c>
      <c r="N256" s="661"/>
      <c r="O256" s="662">
        <f>SUM(O257:O258)</f>
        <v>457967</v>
      </c>
      <c r="P256" s="664"/>
    </row>
    <row r="257" spans="2:16" ht="17.25" x14ac:dyDescent="0.25">
      <c r="B257" s="669"/>
      <c r="C257" s="755"/>
      <c r="D257" s="636"/>
      <c r="E257" s="636"/>
      <c r="F257" s="636"/>
      <c r="G257" s="636"/>
      <c r="H257" s="391"/>
      <c r="I257" s="288">
        <f>SUM(K257+M257+O257)</f>
        <v>379997</v>
      </c>
      <c r="J257" s="286" t="str">
        <f>"(50)"</f>
        <v>(50)</v>
      </c>
      <c r="K257" s="658">
        <f>'kuni 2025 detsember tegevuskava'!Y143</f>
        <v>0</v>
      </c>
      <c r="L257" s="659" t="str">
        <f>"(50)"</f>
        <v>(50)</v>
      </c>
      <c r="M257" s="288">
        <f>'kuni 2025 detsember tegevuskava'!AB143</f>
        <v>0</v>
      </c>
      <c r="N257" s="286" t="str">
        <f>"(50)"</f>
        <v>(50)</v>
      </c>
      <c r="O257" s="658">
        <f>'kuni 2025 detsember tegevuskava'!AE143</f>
        <v>379997</v>
      </c>
      <c r="P257" s="287" t="str">
        <f>"(50)"</f>
        <v>(50)</v>
      </c>
    </row>
    <row r="258" spans="2:16" ht="17.25" x14ac:dyDescent="0.25">
      <c r="B258" s="669"/>
      <c r="C258" s="755"/>
      <c r="D258" s="636"/>
      <c r="E258" s="636"/>
      <c r="F258" s="636"/>
      <c r="G258" s="636"/>
      <c r="H258" s="391"/>
      <c r="I258" s="288">
        <f>SUM(K258+M258+O258)</f>
        <v>77970</v>
      </c>
      <c r="J258" s="286" t="str">
        <f>"(55)"</f>
        <v>(55)</v>
      </c>
      <c r="K258" s="658">
        <f>'kuni 2025 detsember tegevuskava'!Z143</f>
        <v>0</v>
      </c>
      <c r="L258" s="659" t="str">
        <f>"(55)"</f>
        <v>(55)</v>
      </c>
      <c r="M258" s="288">
        <f>'kuni 2025 detsember tegevuskava'!AC143</f>
        <v>0</v>
      </c>
      <c r="N258" s="286" t="str">
        <f>"(55)"</f>
        <v>(55)</v>
      </c>
      <c r="O258" s="658">
        <f>'kuni 2025 detsember tegevuskava'!AF143</f>
        <v>77970</v>
      </c>
      <c r="P258" s="287" t="str">
        <f>"(55)"</f>
        <v>(55)</v>
      </c>
    </row>
    <row r="259" spans="2:16" ht="17.25" x14ac:dyDescent="0.25">
      <c r="B259" s="669"/>
      <c r="C259" s="755"/>
      <c r="D259" s="636"/>
      <c r="E259" s="636"/>
      <c r="F259" s="636"/>
      <c r="G259" s="636"/>
      <c r="H259" s="391"/>
      <c r="I259" s="114" t="s">
        <v>534</v>
      </c>
      <c r="J259" s="289"/>
      <c r="K259" s="289"/>
      <c r="L259" s="289"/>
      <c r="M259" s="289"/>
      <c r="N259" s="289"/>
      <c r="O259" s="289"/>
      <c r="P259" s="290"/>
    </row>
    <row r="260" spans="2:16" ht="17.25" x14ac:dyDescent="0.25">
      <c r="B260" s="669"/>
      <c r="C260" s="755"/>
      <c r="D260" s="636"/>
      <c r="E260" s="636"/>
      <c r="F260" s="636"/>
      <c r="G260" s="636"/>
      <c r="H260" s="391"/>
      <c r="I260" s="285">
        <f>SUM(I261:I262)</f>
        <v>475120.4</v>
      </c>
      <c r="J260" s="286"/>
      <c r="K260" s="665">
        <f>SUM(K261:K262)</f>
        <v>0</v>
      </c>
      <c r="L260" s="666"/>
      <c r="M260" s="285">
        <f>SUM(M261:M262)</f>
        <v>0</v>
      </c>
      <c r="N260" s="123"/>
      <c r="O260" s="285">
        <f>SUM(O261:O262)</f>
        <v>475120.4</v>
      </c>
      <c r="P260" s="62"/>
    </row>
    <row r="261" spans="2:16" ht="17.25" x14ac:dyDescent="0.25">
      <c r="B261" s="669"/>
      <c r="C261" s="755"/>
      <c r="D261" s="636"/>
      <c r="E261" s="636"/>
      <c r="F261" s="636"/>
      <c r="G261" s="636"/>
      <c r="H261" s="391"/>
      <c r="I261" s="288">
        <f>SUM(K261+M261+O261)</f>
        <v>379997</v>
      </c>
      <c r="J261" s="286" t="str">
        <f>"(50)"</f>
        <v>(50)</v>
      </c>
      <c r="K261" s="658">
        <f>K257</f>
        <v>0</v>
      </c>
      <c r="L261" s="659" t="str">
        <f>"(50)"</f>
        <v>(50)</v>
      </c>
      <c r="M261" s="288">
        <f>M257</f>
        <v>0</v>
      </c>
      <c r="N261" s="286" t="str">
        <f>"(50)"</f>
        <v>(50)</v>
      </c>
      <c r="O261" s="288">
        <f>O257</f>
        <v>379997</v>
      </c>
      <c r="P261" s="287" t="str">
        <f>"(50)"</f>
        <v>(50)</v>
      </c>
    </row>
    <row r="262" spans="2:16" ht="18" thickBot="1" x14ac:dyDescent="0.3">
      <c r="B262" s="670"/>
      <c r="C262" s="756"/>
      <c r="D262" s="651"/>
      <c r="E262" s="651"/>
      <c r="F262" s="651"/>
      <c r="G262" s="651"/>
      <c r="H262" s="353"/>
      <c r="I262" s="291">
        <f>SUM(K262+M262+O262)</f>
        <v>95123.4</v>
      </c>
      <c r="J262" s="292" t="str">
        <f>"(55)"</f>
        <v>(55)</v>
      </c>
      <c r="K262" s="293">
        <f>SUM(K258*1.2)</f>
        <v>0</v>
      </c>
      <c r="L262" s="294" t="str">
        <f>"(55)"</f>
        <v>(55)</v>
      </c>
      <c r="M262" s="291">
        <f>SUM(M258*1.22)</f>
        <v>0</v>
      </c>
      <c r="N262" s="292" t="str">
        <f>"(55)"</f>
        <v>(55)</v>
      </c>
      <c r="O262" s="291">
        <f>SUM(O258*1.22)</f>
        <v>95123.4</v>
      </c>
      <c r="P262" s="295" t="str">
        <f>"(55)"</f>
        <v>(55)</v>
      </c>
    </row>
    <row r="264" spans="2:16" ht="129.75" customHeight="1" x14ac:dyDescent="0.25">
      <c r="B264" s="719" t="s">
        <v>752</v>
      </c>
      <c r="C264" s="719"/>
      <c r="D264" s="719"/>
      <c r="E264" s="719"/>
      <c r="F264" s="719"/>
    </row>
    <row r="265" spans="2:16" x14ac:dyDescent="0.25">
      <c r="B265" s="1" t="s">
        <v>753</v>
      </c>
    </row>
    <row r="266" spans="2:16" x14ac:dyDescent="0.25">
      <c r="B266" s="1" t="s">
        <v>754</v>
      </c>
    </row>
    <row r="267" spans="2:16" x14ac:dyDescent="0.2">
      <c r="B267" s="784" t="s">
        <v>755</v>
      </c>
    </row>
  </sheetData>
  <sheetProtection selectLockedCells="1" selectUnlockedCells="1"/>
  <mergeCells count="230">
    <mergeCell ref="E84:E88"/>
    <mergeCell ref="F84:F88"/>
    <mergeCell ref="C256:C262"/>
    <mergeCell ref="F249:F255"/>
    <mergeCell ref="F232:F236"/>
    <mergeCell ref="F237:F243"/>
    <mergeCell ref="F244:F248"/>
    <mergeCell ref="F212:F216"/>
    <mergeCell ref="F217:F221"/>
    <mergeCell ref="F222:F226"/>
    <mergeCell ref="F227:F231"/>
    <mergeCell ref="E249:E255"/>
    <mergeCell ref="E217:E221"/>
    <mergeCell ref="E222:E226"/>
    <mergeCell ref="E227:E231"/>
    <mergeCell ref="E232:E236"/>
    <mergeCell ref="E237:E243"/>
    <mergeCell ref="C249:C255"/>
    <mergeCell ref="D249:D255"/>
    <mergeCell ref="E244:E248"/>
    <mergeCell ref="D222:D226"/>
    <mergeCell ref="D227:D231"/>
    <mergeCell ref="D232:D236"/>
    <mergeCell ref="D237:D243"/>
    <mergeCell ref="D244:D248"/>
    <mergeCell ref="F188:F192"/>
    <mergeCell ref="F193:F197"/>
    <mergeCell ref="F198:F202"/>
    <mergeCell ref="F203:F211"/>
    <mergeCell ref="F176:F182"/>
    <mergeCell ref="F183:F187"/>
    <mergeCell ref="E198:E202"/>
    <mergeCell ref="E203:E211"/>
    <mergeCell ref="E212:E216"/>
    <mergeCell ref="E176:E182"/>
    <mergeCell ref="E183:E187"/>
    <mergeCell ref="E188:E192"/>
    <mergeCell ref="E193:E197"/>
    <mergeCell ref="D203:D211"/>
    <mergeCell ref="D212:D216"/>
    <mergeCell ref="D217:D221"/>
    <mergeCell ref="F166:F170"/>
    <mergeCell ref="F171:F175"/>
    <mergeCell ref="F144:F148"/>
    <mergeCell ref="F149:F155"/>
    <mergeCell ref="F156:F160"/>
    <mergeCell ref="F161:F165"/>
    <mergeCell ref="F54:F58"/>
    <mergeCell ref="F59:F63"/>
    <mergeCell ref="F64:F68"/>
    <mergeCell ref="F69:F73"/>
    <mergeCell ref="E74:E78"/>
    <mergeCell ref="E79:E83"/>
    <mergeCell ref="F134:F138"/>
    <mergeCell ref="F139:F143"/>
    <mergeCell ref="F114:F118"/>
    <mergeCell ref="F119:F123"/>
    <mergeCell ref="F124:F128"/>
    <mergeCell ref="F129:F133"/>
    <mergeCell ref="F104:F108"/>
    <mergeCell ref="F109:F113"/>
    <mergeCell ref="F74:F78"/>
    <mergeCell ref="F79:F83"/>
    <mergeCell ref="F94:F98"/>
    <mergeCell ref="F99:F103"/>
    <mergeCell ref="E89:E93"/>
    <mergeCell ref="F89:F93"/>
    <mergeCell ref="E109:E113"/>
    <mergeCell ref="E114:E118"/>
    <mergeCell ref="E94:E98"/>
    <mergeCell ref="E99:E103"/>
    <mergeCell ref="E104:E108"/>
    <mergeCell ref="E119:E123"/>
    <mergeCell ref="E124:E128"/>
    <mergeCell ref="E129:E133"/>
    <mergeCell ref="E171:E175"/>
    <mergeCell ref="E156:E160"/>
    <mergeCell ref="E161:E165"/>
    <mergeCell ref="E166:E170"/>
    <mergeCell ref="E134:E138"/>
    <mergeCell ref="E139:E143"/>
    <mergeCell ref="E144:E148"/>
    <mergeCell ref="E149:E155"/>
    <mergeCell ref="D198:D202"/>
    <mergeCell ref="D183:D187"/>
    <mergeCell ref="D188:D192"/>
    <mergeCell ref="D193:D197"/>
    <mergeCell ref="D171:D175"/>
    <mergeCell ref="D176:D182"/>
    <mergeCell ref="C54:C58"/>
    <mergeCell ref="C59:C63"/>
    <mergeCell ref="C64:C68"/>
    <mergeCell ref="C69:C73"/>
    <mergeCell ref="C74:C78"/>
    <mergeCell ref="D156:D160"/>
    <mergeCell ref="D161:D165"/>
    <mergeCell ref="D166:D170"/>
    <mergeCell ref="D139:D143"/>
    <mergeCell ref="D144:D148"/>
    <mergeCell ref="D149:D155"/>
    <mergeCell ref="D124:D128"/>
    <mergeCell ref="D129:D133"/>
    <mergeCell ref="D134:D138"/>
    <mergeCell ref="D109:D113"/>
    <mergeCell ref="D114:D118"/>
    <mergeCell ref="D119:D123"/>
    <mergeCell ref="D94:D98"/>
    <mergeCell ref="D99:D103"/>
    <mergeCell ref="D104:D108"/>
    <mergeCell ref="C89:C93"/>
    <mergeCell ref="D89:D93"/>
    <mergeCell ref="C84:C88"/>
    <mergeCell ref="D84:D88"/>
    <mergeCell ref="B237:B243"/>
    <mergeCell ref="B244:B248"/>
    <mergeCell ref="B212:B216"/>
    <mergeCell ref="B217:B221"/>
    <mergeCell ref="B222:B226"/>
    <mergeCell ref="B227:B231"/>
    <mergeCell ref="B188:B192"/>
    <mergeCell ref="D79:D83"/>
    <mergeCell ref="C227:C231"/>
    <mergeCell ref="C232:C236"/>
    <mergeCell ref="C237:C243"/>
    <mergeCell ref="C244:C248"/>
    <mergeCell ref="C203:C211"/>
    <mergeCell ref="C212:C216"/>
    <mergeCell ref="C217:C221"/>
    <mergeCell ref="C222:C226"/>
    <mergeCell ref="C183:C187"/>
    <mergeCell ref="C188:C192"/>
    <mergeCell ref="C129:C133"/>
    <mergeCell ref="C134:C138"/>
    <mergeCell ref="C114:C118"/>
    <mergeCell ref="C119:C123"/>
    <mergeCell ref="C124:C128"/>
    <mergeCell ref="C99:C103"/>
    <mergeCell ref="B249:B255"/>
    <mergeCell ref="B119:B123"/>
    <mergeCell ref="B124:B128"/>
    <mergeCell ref="B129:B133"/>
    <mergeCell ref="B104:B108"/>
    <mergeCell ref="B109:B113"/>
    <mergeCell ref="C193:C197"/>
    <mergeCell ref="C198:C202"/>
    <mergeCell ref="C176:C182"/>
    <mergeCell ref="C161:C165"/>
    <mergeCell ref="C166:C170"/>
    <mergeCell ref="C171:C175"/>
    <mergeCell ref="C139:C143"/>
    <mergeCell ref="C144:C148"/>
    <mergeCell ref="C149:C155"/>
    <mergeCell ref="C156:C160"/>
    <mergeCell ref="B232:B236"/>
    <mergeCell ref="B193:B197"/>
    <mergeCell ref="B198:B202"/>
    <mergeCell ref="B203:B211"/>
    <mergeCell ref="B176:B182"/>
    <mergeCell ref="B183:B187"/>
    <mergeCell ref="B166:B170"/>
    <mergeCell ref="B171:B175"/>
    <mergeCell ref="B149:B155"/>
    <mergeCell ref="B156:B160"/>
    <mergeCell ref="B161:B165"/>
    <mergeCell ref="B134:B138"/>
    <mergeCell ref="B139:B143"/>
    <mergeCell ref="B114:B118"/>
    <mergeCell ref="B74:B78"/>
    <mergeCell ref="B79:B83"/>
    <mergeCell ref="B94:B98"/>
    <mergeCell ref="B99:B103"/>
    <mergeCell ref="B89:B93"/>
    <mergeCell ref="B84:B88"/>
    <mergeCell ref="E54:E58"/>
    <mergeCell ref="E59:E63"/>
    <mergeCell ref="E64:E68"/>
    <mergeCell ref="E69:E73"/>
    <mergeCell ref="F34:F38"/>
    <mergeCell ref="F39:F43"/>
    <mergeCell ref="F44:F48"/>
    <mergeCell ref="F49:F53"/>
    <mergeCell ref="B144:B148"/>
    <mergeCell ref="C104:C108"/>
    <mergeCell ref="C109:C113"/>
    <mergeCell ref="C79:C83"/>
    <mergeCell ref="C94:C98"/>
    <mergeCell ref="D34:D38"/>
    <mergeCell ref="D39:D43"/>
    <mergeCell ref="D44:D48"/>
    <mergeCell ref="D49:D53"/>
    <mergeCell ref="D54:D58"/>
    <mergeCell ref="D59:D63"/>
    <mergeCell ref="D64:D68"/>
    <mergeCell ref="D69:D73"/>
    <mergeCell ref="D74:D78"/>
    <mergeCell ref="C44:C48"/>
    <mergeCell ref="C49:C53"/>
    <mergeCell ref="B49:B53"/>
    <mergeCell ref="B6:P6"/>
    <mergeCell ref="B9:P9"/>
    <mergeCell ref="C34:C38"/>
    <mergeCell ref="C39:C43"/>
    <mergeCell ref="E34:E38"/>
    <mergeCell ref="E39:E43"/>
    <mergeCell ref="E44:E48"/>
    <mergeCell ref="E49:E53"/>
    <mergeCell ref="B264:F264"/>
    <mergeCell ref="B2:P2"/>
    <mergeCell ref="Q14:AA14"/>
    <mergeCell ref="Q15:AA15"/>
    <mergeCell ref="B28:B29"/>
    <mergeCell ref="C28:C29"/>
    <mergeCell ref="D28:D29"/>
    <mergeCell ref="F28:H29"/>
    <mergeCell ref="I28:J28"/>
    <mergeCell ref="Q16:AA16"/>
    <mergeCell ref="M28:N28"/>
    <mergeCell ref="I29:J29"/>
    <mergeCell ref="K29:L29"/>
    <mergeCell ref="M29:N29"/>
    <mergeCell ref="K28:L28"/>
    <mergeCell ref="O28:P28"/>
    <mergeCell ref="O29:P29"/>
    <mergeCell ref="B54:B58"/>
    <mergeCell ref="B59:B63"/>
    <mergeCell ref="B64:B68"/>
    <mergeCell ref="B69:B73"/>
    <mergeCell ref="B34:B38"/>
    <mergeCell ref="B39:B43"/>
    <mergeCell ref="B44:B48"/>
  </mergeCells>
  <phoneticPr fontId="7" type="noConversion"/>
  <pageMargins left="0.25" right="0.25" top="0.75" bottom="0.75" header="0.3" footer="0.3"/>
  <pageSetup paperSize="9" scale="6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A711-8F00-4DAA-935E-9C5996CA542D}">
  <dimension ref="A2:I112"/>
  <sheetViews>
    <sheetView zoomScale="85" zoomScaleNormal="85" workbookViewId="0">
      <selection activeCell="B53" sqref="B53"/>
    </sheetView>
  </sheetViews>
  <sheetFormatPr defaultColWidth="9.28515625" defaultRowHeight="15" x14ac:dyDescent="0.25"/>
  <cols>
    <col min="1" max="1" width="9.28515625" style="1"/>
    <col min="2" max="2" width="22.42578125" style="1" customWidth="1"/>
    <col min="3" max="5" width="18" style="1" customWidth="1"/>
    <col min="6" max="6" width="15.5703125" style="1" customWidth="1"/>
    <col min="7" max="7" width="12.28515625" style="1" customWidth="1"/>
    <col min="8" max="8" width="12.7109375" style="1" customWidth="1"/>
    <col min="9" max="9" width="11.7109375" style="1" customWidth="1"/>
    <col min="10" max="10" width="11.5703125" style="1" customWidth="1"/>
    <col min="11" max="11" width="13.28515625" style="1" customWidth="1"/>
    <col min="12" max="12" width="11.7109375" style="1" customWidth="1"/>
    <col min="13" max="22" width="9.28515625" style="1"/>
    <col min="23" max="23" width="12.42578125" style="1" bestFit="1" customWidth="1"/>
    <col min="24" max="16384" width="9.28515625" style="1"/>
  </cols>
  <sheetData>
    <row r="2" spans="1:8" ht="18.75" x14ac:dyDescent="0.25">
      <c r="A2" s="103" t="s">
        <v>535</v>
      </c>
      <c r="B2" s="103"/>
    </row>
    <row r="4" spans="1:8" x14ac:dyDescent="0.25">
      <c r="B4" s="141" t="s">
        <v>536</v>
      </c>
      <c r="C4" s="757" t="s">
        <v>537</v>
      </c>
      <c r="D4" s="757"/>
      <c r="E4" s="757"/>
      <c r="F4" s="757"/>
    </row>
    <row r="5" spans="1:8" x14ac:dyDescent="0.25">
      <c r="B5" s="141"/>
      <c r="C5" s="140" t="s">
        <v>538</v>
      </c>
      <c r="D5" s="140" t="s">
        <v>539</v>
      </c>
      <c r="E5" s="140" t="s">
        <v>540</v>
      </c>
      <c r="F5" s="140" t="s">
        <v>541</v>
      </c>
    </row>
    <row r="6" spans="1:8" x14ac:dyDescent="0.25">
      <c r="B6" s="141" t="s">
        <v>542</v>
      </c>
      <c r="C6" s="142">
        <f>SUM(C7:C9)</f>
        <v>81.686182521192279</v>
      </c>
      <c r="D6" s="142">
        <f t="shared" ref="D6:E6" si="0">SUM(D7:D9)</f>
        <v>60.567196972773147</v>
      </c>
      <c r="E6" s="142">
        <f t="shared" si="0"/>
        <v>21.11898554841914</v>
      </c>
      <c r="F6" s="143">
        <f>SUM(D6/C6)</f>
        <v>0.74146195970242434</v>
      </c>
    </row>
    <row r="7" spans="1:8" x14ac:dyDescent="0.25">
      <c r="B7" s="124" t="s">
        <v>543</v>
      </c>
      <c r="C7" s="508">
        <v>66.423523937251105</v>
      </c>
      <c r="D7" s="508">
        <v>51.961587019982915</v>
      </c>
      <c r="E7" s="508">
        <f>SUM(C7-D7)</f>
        <v>14.46193691726819</v>
      </c>
      <c r="F7" s="145">
        <f>SUM(D7/C7)</f>
        <v>0.78227687933374213</v>
      </c>
      <c r="G7" s="104"/>
      <c r="H7" s="105"/>
    </row>
    <row r="8" spans="1:8" x14ac:dyDescent="0.25">
      <c r="B8" s="124" t="s">
        <v>544</v>
      </c>
      <c r="C8" s="508">
        <v>9.8947822751095202</v>
      </c>
      <c r="D8" s="508">
        <v>7.1768463537058533</v>
      </c>
      <c r="E8" s="508">
        <f>SUM(C8-D8)</f>
        <v>2.7179359214036669</v>
      </c>
      <c r="F8" s="145">
        <f>SUM(D8/C8)</f>
        <v>0.72531624791374372</v>
      </c>
      <c r="G8" s="104"/>
    </row>
    <row r="9" spans="1:8" x14ac:dyDescent="0.25">
      <c r="B9" s="124" t="s">
        <v>545</v>
      </c>
      <c r="C9" s="508">
        <v>5.3678763088316597</v>
      </c>
      <c r="D9" s="508">
        <v>1.4287635990843752</v>
      </c>
      <c r="E9" s="508">
        <f>SUM(C9-D9)</f>
        <v>3.9391127097472847</v>
      </c>
      <c r="F9" s="145">
        <f>SUM(D9/C9)</f>
        <v>0.26616924774023931</v>
      </c>
    </row>
    <row r="18" spans="2:6" x14ac:dyDescent="0.25">
      <c r="B18" s="759" t="s">
        <v>546</v>
      </c>
      <c r="C18" s="757" t="s">
        <v>537</v>
      </c>
      <c r="D18" s="757"/>
      <c r="E18" s="757"/>
      <c r="F18" s="757"/>
    </row>
    <row r="19" spans="2:6" x14ac:dyDescent="0.25">
      <c r="B19" s="759"/>
      <c r="C19" s="140" t="s">
        <v>538</v>
      </c>
      <c r="D19" s="140" t="s">
        <v>539</v>
      </c>
      <c r="E19" s="140" t="s">
        <v>540</v>
      </c>
      <c r="F19" s="140" t="s">
        <v>541</v>
      </c>
    </row>
    <row r="20" spans="2:6" x14ac:dyDescent="0.25">
      <c r="B20" s="141" t="s">
        <v>542</v>
      </c>
      <c r="C20" s="142">
        <f>SUM(C21:C24)</f>
        <v>81.68618233671225</v>
      </c>
      <c r="D20" s="142">
        <f t="shared" ref="D20:E20" si="1">SUM(D21:D24)</f>
        <v>60.567196399982905</v>
      </c>
      <c r="E20" s="142">
        <f t="shared" si="1"/>
        <v>21.118985936729334</v>
      </c>
      <c r="F20" s="143">
        <f>SUM(D20/C20)</f>
        <v>0.74146195436485918</v>
      </c>
    </row>
    <row r="21" spans="2:6" x14ac:dyDescent="0.25">
      <c r="B21" s="124" t="s">
        <v>547</v>
      </c>
      <c r="C21" s="508">
        <v>19.284900835124382</v>
      </c>
      <c r="D21" s="508">
        <v>12.903700820000001</v>
      </c>
      <c r="E21" s="508">
        <f>SUM(C21-D21)</f>
        <v>6.3812000151243815</v>
      </c>
      <c r="F21" s="145">
        <f>SUM(D21/C21)</f>
        <v>0.66910900555412556</v>
      </c>
    </row>
    <row r="22" spans="2:6" x14ac:dyDescent="0.25">
      <c r="B22" s="124" t="s">
        <v>548</v>
      </c>
      <c r="C22" s="508">
        <v>30.638642810357748</v>
      </c>
      <c r="D22" s="508">
        <v>26.415024819999999</v>
      </c>
      <c r="E22" s="508">
        <f>SUM(C22-D22)</f>
        <v>4.2236179903577487</v>
      </c>
      <c r="F22" s="145">
        <f>SUM(D22/C22)</f>
        <v>0.86214735370295492</v>
      </c>
    </row>
    <row r="23" spans="2:6" x14ac:dyDescent="0.25">
      <c r="B23" s="124" t="s">
        <v>549</v>
      </c>
      <c r="C23" s="508">
        <v>31.762638691230116</v>
      </c>
      <c r="D23" s="508">
        <v>21.248470759982911</v>
      </c>
      <c r="E23" s="508">
        <f>SUM(C23-D23)</f>
        <v>10.514167931247204</v>
      </c>
      <c r="F23" s="145">
        <f>SUM(D23/C23)</f>
        <v>0.6689768745771667</v>
      </c>
    </row>
    <row r="24" spans="2:6" x14ac:dyDescent="0.25">
      <c r="B24" s="124" t="s">
        <v>550</v>
      </c>
      <c r="C24" s="508">
        <v>0</v>
      </c>
      <c r="D24" s="508">
        <v>0</v>
      </c>
      <c r="E24" s="508">
        <f>SUM(C24-D24)</f>
        <v>0</v>
      </c>
      <c r="F24" s="145" t="e">
        <f>SUM(D24/C24)</f>
        <v>#DIV/0!</v>
      </c>
    </row>
    <row r="33" spans="1:3" ht="18.75" x14ac:dyDescent="0.25">
      <c r="A33" s="103" t="s">
        <v>551</v>
      </c>
      <c r="B33" s="103"/>
    </row>
    <row r="35" spans="1:3" x14ac:dyDescent="0.25">
      <c r="B35" s="146" t="s">
        <v>552</v>
      </c>
      <c r="C35" s="140">
        <v>2024</v>
      </c>
    </row>
    <row r="36" spans="1:3" x14ac:dyDescent="0.25">
      <c r="B36" s="146" t="s">
        <v>403</v>
      </c>
      <c r="C36" s="142">
        <f>SUM(C37:C39)</f>
        <v>66.828107524278764</v>
      </c>
    </row>
    <row r="37" spans="1:3" x14ac:dyDescent="0.25">
      <c r="B37" s="124" t="s">
        <v>543</v>
      </c>
      <c r="C37" s="508">
        <v>59.127234643706203</v>
      </c>
    </row>
    <row r="38" spans="1:3" x14ac:dyDescent="0.25">
      <c r="B38" s="124" t="s">
        <v>544</v>
      </c>
      <c r="C38" s="508">
        <v>6.7775653605725301</v>
      </c>
    </row>
    <row r="39" spans="1:3" x14ac:dyDescent="0.25">
      <c r="B39" s="124" t="s">
        <v>545</v>
      </c>
      <c r="C39" s="508">
        <v>0.92330752000004002</v>
      </c>
    </row>
    <row r="41" spans="1:3" x14ac:dyDescent="0.25">
      <c r="B41" s="146" t="s">
        <v>553</v>
      </c>
      <c r="C41" s="140">
        <v>2024</v>
      </c>
    </row>
    <row r="42" spans="1:3" x14ac:dyDescent="0.25">
      <c r="B42" s="146" t="s">
        <v>403</v>
      </c>
      <c r="C42" s="142">
        <f>SUM(C43:C46)</f>
        <v>66.828107524268717</v>
      </c>
    </row>
    <row r="43" spans="1:3" x14ac:dyDescent="0.25">
      <c r="B43" s="124" t="s">
        <v>547</v>
      </c>
      <c r="C43" s="508">
        <v>10.208401046882011</v>
      </c>
    </row>
    <row r="44" spans="1:3" x14ac:dyDescent="0.25">
      <c r="B44" s="124" t="s">
        <v>548</v>
      </c>
      <c r="C44" s="508">
        <v>28.196316260001002</v>
      </c>
    </row>
    <row r="45" spans="1:3" x14ac:dyDescent="0.25">
      <c r="B45" s="124" t="s">
        <v>549</v>
      </c>
      <c r="C45" s="508">
        <v>28.423390217385709</v>
      </c>
    </row>
    <row r="46" spans="1:3" x14ac:dyDescent="0.25">
      <c r="B46" s="124" t="s">
        <v>550</v>
      </c>
      <c r="C46" s="508">
        <v>0</v>
      </c>
    </row>
    <row r="49" spans="1:9" ht="18.75" x14ac:dyDescent="0.25">
      <c r="A49" s="103" t="s">
        <v>554</v>
      </c>
    </row>
    <row r="51" spans="1:9" x14ac:dyDescent="0.25">
      <c r="B51" s="113"/>
      <c r="C51" s="150"/>
      <c r="D51" s="150"/>
    </row>
    <row r="52" spans="1:9" ht="30.75" x14ac:dyDescent="0.25">
      <c r="B52" s="146" t="s">
        <v>555</v>
      </c>
      <c r="C52" s="152">
        <v>44197</v>
      </c>
      <c r="D52" s="152">
        <v>44562</v>
      </c>
      <c r="E52" s="152">
        <v>44927</v>
      </c>
      <c r="F52" s="152">
        <v>45292</v>
      </c>
      <c r="G52" s="140" t="s">
        <v>556</v>
      </c>
      <c r="H52" s="140" t="s">
        <v>557</v>
      </c>
      <c r="I52" s="140" t="s">
        <v>558</v>
      </c>
    </row>
    <row r="53" spans="1:9" x14ac:dyDescent="0.25">
      <c r="B53" s="149" t="s">
        <v>559</v>
      </c>
      <c r="C53" s="144">
        <v>121</v>
      </c>
      <c r="D53" s="144">
        <v>125</v>
      </c>
      <c r="E53" s="144">
        <v>409</v>
      </c>
      <c r="F53" s="144">
        <v>397</v>
      </c>
      <c r="G53" s="144">
        <v>144</v>
      </c>
      <c r="H53" s="144">
        <v>149</v>
      </c>
      <c r="I53" s="144">
        <v>155</v>
      </c>
    </row>
    <row r="54" spans="1:9" x14ac:dyDescent="0.25">
      <c r="B54" s="149" t="s">
        <v>560</v>
      </c>
      <c r="C54" s="144"/>
      <c r="D54" s="150"/>
      <c r="E54" s="150">
        <v>108</v>
      </c>
      <c r="F54" s="150"/>
      <c r="G54" s="150"/>
      <c r="H54" s="150"/>
      <c r="I54" s="150"/>
    </row>
    <row r="55" spans="1:9" ht="25.5" x14ac:dyDescent="0.25">
      <c r="B55" s="149" t="s">
        <v>561</v>
      </c>
      <c r="C55" s="149">
        <v>0</v>
      </c>
      <c r="D55" s="156">
        <f t="shared" ref="D55:I55" si="2">SUM(((D53/C53)*100)-100)</f>
        <v>3.3057851239669276</v>
      </c>
      <c r="E55" s="156">
        <f t="shared" si="2"/>
        <v>227.2</v>
      </c>
      <c r="F55" s="156">
        <f t="shared" si="2"/>
        <v>-2.9339853300733552</v>
      </c>
      <c r="G55" s="156">
        <f t="shared" si="2"/>
        <v>-63.727959697732999</v>
      </c>
      <c r="H55" s="156">
        <f t="shared" si="2"/>
        <v>3.4722222222222285</v>
      </c>
      <c r="I55" s="156">
        <f t="shared" si="2"/>
        <v>4.0268456375838895</v>
      </c>
    </row>
    <row r="56" spans="1:9" x14ac:dyDescent="0.25">
      <c r="B56" s="760" t="s">
        <v>562</v>
      </c>
      <c r="C56" s="761"/>
      <c r="D56" s="761"/>
      <c r="E56" s="761"/>
      <c r="F56" s="761"/>
      <c r="G56" s="761"/>
      <c r="H56" s="761"/>
      <c r="I56" s="762"/>
    </row>
    <row r="57" spans="1:9" x14ac:dyDescent="0.25">
      <c r="B57" s="151"/>
      <c r="C57" s="151"/>
      <c r="D57" s="151"/>
      <c r="E57" s="151"/>
      <c r="F57" s="151"/>
      <c r="G57" s="151"/>
      <c r="H57" s="151"/>
    </row>
    <row r="58" spans="1:9" x14ac:dyDescent="0.25">
      <c r="B58" s="151"/>
      <c r="C58" s="151"/>
      <c r="D58" s="151"/>
      <c r="E58" s="151"/>
      <c r="F58" s="151"/>
      <c r="G58" s="151"/>
      <c r="H58" s="151"/>
    </row>
    <row r="59" spans="1:9" x14ac:dyDescent="0.25">
      <c r="B59" s="151"/>
      <c r="C59" s="151"/>
      <c r="D59" s="151"/>
      <c r="E59" s="157"/>
      <c r="F59" s="157"/>
      <c r="G59" s="157"/>
      <c r="H59" s="157"/>
      <c r="I59" s="157"/>
    </row>
    <row r="60" spans="1:9" x14ac:dyDescent="0.25">
      <c r="B60" s="151"/>
      <c r="C60" s="151"/>
      <c r="D60" s="151"/>
      <c r="E60" s="151"/>
      <c r="F60" s="151"/>
      <c r="G60" s="151"/>
      <c r="H60" s="151"/>
    </row>
    <row r="61" spans="1:9" x14ac:dyDescent="0.25">
      <c r="B61" s="151"/>
      <c r="C61" s="151"/>
      <c r="D61" s="151"/>
      <c r="E61" s="151"/>
      <c r="F61" s="151"/>
      <c r="G61" s="151"/>
      <c r="H61" s="151"/>
    </row>
    <row r="62" spans="1:9" x14ac:dyDescent="0.25">
      <c r="B62" s="151"/>
      <c r="C62" s="151"/>
      <c r="D62" s="151"/>
      <c r="E62" s="151"/>
      <c r="F62" s="151"/>
      <c r="G62" s="151"/>
      <c r="H62" s="151"/>
    </row>
    <row r="63" spans="1:9" x14ac:dyDescent="0.25">
      <c r="B63" s="151"/>
      <c r="C63" s="151"/>
      <c r="D63" s="151"/>
      <c r="E63" s="151"/>
      <c r="F63" s="151"/>
      <c r="G63" s="151"/>
      <c r="H63" s="151"/>
    </row>
    <row r="64" spans="1:9" x14ac:dyDescent="0.25">
      <c r="B64" s="151"/>
      <c r="C64" s="151"/>
      <c r="D64" s="151"/>
      <c r="E64" s="151"/>
      <c r="F64" s="151"/>
      <c r="G64" s="151"/>
      <c r="H64" s="151"/>
    </row>
    <row r="65" spans="2:8" x14ac:dyDescent="0.25">
      <c r="B65" s="151"/>
      <c r="C65" s="151"/>
      <c r="D65" s="151"/>
      <c r="E65" s="151"/>
      <c r="F65" s="151"/>
      <c r="G65" s="151"/>
      <c r="H65" s="151"/>
    </row>
    <row r="66" spans="2:8" x14ac:dyDescent="0.25">
      <c r="B66" s="151"/>
      <c r="C66" s="151"/>
      <c r="D66" s="151"/>
      <c r="E66" s="151"/>
      <c r="F66" s="151"/>
      <c r="G66" s="151"/>
      <c r="H66" s="151"/>
    </row>
    <row r="67" spans="2:8" x14ac:dyDescent="0.25">
      <c r="B67" s="151"/>
      <c r="C67" s="151"/>
      <c r="D67" s="151"/>
      <c r="E67" s="151"/>
      <c r="F67" s="151"/>
      <c r="G67" s="151"/>
      <c r="H67" s="151"/>
    </row>
    <row r="68" spans="2:8" x14ac:dyDescent="0.25">
      <c r="B68" s="151"/>
      <c r="C68" s="151"/>
      <c r="D68" s="151"/>
      <c r="E68" s="151"/>
      <c r="F68" s="151"/>
      <c r="G68" s="151"/>
      <c r="H68" s="151"/>
    </row>
    <row r="69" spans="2:8" x14ac:dyDescent="0.25">
      <c r="B69" s="151"/>
      <c r="C69" s="151"/>
      <c r="D69" s="151"/>
      <c r="E69" s="151"/>
      <c r="F69" s="151"/>
      <c r="G69" s="151"/>
      <c r="H69" s="151"/>
    </row>
    <row r="70" spans="2:8" x14ac:dyDescent="0.25">
      <c r="B70" s="113"/>
      <c r="C70" s="757" t="s">
        <v>563</v>
      </c>
      <c r="D70" s="758"/>
      <c r="E70" s="758"/>
      <c r="F70" s="757" t="s">
        <v>564</v>
      </c>
      <c r="G70" s="758"/>
      <c r="H70" s="758"/>
    </row>
    <row r="71" spans="2:8" x14ac:dyDescent="0.25">
      <c r="B71" s="146" t="s">
        <v>565</v>
      </c>
      <c r="C71" s="153" t="s">
        <v>566</v>
      </c>
      <c r="D71" s="154" t="s">
        <v>567</v>
      </c>
      <c r="E71" s="154" t="s">
        <v>403</v>
      </c>
      <c r="F71" s="153" t="s">
        <v>566</v>
      </c>
      <c r="G71" s="154" t="s">
        <v>567</v>
      </c>
      <c r="H71" s="154" t="s">
        <v>403</v>
      </c>
    </row>
    <row r="72" spans="2:8" x14ac:dyDescent="0.25">
      <c r="B72" s="147" t="s">
        <v>403</v>
      </c>
      <c r="C72" s="148">
        <f t="shared" ref="C72:H72" si="3">SUM(C73:C84)</f>
        <v>398.5</v>
      </c>
      <c r="D72" s="148">
        <f t="shared" si="3"/>
        <v>37.100000000000009</v>
      </c>
      <c r="E72" s="148">
        <f t="shared" si="3"/>
        <v>435.6</v>
      </c>
      <c r="F72" s="148">
        <f t="shared" si="3"/>
        <v>458.40000000000003</v>
      </c>
      <c r="G72" s="148">
        <f t="shared" si="3"/>
        <v>52.000000000000007</v>
      </c>
      <c r="H72" s="148">
        <f t="shared" si="3"/>
        <v>510.40000000000003</v>
      </c>
    </row>
    <row r="73" spans="2:8" ht="15.75" thickBot="1" x14ac:dyDescent="0.3">
      <c r="B73" s="506" t="s">
        <v>568</v>
      </c>
      <c r="C73" s="507">
        <v>37</v>
      </c>
      <c r="D73" s="508">
        <v>2</v>
      </c>
      <c r="E73" s="511">
        <f t="shared" ref="E73:E84" si="4">SUM(C73:D73)</f>
        <v>39</v>
      </c>
      <c r="F73" s="507">
        <v>41</v>
      </c>
      <c r="G73" s="508">
        <v>2</v>
      </c>
      <c r="H73" s="132">
        <f t="shared" ref="H73:H83" si="5">SUM(F73:G73)</f>
        <v>43</v>
      </c>
    </row>
    <row r="74" spans="2:8" ht="15.75" thickBot="1" x14ac:dyDescent="0.3">
      <c r="B74" s="506" t="s">
        <v>569</v>
      </c>
      <c r="C74" s="507">
        <v>53.599999999999994</v>
      </c>
      <c r="D74" s="508">
        <v>5.2000000000000028</v>
      </c>
      <c r="E74" s="511">
        <f t="shared" si="4"/>
        <v>58.8</v>
      </c>
      <c r="F74" s="507">
        <v>64.2</v>
      </c>
      <c r="G74" s="508">
        <v>8.6</v>
      </c>
      <c r="H74" s="132">
        <f t="shared" si="5"/>
        <v>72.8</v>
      </c>
    </row>
    <row r="75" spans="2:8" ht="15.75" thickBot="1" x14ac:dyDescent="0.3">
      <c r="B75" s="506" t="s">
        <v>570</v>
      </c>
      <c r="C75" s="507">
        <v>23.8</v>
      </c>
      <c r="D75" s="508">
        <v>5</v>
      </c>
      <c r="E75" s="511">
        <f t="shared" si="4"/>
        <v>28.8</v>
      </c>
      <c r="F75" s="507">
        <v>31.8</v>
      </c>
      <c r="G75" s="508">
        <v>10</v>
      </c>
      <c r="H75" s="132">
        <f t="shared" si="5"/>
        <v>41.8</v>
      </c>
    </row>
    <row r="76" spans="2:8" ht="15.75" thickBot="1" x14ac:dyDescent="0.3">
      <c r="B76" s="506" t="s">
        <v>571</v>
      </c>
      <c r="C76" s="507">
        <v>14</v>
      </c>
      <c r="D76" s="508">
        <v>2</v>
      </c>
      <c r="E76" s="511">
        <f t="shared" si="4"/>
        <v>16</v>
      </c>
      <c r="F76" s="507">
        <v>14.5</v>
      </c>
      <c r="G76" s="508">
        <v>2.5</v>
      </c>
      <c r="H76" s="132">
        <f t="shared" si="5"/>
        <v>17</v>
      </c>
    </row>
    <row r="77" spans="2:8" ht="15.75" thickBot="1" x14ac:dyDescent="0.3">
      <c r="B77" s="506" t="s">
        <v>572</v>
      </c>
      <c r="C77" s="507">
        <v>67.5</v>
      </c>
      <c r="D77" s="508">
        <v>10.5</v>
      </c>
      <c r="E77" s="511">
        <f t="shared" si="4"/>
        <v>78</v>
      </c>
      <c r="F77" s="507">
        <v>83.5</v>
      </c>
      <c r="G77" s="508">
        <v>15</v>
      </c>
      <c r="H77" s="132">
        <f t="shared" si="5"/>
        <v>98.5</v>
      </c>
    </row>
    <row r="78" spans="2:8" ht="15.75" thickBot="1" x14ac:dyDescent="0.3">
      <c r="B78" s="506" t="s">
        <v>573</v>
      </c>
      <c r="C78" s="507">
        <v>62.199999999999996</v>
      </c>
      <c r="D78" s="508">
        <v>2.8000000000000043</v>
      </c>
      <c r="E78" s="511">
        <f t="shared" si="4"/>
        <v>65</v>
      </c>
      <c r="F78" s="507">
        <v>67.3</v>
      </c>
      <c r="G78" s="508">
        <v>5.2</v>
      </c>
      <c r="H78" s="132">
        <f t="shared" si="5"/>
        <v>72.5</v>
      </c>
    </row>
    <row r="79" spans="2:8" ht="15.75" thickBot="1" x14ac:dyDescent="0.3">
      <c r="B79" s="506" t="s">
        <v>574</v>
      </c>
      <c r="C79" s="507">
        <v>11.6</v>
      </c>
      <c r="D79" s="508">
        <v>0.40000000000000036</v>
      </c>
      <c r="E79" s="511">
        <f t="shared" si="4"/>
        <v>12</v>
      </c>
      <c r="F79" s="507">
        <v>14</v>
      </c>
      <c r="G79" s="508">
        <v>2</v>
      </c>
      <c r="H79" s="132">
        <f t="shared" si="5"/>
        <v>16</v>
      </c>
    </row>
    <row r="80" spans="2:8" ht="15.75" thickBot="1" x14ac:dyDescent="0.3">
      <c r="B80" s="506" t="s">
        <v>575</v>
      </c>
      <c r="C80" s="507">
        <v>104</v>
      </c>
      <c r="D80" s="508">
        <v>4</v>
      </c>
      <c r="E80" s="511">
        <f t="shared" si="4"/>
        <v>108</v>
      </c>
      <c r="F80" s="507">
        <v>114</v>
      </c>
      <c r="G80" s="508">
        <v>2</v>
      </c>
      <c r="H80" s="132">
        <f t="shared" si="5"/>
        <v>116</v>
      </c>
    </row>
    <row r="81" spans="2:8" ht="15.75" thickBot="1" x14ac:dyDescent="0.3">
      <c r="B81" s="506" t="s">
        <v>576</v>
      </c>
      <c r="C81" s="507">
        <v>12.8</v>
      </c>
      <c r="D81" s="508">
        <v>2.1999999999999993</v>
      </c>
      <c r="E81" s="511">
        <f t="shared" si="4"/>
        <v>15</v>
      </c>
      <c r="F81" s="507">
        <v>15.8</v>
      </c>
      <c r="G81" s="508">
        <v>2</v>
      </c>
      <c r="H81" s="132">
        <f t="shared" si="5"/>
        <v>17.8</v>
      </c>
    </row>
    <row r="82" spans="2:8" x14ac:dyDescent="0.25">
      <c r="B82" s="509" t="s">
        <v>577</v>
      </c>
      <c r="C82" s="510">
        <v>1</v>
      </c>
      <c r="D82" s="508">
        <v>0</v>
      </c>
      <c r="E82" s="511">
        <f t="shared" si="4"/>
        <v>1</v>
      </c>
      <c r="F82" s="510">
        <v>1</v>
      </c>
      <c r="G82" s="508">
        <v>0</v>
      </c>
      <c r="H82" s="132">
        <f t="shared" si="5"/>
        <v>1</v>
      </c>
    </row>
    <row r="83" spans="2:8" x14ac:dyDescent="0.25">
      <c r="B83" s="509" t="s">
        <v>578</v>
      </c>
      <c r="C83" s="510">
        <v>11</v>
      </c>
      <c r="D83" s="508">
        <v>3</v>
      </c>
      <c r="E83" s="511">
        <f t="shared" si="4"/>
        <v>14</v>
      </c>
      <c r="F83" s="510">
        <v>11.3</v>
      </c>
      <c r="G83" s="508">
        <v>2.7</v>
      </c>
      <c r="H83" s="132">
        <f t="shared" si="5"/>
        <v>14</v>
      </c>
    </row>
    <row r="84" spans="2:8" x14ac:dyDescent="0.25">
      <c r="B84" s="125" t="s">
        <v>579</v>
      </c>
      <c r="C84" s="144"/>
      <c r="D84" s="144"/>
      <c r="E84" s="132">
        <f t="shared" si="4"/>
        <v>0</v>
      </c>
      <c r="F84" s="133"/>
      <c r="G84" s="133"/>
      <c r="H84" s="132">
        <f t="shared" ref="H84" si="6">SUM(F84:G84)</f>
        <v>0</v>
      </c>
    </row>
    <row r="85" spans="2:8" x14ac:dyDescent="0.25">
      <c r="B85" s="155" t="s">
        <v>580</v>
      </c>
    </row>
    <row r="88" spans="2:8" x14ac:dyDescent="0.25">
      <c r="B88" s="128" t="s">
        <v>581</v>
      </c>
      <c r="C88" s="1" t="s">
        <v>582</v>
      </c>
    </row>
    <row r="89" spans="2:8" x14ac:dyDescent="0.25">
      <c r="B89" s="128" t="s">
        <v>577</v>
      </c>
      <c r="C89" s="1" t="s">
        <v>583</v>
      </c>
    </row>
    <row r="90" spans="2:8" x14ac:dyDescent="0.25">
      <c r="B90" s="128" t="s">
        <v>584</v>
      </c>
      <c r="C90" s="1" t="s">
        <v>585</v>
      </c>
    </row>
    <row r="91" spans="2:8" x14ac:dyDescent="0.25">
      <c r="B91" s="128" t="s">
        <v>586</v>
      </c>
      <c r="C91" s="1" t="s">
        <v>587</v>
      </c>
    </row>
    <row r="92" spans="2:8" x14ac:dyDescent="0.25">
      <c r="B92" s="128" t="s">
        <v>588</v>
      </c>
      <c r="C92" s="1" t="s">
        <v>589</v>
      </c>
    </row>
    <row r="93" spans="2:8" x14ac:dyDescent="0.25">
      <c r="B93" s="128" t="s">
        <v>590</v>
      </c>
      <c r="C93" s="1" t="s">
        <v>591</v>
      </c>
    </row>
    <row r="94" spans="2:8" x14ac:dyDescent="0.25">
      <c r="B94" s="128" t="s">
        <v>592</v>
      </c>
      <c r="C94" s="1" t="s">
        <v>593</v>
      </c>
    </row>
    <row r="95" spans="2:8" x14ac:dyDescent="0.25">
      <c r="B95" s="128" t="s">
        <v>571</v>
      </c>
      <c r="C95" s="1" t="s">
        <v>594</v>
      </c>
    </row>
    <row r="96" spans="2:8" x14ac:dyDescent="0.25">
      <c r="B96" s="128" t="s">
        <v>595</v>
      </c>
      <c r="C96" s="1" t="s">
        <v>596</v>
      </c>
    </row>
    <row r="97" spans="2:3" x14ac:dyDescent="0.25">
      <c r="B97" s="128" t="s">
        <v>597</v>
      </c>
      <c r="C97" s="1" t="s">
        <v>598</v>
      </c>
    </row>
    <row r="98" spans="2:3" x14ac:dyDescent="0.25">
      <c r="B98" s="128" t="s">
        <v>574</v>
      </c>
      <c r="C98" s="1" t="s">
        <v>599</v>
      </c>
    </row>
    <row r="99" spans="2:3" x14ac:dyDescent="0.25">
      <c r="C99" s="1" t="s">
        <v>600</v>
      </c>
    </row>
    <row r="100" spans="2:3" x14ac:dyDescent="0.25">
      <c r="C100" s="1" t="s">
        <v>601</v>
      </c>
    </row>
    <row r="101" spans="2:3" x14ac:dyDescent="0.25">
      <c r="C101" s="1" t="s">
        <v>602</v>
      </c>
    </row>
    <row r="102" spans="2:3" x14ac:dyDescent="0.25">
      <c r="C102" s="1" t="s">
        <v>603</v>
      </c>
    </row>
    <row r="103" spans="2:3" x14ac:dyDescent="0.25">
      <c r="C103" s="1" t="s">
        <v>604</v>
      </c>
    </row>
    <row r="104" spans="2:3" x14ac:dyDescent="0.25">
      <c r="C104" s="1" t="s">
        <v>605</v>
      </c>
    </row>
    <row r="105" spans="2:3" x14ac:dyDescent="0.25">
      <c r="C105" s="1" t="s">
        <v>606</v>
      </c>
    </row>
    <row r="106" spans="2:3" x14ac:dyDescent="0.25">
      <c r="C106" s="1" t="s">
        <v>607</v>
      </c>
    </row>
    <row r="107" spans="2:3" x14ac:dyDescent="0.25">
      <c r="C107" s="1" t="s">
        <v>608</v>
      </c>
    </row>
    <row r="108" spans="2:3" x14ac:dyDescent="0.25">
      <c r="C108" s="1" t="s">
        <v>609</v>
      </c>
    </row>
    <row r="109" spans="2:3" x14ac:dyDescent="0.25">
      <c r="C109" s="1" t="s">
        <v>610</v>
      </c>
    </row>
    <row r="110" spans="2:3" x14ac:dyDescent="0.25">
      <c r="C110" s="1" t="s">
        <v>611</v>
      </c>
    </row>
    <row r="111" spans="2:3" x14ac:dyDescent="0.25">
      <c r="C111" s="1" t="s">
        <v>612</v>
      </c>
    </row>
    <row r="112" spans="2:3" x14ac:dyDescent="0.25">
      <c r="C112" s="1" t="s">
        <v>613</v>
      </c>
    </row>
  </sheetData>
  <mergeCells count="6">
    <mergeCell ref="C70:E70"/>
    <mergeCell ref="F70:H70"/>
    <mergeCell ref="C4:F4"/>
    <mergeCell ref="B18:B19"/>
    <mergeCell ref="C18:F18"/>
    <mergeCell ref="B56:I5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16576-A41B-4D61-A34F-3FA8B519285E}">
  <dimension ref="A1:R204"/>
  <sheetViews>
    <sheetView topLeftCell="B1" workbookViewId="0">
      <pane ySplit="3" topLeftCell="A4" activePane="bottomLeft" state="frozen"/>
      <selection pane="bottomLeft" activeCell="L13" sqref="L13"/>
    </sheetView>
  </sheetViews>
  <sheetFormatPr defaultColWidth="8.7109375" defaultRowHeight="15" x14ac:dyDescent="0.25"/>
  <cols>
    <col min="1" max="1" width="39.7109375" style="3" customWidth="1"/>
    <col min="2" max="2" width="35.28515625" style="3" bestFit="1" customWidth="1"/>
    <col min="3" max="3" width="15.28515625" style="3" customWidth="1"/>
    <col min="4" max="4" width="33" style="3" bestFit="1" customWidth="1"/>
    <col min="5" max="9" width="5.7109375" style="3" customWidth="1"/>
    <col min="10" max="10" width="12.28515625" style="3" customWidth="1"/>
    <col min="11" max="11" width="15.42578125" style="3" customWidth="1"/>
    <col min="12" max="12" width="16.5703125" style="3" customWidth="1"/>
    <col min="13" max="13" width="15.7109375" style="3" customWidth="1"/>
    <col min="14" max="14" width="22.28515625" style="3" customWidth="1"/>
    <col min="15" max="15" width="19.28515625" style="3" customWidth="1"/>
    <col min="16" max="17" width="12.28515625" style="3" customWidth="1"/>
    <col min="18" max="18" width="22.5703125" style="3" customWidth="1"/>
    <col min="19" max="16384" width="8.7109375" style="3"/>
  </cols>
  <sheetData>
    <row r="1" spans="1:18" s="595" customFormat="1" ht="59.65" customHeight="1" x14ac:dyDescent="0.25">
      <c r="A1" s="593" t="s">
        <v>614</v>
      </c>
      <c r="B1" s="593" t="s">
        <v>615</v>
      </c>
      <c r="C1" s="593" t="s">
        <v>615</v>
      </c>
      <c r="D1" s="593" t="s">
        <v>616</v>
      </c>
      <c r="E1" s="778" t="s">
        <v>617</v>
      </c>
      <c r="F1" s="779"/>
      <c r="G1" s="779"/>
      <c r="H1" s="779"/>
      <c r="I1" s="780"/>
      <c r="J1" s="593" t="s">
        <v>618</v>
      </c>
      <c r="K1" s="593" t="s">
        <v>619</v>
      </c>
      <c r="L1" s="593" t="s">
        <v>620</v>
      </c>
      <c r="M1" s="593" t="s">
        <v>621</v>
      </c>
      <c r="N1" s="593" t="s">
        <v>622</v>
      </c>
      <c r="O1" s="593" t="s">
        <v>623</v>
      </c>
      <c r="P1" s="593" t="s">
        <v>624</v>
      </c>
      <c r="Q1" s="594" t="s">
        <v>625</v>
      </c>
      <c r="R1" s="593" t="s">
        <v>626</v>
      </c>
    </row>
    <row r="2" spans="1:18" customFormat="1" ht="17.100000000000001" customHeight="1" x14ac:dyDescent="0.25">
      <c r="A2" s="763" t="s">
        <v>627</v>
      </c>
      <c r="B2" s="763" t="s">
        <v>628</v>
      </c>
      <c r="C2" s="763" t="s">
        <v>629</v>
      </c>
      <c r="D2" s="763" t="s">
        <v>630</v>
      </c>
      <c r="E2" s="781" t="s">
        <v>631</v>
      </c>
      <c r="F2" s="782"/>
      <c r="G2" s="782"/>
      <c r="H2" s="782"/>
      <c r="I2" s="783"/>
      <c r="J2" s="763" t="s">
        <v>632</v>
      </c>
      <c r="K2" s="763" t="s">
        <v>633</v>
      </c>
      <c r="L2" s="776" t="s">
        <v>634</v>
      </c>
      <c r="M2" s="776" t="s">
        <v>635</v>
      </c>
      <c r="N2" s="776" t="s">
        <v>636</v>
      </c>
      <c r="O2" s="763" t="s">
        <v>637</v>
      </c>
      <c r="P2" s="763" t="s">
        <v>638</v>
      </c>
      <c r="Q2" s="774" t="s">
        <v>639</v>
      </c>
      <c r="R2" s="763"/>
    </row>
    <row r="3" spans="1:18" customFormat="1" ht="27" customHeight="1" x14ac:dyDescent="0.25">
      <c r="A3" s="764"/>
      <c r="B3" s="764"/>
      <c r="C3" s="764"/>
      <c r="D3" s="764"/>
      <c r="E3" s="409">
        <v>2023</v>
      </c>
      <c r="F3" s="409">
        <v>2024</v>
      </c>
      <c r="G3" s="409">
        <v>2025</v>
      </c>
      <c r="H3" s="409">
        <v>2026</v>
      </c>
      <c r="I3" s="409">
        <v>2027</v>
      </c>
      <c r="J3" s="764"/>
      <c r="K3" s="764"/>
      <c r="L3" s="777"/>
      <c r="M3" s="777"/>
      <c r="N3" s="777"/>
      <c r="O3" s="764"/>
      <c r="P3" s="764"/>
      <c r="Q3" s="775"/>
      <c r="R3" s="764"/>
    </row>
    <row r="4" spans="1:18" s="70" customFormat="1" x14ac:dyDescent="0.25">
      <c r="A4" s="410" t="s">
        <v>640</v>
      </c>
      <c r="B4" s="410" t="s">
        <v>584</v>
      </c>
      <c r="C4" s="410">
        <v>3</v>
      </c>
      <c r="D4" s="410" t="s">
        <v>641</v>
      </c>
      <c r="E4" s="411"/>
      <c r="F4" s="411" t="s">
        <v>501</v>
      </c>
      <c r="G4" s="411"/>
      <c r="H4" s="411"/>
      <c r="I4" s="411"/>
      <c r="J4" s="412" t="s">
        <v>642</v>
      </c>
      <c r="K4" s="410" t="s">
        <v>643</v>
      </c>
      <c r="L4" s="765">
        <v>381731</v>
      </c>
      <c r="M4" s="413"/>
      <c r="N4" s="413"/>
      <c r="O4" s="415" t="s">
        <v>644</v>
      </c>
      <c r="P4" s="414"/>
      <c r="Q4" s="410"/>
      <c r="R4" s="265" t="s">
        <v>115</v>
      </c>
    </row>
    <row r="5" spans="1:18" s="70" customFormat="1" x14ac:dyDescent="0.25">
      <c r="A5" s="410" t="s">
        <v>640</v>
      </c>
      <c r="B5" s="410" t="s">
        <v>571</v>
      </c>
      <c r="C5" s="410"/>
      <c r="D5" s="410"/>
      <c r="E5" s="411"/>
      <c r="F5" s="411" t="s">
        <v>501</v>
      </c>
      <c r="G5" s="411"/>
      <c r="H5" s="411"/>
      <c r="I5" s="411"/>
      <c r="J5" s="412" t="s">
        <v>642</v>
      </c>
      <c r="K5" s="410" t="s">
        <v>643</v>
      </c>
      <c r="L5" s="766"/>
      <c r="M5" s="413"/>
      <c r="N5" s="413"/>
      <c r="O5" s="415" t="s">
        <v>644</v>
      </c>
      <c r="P5" s="414"/>
      <c r="Q5" s="410"/>
      <c r="R5" s="265" t="s">
        <v>115</v>
      </c>
    </row>
    <row r="6" spans="1:18" s="1" customFormat="1" x14ac:dyDescent="0.25">
      <c r="A6" s="410" t="s">
        <v>640</v>
      </c>
      <c r="B6" s="410" t="s">
        <v>590</v>
      </c>
      <c r="C6" s="410"/>
      <c r="D6" s="410"/>
      <c r="E6" s="411"/>
      <c r="F6" s="411" t="s">
        <v>501</v>
      </c>
      <c r="G6" s="411"/>
      <c r="H6" s="411"/>
      <c r="I6" s="411"/>
      <c r="J6" s="412" t="s">
        <v>642</v>
      </c>
      <c r="K6" s="410" t="s">
        <v>643</v>
      </c>
      <c r="L6" s="766"/>
      <c r="M6" s="415"/>
      <c r="N6" s="415"/>
      <c r="O6" s="415" t="s">
        <v>644</v>
      </c>
      <c r="P6" s="416"/>
      <c r="Q6" s="410"/>
      <c r="R6" s="265" t="s">
        <v>115</v>
      </c>
    </row>
    <row r="7" spans="1:18" s="1" customFormat="1" x14ac:dyDescent="0.25">
      <c r="A7" s="410" t="s">
        <v>640</v>
      </c>
      <c r="B7" s="410" t="s">
        <v>590</v>
      </c>
      <c r="C7" s="410"/>
      <c r="D7" s="410"/>
      <c r="E7" s="411"/>
      <c r="F7" s="411" t="s">
        <v>501</v>
      </c>
      <c r="G7" s="411"/>
      <c r="H7" s="411"/>
      <c r="I7" s="411"/>
      <c r="J7" s="412" t="s">
        <v>642</v>
      </c>
      <c r="K7" s="410" t="s">
        <v>643</v>
      </c>
      <c r="L7" s="766"/>
      <c r="M7" s="415"/>
      <c r="N7" s="415"/>
      <c r="O7" s="415" t="s">
        <v>644</v>
      </c>
      <c r="P7" s="416"/>
      <c r="Q7" s="487"/>
      <c r="R7" s="265" t="s">
        <v>115</v>
      </c>
    </row>
    <row r="8" spans="1:18" s="1" customFormat="1" x14ac:dyDescent="0.25">
      <c r="A8" s="410" t="s">
        <v>640</v>
      </c>
      <c r="B8" s="410" t="s">
        <v>595</v>
      </c>
      <c r="C8" s="410"/>
      <c r="D8" s="410"/>
      <c r="E8" s="411"/>
      <c r="F8" s="411" t="s">
        <v>501</v>
      </c>
      <c r="G8" s="411"/>
      <c r="H8" s="411"/>
      <c r="I8" s="411"/>
      <c r="J8" s="412" t="s">
        <v>642</v>
      </c>
      <c r="K8" s="410" t="s">
        <v>643</v>
      </c>
      <c r="L8" s="766"/>
      <c r="M8" s="415"/>
      <c r="N8" s="415"/>
      <c r="O8" s="415" t="s">
        <v>644</v>
      </c>
      <c r="P8" s="416"/>
      <c r="Q8" s="487"/>
      <c r="R8" s="265" t="s">
        <v>115</v>
      </c>
    </row>
    <row r="9" spans="1:18" x14ac:dyDescent="0.25">
      <c r="A9" s="410" t="s">
        <v>640</v>
      </c>
      <c r="B9" s="415" t="s">
        <v>645</v>
      </c>
      <c r="C9" s="410"/>
      <c r="D9" s="410"/>
      <c r="E9" s="410"/>
      <c r="F9" s="410" t="s">
        <v>501</v>
      </c>
      <c r="G9" s="410"/>
      <c r="H9" s="410"/>
      <c r="I9" s="410"/>
      <c r="J9" s="412" t="s">
        <v>642</v>
      </c>
      <c r="K9" s="410" t="s">
        <v>643</v>
      </c>
      <c r="L9" s="767"/>
      <c r="M9" s="415"/>
      <c r="N9" s="415"/>
      <c r="O9" s="415" t="s">
        <v>644</v>
      </c>
      <c r="P9" s="416"/>
      <c r="Q9" s="487"/>
      <c r="R9" s="415" t="s">
        <v>115</v>
      </c>
    </row>
    <row r="10" spans="1:18" s="1" customFormat="1" x14ac:dyDescent="0.25">
      <c r="A10" s="410" t="s">
        <v>640</v>
      </c>
      <c r="B10" s="413" t="s">
        <v>595</v>
      </c>
      <c r="C10" s="413"/>
      <c r="D10" s="413"/>
      <c r="E10" s="417" t="s">
        <v>501</v>
      </c>
      <c r="F10" s="417"/>
      <c r="G10" s="417"/>
      <c r="H10" s="417"/>
      <c r="I10" s="417"/>
      <c r="J10" s="412" t="s">
        <v>642</v>
      </c>
      <c r="K10" s="418" t="s">
        <v>646</v>
      </c>
      <c r="L10" s="419">
        <v>86317.06</v>
      </c>
      <c r="M10" s="415"/>
      <c r="N10" s="415"/>
      <c r="O10" s="415" t="s">
        <v>644</v>
      </c>
      <c r="P10" s="416"/>
      <c r="Q10" s="487"/>
      <c r="R10" s="265" t="s">
        <v>115</v>
      </c>
    </row>
    <row r="11" spans="1:18" s="1" customFormat="1" x14ac:dyDescent="0.25">
      <c r="A11" s="410" t="s">
        <v>640</v>
      </c>
      <c r="B11" s="413" t="s">
        <v>574</v>
      </c>
      <c r="C11" s="415"/>
      <c r="D11" s="415"/>
      <c r="E11" s="417" t="s">
        <v>501</v>
      </c>
      <c r="F11" s="417"/>
      <c r="G11" s="420"/>
      <c r="H11" s="420"/>
      <c r="I11" s="420"/>
      <c r="J11" s="412" t="s">
        <v>642</v>
      </c>
      <c r="K11" s="418" t="s">
        <v>646</v>
      </c>
      <c r="L11" s="419">
        <v>61141.25</v>
      </c>
      <c r="M11" s="415"/>
      <c r="N11" s="415"/>
      <c r="O11" s="415" t="s">
        <v>644</v>
      </c>
      <c r="P11" s="416"/>
      <c r="Q11" s="487"/>
      <c r="R11" s="265" t="s">
        <v>115</v>
      </c>
    </row>
    <row r="12" spans="1:18" s="1" customFormat="1" x14ac:dyDescent="0.25">
      <c r="A12" s="410" t="s">
        <v>640</v>
      </c>
      <c r="B12" s="413" t="s">
        <v>584</v>
      </c>
      <c r="C12" s="415"/>
      <c r="D12" s="415"/>
      <c r="E12" s="417" t="s">
        <v>501</v>
      </c>
      <c r="F12" s="417"/>
      <c r="G12" s="420"/>
      <c r="H12" s="420"/>
      <c r="I12" s="420"/>
      <c r="J12" s="412" t="s">
        <v>642</v>
      </c>
      <c r="K12" s="418" t="s">
        <v>646</v>
      </c>
      <c r="L12" s="419">
        <v>75527.42</v>
      </c>
      <c r="M12" s="415"/>
      <c r="N12" s="415"/>
      <c r="O12" s="415" t="s">
        <v>644</v>
      </c>
      <c r="P12" s="416"/>
      <c r="Q12" s="487"/>
      <c r="R12" s="265" t="s">
        <v>115</v>
      </c>
    </row>
    <row r="13" spans="1:18" s="1" customFormat="1" x14ac:dyDescent="0.25">
      <c r="A13" s="415" t="s">
        <v>647</v>
      </c>
      <c r="B13" s="415" t="s">
        <v>588</v>
      </c>
      <c r="C13" s="415"/>
      <c r="D13" s="415"/>
      <c r="E13" s="420" t="s">
        <v>501</v>
      </c>
      <c r="F13" s="420"/>
      <c r="G13" s="420"/>
      <c r="H13" s="420"/>
      <c r="I13" s="420"/>
      <c r="J13" s="412" t="s">
        <v>642</v>
      </c>
      <c r="K13" s="614" t="s">
        <v>648</v>
      </c>
      <c r="L13" s="421">
        <v>54991.8</v>
      </c>
      <c r="M13" s="415"/>
      <c r="N13" s="415"/>
      <c r="O13" s="415" t="s">
        <v>644</v>
      </c>
      <c r="P13" s="416">
        <v>0.5</v>
      </c>
      <c r="Q13" s="487"/>
      <c r="R13" s="265" t="s">
        <v>235</v>
      </c>
    </row>
    <row r="14" spans="1:18" s="1" customFormat="1" x14ac:dyDescent="0.25">
      <c r="A14" s="415" t="s">
        <v>649</v>
      </c>
      <c r="B14" s="415" t="s">
        <v>568</v>
      </c>
      <c r="C14" s="415">
        <v>3</v>
      </c>
      <c r="D14" s="415" t="s">
        <v>641</v>
      </c>
      <c r="E14" s="420"/>
      <c r="F14" s="420"/>
      <c r="G14" s="420"/>
      <c r="H14" s="420"/>
      <c r="I14" s="420"/>
      <c r="J14" s="412" t="s">
        <v>642</v>
      </c>
      <c r="K14" s="410" t="s">
        <v>643</v>
      </c>
      <c r="L14" s="422">
        <f>71517*P14</f>
        <v>14303.400000000001</v>
      </c>
      <c r="M14" s="415" t="s">
        <v>239</v>
      </c>
      <c r="N14" s="415"/>
      <c r="O14" s="415" t="s">
        <v>644</v>
      </c>
      <c r="P14" s="416">
        <v>0.2</v>
      </c>
      <c r="Q14" s="487"/>
      <c r="R14" s="265" t="s">
        <v>115</v>
      </c>
    </row>
    <row r="15" spans="1:18" x14ac:dyDescent="0.25">
      <c r="A15" s="415" t="s">
        <v>649</v>
      </c>
      <c r="B15" s="415" t="s">
        <v>645</v>
      </c>
      <c r="C15" s="415">
        <v>3</v>
      </c>
      <c r="D15" s="415" t="s">
        <v>650</v>
      </c>
      <c r="E15" s="415"/>
      <c r="F15" s="415"/>
      <c r="G15" s="415"/>
      <c r="H15" s="415"/>
      <c r="I15" s="415"/>
      <c r="J15" s="412" t="s">
        <v>642</v>
      </c>
      <c r="K15" s="410" t="s">
        <v>643</v>
      </c>
      <c r="L15" s="415">
        <f>59343*P15</f>
        <v>22550.34</v>
      </c>
      <c r="M15" s="415" t="s">
        <v>239</v>
      </c>
      <c r="N15" s="415"/>
      <c r="O15" s="415" t="s">
        <v>644</v>
      </c>
      <c r="P15" s="416">
        <v>0.38</v>
      </c>
      <c r="Q15" s="487"/>
      <c r="R15" s="415" t="s">
        <v>115</v>
      </c>
    </row>
    <row r="16" spans="1:18" s="1" customFormat="1" x14ac:dyDescent="0.25">
      <c r="A16" s="415" t="s">
        <v>649</v>
      </c>
      <c r="B16" s="415" t="s">
        <v>651</v>
      </c>
      <c r="C16" s="415">
        <v>2</v>
      </c>
      <c r="D16" s="415" t="s">
        <v>652</v>
      </c>
      <c r="E16" s="420"/>
      <c r="F16" s="420"/>
      <c r="G16" s="420"/>
      <c r="H16" s="420"/>
      <c r="I16" s="420"/>
      <c r="J16" s="412" t="s">
        <v>642</v>
      </c>
      <c r="K16" s="410" t="s">
        <v>643</v>
      </c>
      <c r="L16" s="422">
        <f>37310*P16</f>
        <v>18655</v>
      </c>
      <c r="M16" s="415" t="s">
        <v>239</v>
      </c>
      <c r="N16" s="415"/>
      <c r="O16" s="415" t="s">
        <v>644</v>
      </c>
      <c r="P16" s="416">
        <v>0.5</v>
      </c>
      <c r="Q16" s="487"/>
      <c r="R16" s="265" t="s">
        <v>115</v>
      </c>
    </row>
    <row r="17" spans="1:18" s="1" customFormat="1" x14ac:dyDescent="0.25">
      <c r="A17" s="415" t="s">
        <v>649</v>
      </c>
      <c r="B17" s="415" t="s">
        <v>653</v>
      </c>
      <c r="C17" s="415">
        <v>3</v>
      </c>
      <c r="D17" s="415" t="s">
        <v>654</v>
      </c>
      <c r="E17" s="420"/>
      <c r="F17" s="420"/>
      <c r="G17" s="420"/>
      <c r="H17" s="420"/>
      <c r="I17" s="420"/>
      <c r="J17" s="412" t="s">
        <v>239</v>
      </c>
      <c r="K17" s="410" t="s">
        <v>643</v>
      </c>
      <c r="L17" s="422">
        <f>64738*P17</f>
        <v>16184.5</v>
      </c>
      <c r="M17" s="415" t="s">
        <v>239</v>
      </c>
      <c r="N17" s="415"/>
      <c r="O17" s="415" t="s">
        <v>644</v>
      </c>
      <c r="P17" s="416">
        <v>0.25</v>
      </c>
      <c r="Q17" s="487"/>
      <c r="R17" s="265" t="s">
        <v>115</v>
      </c>
    </row>
    <row r="18" spans="1:18" s="1" customFormat="1" x14ac:dyDescent="0.25">
      <c r="A18" s="415" t="s">
        <v>649</v>
      </c>
      <c r="B18" s="415" t="s">
        <v>655</v>
      </c>
      <c r="C18" s="415">
        <v>3</v>
      </c>
      <c r="D18" s="415" t="s">
        <v>656</v>
      </c>
      <c r="E18" s="420" t="s">
        <v>501</v>
      </c>
      <c r="F18" s="420" t="s">
        <v>501</v>
      </c>
      <c r="G18" s="420" t="s">
        <v>501</v>
      </c>
      <c r="H18" s="420"/>
      <c r="I18" s="420"/>
      <c r="J18" s="412" t="s">
        <v>239</v>
      </c>
      <c r="K18" s="410" t="s">
        <v>648</v>
      </c>
      <c r="L18" s="421" t="s">
        <v>657</v>
      </c>
      <c r="M18" s="415" t="s">
        <v>642</v>
      </c>
      <c r="N18" s="415" t="s">
        <v>658</v>
      </c>
      <c r="O18" s="415" t="s">
        <v>659</v>
      </c>
      <c r="P18" s="416">
        <v>0.3</v>
      </c>
      <c r="Q18" s="487"/>
      <c r="R18" s="265" t="s">
        <v>660</v>
      </c>
    </row>
    <row r="19" spans="1:18" x14ac:dyDescent="0.25">
      <c r="A19" s="415" t="s">
        <v>649</v>
      </c>
      <c r="B19" s="415" t="s">
        <v>645</v>
      </c>
      <c r="C19" s="415">
        <v>4</v>
      </c>
      <c r="D19" s="415" t="s">
        <v>650</v>
      </c>
      <c r="E19" s="415" t="s">
        <v>501</v>
      </c>
      <c r="F19" s="415" t="s">
        <v>501</v>
      </c>
      <c r="G19" s="415" t="s">
        <v>501</v>
      </c>
      <c r="H19" s="415"/>
      <c r="I19" s="415"/>
      <c r="J19" s="412" t="s">
        <v>642</v>
      </c>
      <c r="K19" s="410" t="s">
        <v>648</v>
      </c>
      <c r="L19" s="599" t="s">
        <v>657</v>
      </c>
      <c r="M19" s="415" t="s">
        <v>642</v>
      </c>
      <c r="N19" s="415" t="s">
        <v>661</v>
      </c>
      <c r="O19" s="415" t="s">
        <v>659</v>
      </c>
      <c r="P19" s="416">
        <v>0.6</v>
      </c>
      <c r="Q19" s="487"/>
      <c r="R19" s="415" t="s">
        <v>660</v>
      </c>
    </row>
    <row r="20" spans="1:18" s="1" customFormat="1" x14ac:dyDescent="0.25">
      <c r="A20" s="415" t="s">
        <v>649</v>
      </c>
      <c r="B20" s="415" t="s">
        <v>651</v>
      </c>
      <c r="C20" s="415">
        <v>4</v>
      </c>
      <c r="D20" s="415" t="s">
        <v>662</v>
      </c>
      <c r="E20" s="420" t="s">
        <v>501</v>
      </c>
      <c r="F20" s="420" t="s">
        <v>501</v>
      </c>
      <c r="G20" s="420" t="s">
        <v>501</v>
      </c>
      <c r="H20" s="420"/>
      <c r="I20" s="420"/>
      <c r="J20" s="412" t="s">
        <v>642</v>
      </c>
      <c r="K20" s="410" t="s">
        <v>648</v>
      </c>
      <c r="L20" s="421" t="s">
        <v>657</v>
      </c>
      <c r="M20" s="415" t="s">
        <v>642</v>
      </c>
      <c r="N20" s="415" t="s">
        <v>663</v>
      </c>
      <c r="O20" s="415" t="s">
        <v>659</v>
      </c>
      <c r="P20" s="416">
        <v>0.7</v>
      </c>
      <c r="Q20" s="487"/>
      <c r="R20" s="265" t="s">
        <v>660</v>
      </c>
    </row>
    <row r="21" spans="1:18" s="1" customFormat="1" x14ac:dyDescent="0.25">
      <c r="A21" s="415" t="s">
        <v>649</v>
      </c>
      <c r="B21" s="415" t="s">
        <v>651</v>
      </c>
      <c r="C21" s="415">
        <v>3</v>
      </c>
      <c r="D21" s="415" t="s">
        <v>652</v>
      </c>
      <c r="E21" s="420" t="s">
        <v>501</v>
      </c>
      <c r="F21" s="420" t="s">
        <v>501</v>
      </c>
      <c r="G21" s="420" t="s">
        <v>501</v>
      </c>
      <c r="H21" s="420"/>
      <c r="I21" s="420"/>
      <c r="J21" s="412" t="s">
        <v>642</v>
      </c>
      <c r="K21" s="410" t="s">
        <v>648</v>
      </c>
      <c r="L21" s="421" t="s">
        <v>657</v>
      </c>
      <c r="M21" s="415" t="s">
        <v>642</v>
      </c>
      <c r="N21" s="415" t="s">
        <v>664</v>
      </c>
      <c r="O21" s="415" t="s">
        <v>659</v>
      </c>
      <c r="P21" s="416">
        <v>1.3</v>
      </c>
      <c r="Q21" s="487"/>
      <c r="R21" s="265" t="s">
        <v>660</v>
      </c>
    </row>
    <row r="22" spans="1:18" s="1" customFormat="1" x14ac:dyDescent="0.25">
      <c r="A22" s="415" t="s">
        <v>649</v>
      </c>
      <c r="B22" s="415" t="s">
        <v>665</v>
      </c>
      <c r="C22" s="415">
        <v>3</v>
      </c>
      <c r="D22" s="415" t="s">
        <v>666</v>
      </c>
      <c r="E22" s="420" t="s">
        <v>501</v>
      </c>
      <c r="F22" s="420" t="s">
        <v>501</v>
      </c>
      <c r="G22" s="420" t="s">
        <v>501</v>
      </c>
      <c r="H22" s="420"/>
      <c r="I22" s="420"/>
      <c r="J22" s="412" t="s">
        <v>642</v>
      </c>
      <c r="K22" s="410" t="s">
        <v>648</v>
      </c>
      <c r="L22" s="421" t="s">
        <v>657</v>
      </c>
      <c r="M22" s="415" t="s">
        <v>642</v>
      </c>
      <c r="N22" s="415" t="s">
        <v>667</v>
      </c>
      <c r="O22" s="415" t="s">
        <v>659</v>
      </c>
      <c r="P22" s="416">
        <v>0.6</v>
      </c>
      <c r="Q22" s="487"/>
      <c r="R22" s="265" t="s">
        <v>660</v>
      </c>
    </row>
    <row r="23" spans="1:18" s="1" customFormat="1" x14ac:dyDescent="0.25">
      <c r="A23" s="415" t="s">
        <v>649</v>
      </c>
      <c r="B23" s="415" t="s">
        <v>668</v>
      </c>
      <c r="C23" s="415"/>
      <c r="D23" s="415" t="s">
        <v>669</v>
      </c>
      <c r="E23" s="420"/>
      <c r="F23" s="420"/>
      <c r="G23" s="420"/>
      <c r="H23" s="420"/>
      <c r="I23" s="420"/>
      <c r="J23" s="412" t="s">
        <v>642</v>
      </c>
      <c r="K23" s="410" t="s">
        <v>643</v>
      </c>
      <c r="L23" s="421" t="s">
        <v>657</v>
      </c>
      <c r="M23" s="415" t="s">
        <v>239</v>
      </c>
      <c r="N23" s="415"/>
      <c r="O23" s="415" t="s">
        <v>644</v>
      </c>
      <c r="P23" s="416">
        <v>0.3</v>
      </c>
      <c r="Q23" s="488"/>
      <c r="R23" s="265" t="s">
        <v>235</v>
      </c>
    </row>
    <row r="24" spans="1:18" s="1" customFormat="1" x14ac:dyDescent="0.25">
      <c r="A24" s="415" t="s">
        <v>670</v>
      </c>
      <c r="B24" s="415" t="s">
        <v>568</v>
      </c>
      <c r="C24" s="415">
        <v>3</v>
      </c>
      <c r="D24" s="415" t="s">
        <v>641</v>
      </c>
      <c r="E24" s="420"/>
      <c r="F24" s="420"/>
      <c r="G24" s="420"/>
      <c r="H24" s="420"/>
      <c r="I24" s="420"/>
      <c r="J24" s="412" t="s">
        <v>642</v>
      </c>
      <c r="K24" s="410" t="s">
        <v>643</v>
      </c>
      <c r="L24" s="422">
        <f>71517*P24</f>
        <v>35758.5</v>
      </c>
      <c r="M24" s="415" t="s">
        <v>239</v>
      </c>
      <c r="N24" s="415"/>
      <c r="O24" s="415" t="s">
        <v>644</v>
      </c>
      <c r="P24" s="416">
        <v>0.5</v>
      </c>
      <c r="Q24" s="425"/>
      <c r="R24" s="265" t="s">
        <v>115</v>
      </c>
    </row>
    <row r="25" spans="1:18" x14ac:dyDescent="0.25">
      <c r="A25" s="415" t="s">
        <v>670</v>
      </c>
      <c r="B25" s="415" t="s">
        <v>645</v>
      </c>
      <c r="C25" s="415">
        <v>3</v>
      </c>
      <c r="D25" s="415" t="s">
        <v>650</v>
      </c>
      <c r="E25" s="415"/>
      <c r="F25" s="415"/>
      <c r="G25" s="415"/>
      <c r="H25" s="415"/>
      <c r="I25" s="415"/>
      <c r="J25" s="412" t="s">
        <v>642</v>
      </c>
      <c r="K25" s="410" t="s">
        <v>643</v>
      </c>
      <c r="L25" s="415">
        <f>59343*P25</f>
        <v>29671.5</v>
      </c>
      <c r="M25" s="415" t="s">
        <v>239</v>
      </c>
      <c r="N25" s="415"/>
      <c r="O25" s="415" t="s">
        <v>644</v>
      </c>
      <c r="P25" s="416">
        <v>0.5</v>
      </c>
      <c r="Q25" s="487"/>
      <c r="R25" s="415" t="s">
        <v>115</v>
      </c>
    </row>
    <row r="26" spans="1:18" s="1" customFormat="1" x14ac:dyDescent="0.25">
      <c r="A26" s="415" t="s">
        <v>670</v>
      </c>
      <c r="B26" s="415" t="s">
        <v>671</v>
      </c>
      <c r="C26" s="415">
        <v>3</v>
      </c>
      <c r="D26" s="415" t="s">
        <v>662</v>
      </c>
      <c r="E26" s="420" t="s">
        <v>501</v>
      </c>
      <c r="F26" s="420"/>
      <c r="G26" s="420"/>
      <c r="H26" s="420"/>
      <c r="I26" s="420"/>
      <c r="J26" s="412" t="s">
        <v>642</v>
      </c>
      <c r="K26" s="410" t="s">
        <v>646</v>
      </c>
      <c r="L26" s="422">
        <f>75527*P26</f>
        <v>30210.800000000003</v>
      </c>
      <c r="M26" s="415" t="s">
        <v>239</v>
      </c>
      <c r="N26" s="415"/>
      <c r="O26" s="415" t="s">
        <v>644</v>
      </c>
      <c r="P26" s="416">
        <v>0.4</v>
      </c>
      <c r="Q26" s="425"/>
      <c r="R26" s="265" t="s">
        <v>115</v>
      </c>
    </row>
    <row r="27" spans="1:18" s="1" customFormat="1" x14ac:dyDescent="0.25">
      <c r="A27" s="415" t="s">
        <v>670</v>
      </c>
      <c r="B27" s="415" t="s">
        <v>651</v>
      </c>
      <c r="C27" s="415">
        <v>4</v>
      </c>
      <c r="D27" s="415" t="s">
        <v>652</v>
      </c>
      <c r="E27" s="420"/>
      <c r="F27" s="420" t="s">
        <v>501</v>
      </c>
      <c r="G27" s="420"/>
      <c r="H27" s="420"/>
      <c r="I27" s="420"/>
      <c r="J27" s="412" t="s">
        <v>642</v>
      </c>
      <c r="K27" s="410" t="s">
        <v>646</v>
      </c>
      <c r="L27" s="422">
        <f>75527*P27</f>
        <v>37763.5</v>
      </c>
      <c r="M27" s="415" t="s">
        <v>239</v>
      </c>
      <c r="N27" s="415"/>
      <c r="O27" s="415" t="s">
        <v>644</v>
      </c>
      <c r="P27" s="416">
        <v>0.5</v>
      </c>
      <c r="Q27" s="425"/>
      <c r="R27" s="265" t="s">
        <v>115</v>
      </c>
    </row>
    <row r="28" spans="1:18" s="1" customFormat="1" x14ac:dyDescent="0.25">
      <c r="A28" s="415" t="s">
        <v>670</v>
      </c>
      <c r="B28" s="415" t="s">
        <v>665</v>
      </c>
      <c r="C28" s="415">
        <v>3</v>
      </c>
      <c r="D28" s="415" t="s">
        <v>666</v>
      </c>
      <c r="E28" s="420"/>
      <c r="F28" s="420" t="s">
        <v>501</v>
      </c>
      <c r="G28" s="420"/>
      <c r="H28" s="420"/>
      <c r="I28" s="420"/>
      <c r="J28" s="412" t="s">
        <v>642</v>
      </c>
      <c r="K28" s="410" t="s">
        <v>646</v>
      </c>
      <c r="L28" s="422">
        <f>57545*P28</f>
        <v>17263.5</v>
      </c>
      <c r="M28" s="415" t="s">
        <v>239</v>
      </c>
      <c r="N28" s="415"/>
      <c r="O28" s="415" t="s">
        <v>644</v>
      </c>
      <c r="P28" s="416">
        <v>0.3</v>
      </c>
      <c r="Q28" s="425"/>
      <c r="R28" s="265" t="s">
        <v>115</v>
      </c>
    </row>
    <row r="29" spans="1:18" s="1" customFormat="1" x14ac:dyDescent="0.25">
      <c r="A29" s="415" t="s">
        <v>670</v>
      </c>
      <c r="B29" s="415" t="s">
        <v>653</v>
      </c>
      <c r="C29" s="415">
        <v>3</v>
      </c>
      <c r="D29" s="415" t="s">
        <v>654</v>
      </c>
      <c r="E29" s="420"/>
      <c r="F29" s="420"/>
      <c r="G29" s="420"/>
      <c r="H29" s="420"/>
      <c r="I29" s="420"/>
      <c r="J29" s="412" t="s">
        <v>239</v>
      </c>
      <c r="K29" s="410" t="s">
        <v>643</v>
      </c>
      <c r="L29" s="422">
        <f>64738*P29</f>
        <v>16184.5</v>
      </c>
      <c r="M29" s="415" t="s">
        <v>239</v>
      </c>
      <c r="N29" s="415"/>
      <c r="O29" s="415" t="s">
        <v>644</v>
      </c>
      <c r="P29" s="416">
        <v>0.25</v>
      </c>
      <c r="Q29" s="425"/>
      <c r="R29" s="265" t="s">
        <v>115</v>
      </c>
    </row>
    <row r="30" spans="1:18" s="1" customFormat="1" x14ac:dyDescent="0.25">
      <c r="A30" s="415" t="s">
        <v>670</v>
      </c>
      <c r="B30" s="415" t="s">
        <v>588</v>
      </c>
      <c r="C30" s="415"/>
      <c r="D30" s="415" t="s">
        <v>672</v>
      </c>
      <c r="E30" s="420"/>
      <c r="F30" s="420"/>
      <c r="G30" s="420"/>
      <c r="H30" s="420"/>
      <c r="I30" s="420"/>
      <c r="J30" s="412" t="s">
        <v>642</v>
      </c>
      <c r="K30" s="410" t="s">
        <v>643</v>
      </c>
      <c r="L30" s="422">
        <f>59006*P30</f>
        <v>17701.8</v>
      </c>
      <c r="M30" s="415" t="s">
        <v>239</v>
      </c>
      <c r="N30" s="415"/>
      <c r="O30" s="415" t="s">
        <v>644</v>
      </c>
      <c r="P30" s="416">
        <v>0.3</v>
      </c>
      <c r="Q30" s="425"/>
      <c r="R30" s="265" t="s">
        <v>235</v>
      </c>
    </row>
    <row r="31" spans="1:18" s="1" customFormat="1" x14ac:dyDescent="0.25">
      <c r="A31" s="415" t="s">
        <v>670</v>
      </c>
      <c r="B31" s="415" t="s">
        <v>673</v>
      </c>
      <c r="C31" s="415"/>
      <c r="D31" s="415" t="s">
        <v>674</v>
      </c>
      <c r="E31" s="420" t="s">
        <v>501</v>
      </c>
      <c r="F31" s="420"/>
      <c r="G31" s="420"/>
      <c r="H31" s="420"/>
      <c r="I31" s="420"/>
      <c r="J31" s="412" t="s">
        <v>239</v>
      </c>
      <c r="K31" s="410" t="s">
        <v>646</v>
      </c>
      <c r="L31" s="422">
        <f>45840*P31</f>
        <v>9168</v>
      </c>
      <c r="M31" s="415" t="s">
        <v>239</v>
      </c>
      <c r="N31" s="415"/>
      <c r="O31" s="415" t="s">
        <v>644</v>
      </c>
      <c r="P31" s="416">
        <v>0.2</v>
      </c>
      <c r="Q31" s="425"/>
      <c r="R31" s="265" t="s">
        <v>235</v>
      </c>
    </row>
    <row r="32" spans="1:18" s="1" customFormat="1" x14ac:dyDescent="0.25">
      <c r="A32" s="415" t="s">
        <v>670</v>
      </c>
      <c r="B32" s="415" t="s">
        <v>668</v>
      </c>
      <c r="C32" s="415"/>
      <c r="D32" s="415" t="s">
        <v>675</v>
      </c>
      <c r="E32" s="420" t="s">
        <v>501</v>
      </c>
      <c r="F32" s="420"/>
      <c r="G32" s="420"/>
      <c r="H32" s="420"/>
      <c r="I32" s="420"/>
      <c r="J32" s="412" t="s">
        <v>642</v>
      </c>
      <c r="K32" s="410" t="s">
        <v>646</v>
      </c>
      <c r="L32" s="422">
        <f>45840*P32</f>
        <v>36672</v>
      </c>
      <c r="M32" s="415" t="s">
        <v>239</v>
      </c>
      <c r="N32" s="415"/>
      <c r="O32" s="415" t="s">
        <v>676</v>
      </c>
      <c r="P32" s="416">
        <v>0.8</v>
      </c>
      <c r="Q32" s="425"/>
      <c r="R32" s="265" t="s">
        <v>235</v>
      </c>
    </row>
    <row r="33" spans="1:18" s="1" customFormat="1" x14ac:dyDescent="0.25">
      <c r="A33" s="415" t="s">
        <v>670</v>
      </c>
      <c r="B33" s="415" t="s">
        <v>668</v>
      </c>
      <c r="C33" s="415"/>
      <c r="D33" s="415" t="s">
        <v>669</v>
      </c>
      <c r="E33" s="420"/>
      <c r="F33" s="420"/>
      <c r="G33" s="420"/>
      <c r="H33" s="420"/>
      <c r="I33" s="420"/>
      <c r="J33" s="412" t="s">
        <v>642</v>
      </c>
      <c r="K33" s="410" t="s">
        <v>643</v>
      </c>
      <c r="L33" s="422">
        <f>49244*P33</f>
        <v>24622</v>
      </c>
      <c r="M33" s="415" t="s">
        <v>239</v>
      </c>
      <c r="N33" s="415"/>
      <c r="O33" s="415" t="s">
        <v>644</v>
      </c>
      <c r="P33" s="416">
        <v>0.5</v>
      </c>
      <c r="Q33" s="425"/>
      <c r="R33" s="265" t="s">
        <v>235</v>
      </c>
    </row>
    <row r="34" spans="1:18" s="1" customFormat="1" x14ac:dyDescent="0.25">
      <c r="A34" s="415" t="s">
        <v>670</v>
      </c>
      <c r="B34" s="415" t="s">
        <v>655</v>
      </c>
      <c r="C34" s="415">
        <v>3</v>
      </c>
      <c r="D34" s="415" t="s">
        <v>656</v>
      </c>
      <c r="E34" s="420" t="s">
        <v>501</v>
      </c>
      <c r="F34" s="420" t="s">
        <v>501</v>
      </c>
      <c r="G34" s="420" t="s">
        <v>501</v>
      </c>
      <c r="H34" s="420" t="s">
        <v>501</v>
      </c>
      <c r="I34" s="420"/>
      <c r="J34" s="412" t="s">
        <v>239</v>
      </c>
      <c r="K34" s="410" t="s">
        <v>648</v>
      </c>
      <c r="L34" s="422" t="s">
        <v>657</v>
      </c>
      <c r="M34" s="415" t="s">
        <v>642</v>
      </c>
      <c r="N34" s="415" t="s">
        <v>677</v>
      </c>
      <c r="O34" s="415" t="s">
        <v>659</v>
      </c>
      <c r="P34" s="416">
        <v>0.2</v>
      </c>
      <c r="Q34" s="425"/>
      <c r="R34" s="265" t="s">
        <v>660</v>
      </c>
    </row>
    <row r="35" spans="1:18" x14ac:dyDescent="0.25">
      <c r="A35" s="415" t="s">
        <v>670</v>
      </c>
      <c r="B35" s="415" t="s">
        <v>645</v>
      </c>
      <c r="C35" s="415">
        <v>4</v>
      </c>
      <c r="D35" s="415" t="s">
        <v>650</v>
      </c>
      <c r="E35" s="415" t="s">
        <v>501</v>
      </c>
      <c r="F35" s="415" t="s">
        <v>501</v>
      </c>
      <c r="G35" s="415" t="s">
        <v>501</v>
      </c>
      <c r="H35" s="415" t="s">
        <v>501</v>
      </c>
      <c r="I35" s="415"/>
      <c r="J35" s="412" t="s">
        <v>642</v>
      </c>
      <c r="K35" s="410" t="s">
        <v>648</v>
      </c>
      <c r="L35" s="415" t="s">
        <v>657</v>
      </c>
      <c r="M35" s="415" t="s">
        <v>642</v>
      </c>
      <c r="N35" s="415" t="s">
        <v>678</v>
      </c>
      <c r="O35" s="415" t="s">
        <v>659</v>
      </c>
      <c r="P35" s="416">
        <v>0.6</v>
      </c>
      <c r="Q35" s="487"/>
      <c r="R35" s="415" t="s">
        <v>660</v>
      </c>
    </row>
    <row r="36" spans="1:18" s="1" customFormat="1" x14ac:dyDescent="0.25">
      <c r="A36" s="415" t="s">
        <v>670</v>
      </c>
      <c r="B36" s="415" t="s">
        <v>651</v>
      </c>
      <c r="C36" s="415">
        <v>3</v>
      </c>
      <c r="D36" s="415" t="s">
        <v>652</v>
      </c>
      <c r="E36" s="420"/>
      <c r="F36" s="420" t="s">
        <v>501</v>
      </c>
      <c r="G36" s="420" t="s">
        <v>501</v>
      </c>
      <c r="H36" s="420" t="s">
        <v>501</v>
      </c>
      <c r="I36" s="420"/>
      <c r="J36" s="412" t="s">
        <v>642</v>
      </c>
      <c r="K36" s="410" t="s">
        <v>648</v>
      </c>
      <c r="L36" s="422" t="s">
        <v>657</v>
      </c>
      <c r="M36" s="415" t="s">
        <v>642</v>
      </c>
      <c r="N36" s="415" t="s">
        <v>679</v>
      </c>
      <c r="O36" s="415" t="s">
        <v>659</v>
      </c>
      <c r="P36" s="416">
        <v>1</v>
      </c>
      <c r="Q36" s="425"/>
      <c r="R36" s="265" t="s">
        <v>660</v>
      </c>
    </row>
    <row r="37" spans="1:18" s="1" customFormat="1" x14ac:dyDescent="0.25">
      <c r="A37" s="415" t="s">
        <v>670</v>
      </c>
      <c r="B37" s="415" t="s">
        <v>651</v>
      </c>
      <c r="C37" s="415">
        <v>3</v>
      </c>
      <c r="D37" s="415" t="s">
        <v>652</v>
      </c>
      <c r="E37" s="420"/>
      <c r="F37" s="420" t="s">
        <v>501</v>
      </c>
      <c r="G37" s="420" t="s">
        <v>501</v>
      </c>
      <c r="H37" s="420" t="s">
        <v>501</v>
      </c>
      <c r="I37" s="420"/>
      <c r="J37" s="412" t="s">
        <v>642</v>
      </c>
      <c r="K37" s="410" t="s">
        <v>648</v>
      </c>
      <c r="L37" s="422" t="s">
        <v>657</v>
      </c>
      <c r="M37" s="415" t="s">
        <v>642</v>
      </c>
      <c r="N37" s="415" t="s">
        <v>679</v>
      </c>
      <c r="O37" s="415" t="s">
        <v>659</v>
      </c>
      <c r="P37" s="416">
        <v>1</v>
      </c>
      <c r="Q37" s="425"/>
      <c r="R37" s="265" t="s">
        <v>660</v>
      </c>
    </row>
    <row r="38" spans="1:18" s="1" customFormat="1" x14ac:dyDescent="0.25">
      <c r="A38" s="415" t="s">
        <v>670</v>
      </c>
      <c r="B38" s="415" t="s">
        <v>651</v>
      </c>
      <c r="C38" s="415">
        <v>3</v>
      </c>
      <c r="D38" s="415" t="s">
        <v>652</v>
      </c>
      <c r="E38" s="420"/>
      <c r="F38" s="420" t="s">
        <v>501</v>
      </c>
      <c r="G38" s="420" t="s">
        <v>501</v>
      </c>
      <c r="H38" s="420" t="s">
        <v>501</v>
      </c>
      <c r="I38" s="420"/>
      <c r="J38" s="412" t="s">
        <v>642</v>
      </c>
      <c r="K38" s="410" t="s">
        <v>648</v>
      </c>
      <c r="L38" s="422" t="s">
        <v>657</v>
      </c>
      <c r="M38" s="415" t="s">
        <v>642</v>
      </c>
      <c r="N38" s="415" t="s">
        <v>679</v>
      </c>
      <c r="O38" s="415" t="s">
        <v>659</v>
      </c>
      <c r="P38" s="416">
        <v>0.9</v>
      </c>
      <c r="Q38" s="425"/>
      <c r="R38" s="265" t="s">
        <v>660</v>
      </c>
    </row>
    <row r="39" spans="1:18" s="1" customFormat="1" x14ac:dyDescent="0.25">
      <c r="A39" s="415" t="s">
        <v>670</v>
      </c>
      <c r="B39" s="415" t="s">
        <v>665</v>
      </c>
      <c r="C39" s="415">
        <v>3</v>
      </c>
      <c r="D39" s="415" t="s">
        <v>666</v>
      </c>
      <c r="E39" s="420"/>
      <c r="F39" s="420" t="s">
        <v>501</v>
      </c>
      <c r="G39" s="420" t="s">
        <v>501</v>
      </c>
      <c r="H39" s="420" t="s">
        <v>501</v>
      </c>
      <c r="I39" s="420"/>
      <c r="J39" s="412" t="s">
        <v>642</v>
      </c>
      <c r="K39" s="410" t="s">
        <v>648</v>
      </c>
      <c r="L39" s="422" t="s">
        <v>657</v>
      </c>
      <c r="M39" s="415" t="s">
        <v>642</v>
      </c>
      <c r="N39" s="415" t="s">
        <v>680</v>
      </c>
      <c r="O39" s="415" t="s">
        <v>659</v>
      </c>
      <c r="P39" s="416">
        <v>0.6</v>
      </c>
      <c r="Q39" s="425"/>
      <c r="R39" s="265" t="s">
        <v>660</v>
      </c>
    </row>
    <row r="40" spans="1:18" s="1" customFormat="1" x14ac:dyDescent="0.25">
      <c r="A40" s="415" t="s">
        <v>681</v>
      </c>
      <c r="B40" s="415" t="s">
        <v>682</v>
      </c>
      <c r="C40" s="415"/>
      <c r="D40" s="415" t="s">
        <v>607</v>
      </c>
      <c r="E40" s="420"/>
      <c r="F40" s="420" t="s">
        <v>501</v>
      </c>
      <c r="G40" s="420" t="s">
        <v>501</v>
      </c>
      <c r="H40" s="420" t="s">
        <v>501</v>
      </c>
      <c r="I40" s="420"/>
      <c r="J40" s="412" t="s">
        <v>642</v>
      </c>
      <c r="K40" s="410" t="s">
        <v>648</v>
      </c>
      <c r="L40" s="422" t="s">
        <v>657</v>
      </c>
      <c r="M40" s="415" t="s">
        <v>642</v>
      </c>
      <c r="N40" s="415" t="s">
        <v>683</v>
      </c>
      <c r="O40" s="415" t="s">
        <v>659</v>
      </c>
      <c r="P40" s="416"/>
      <c r="Q40" s="425"/>
      <c r="R40" s="265" t="s">
        <v>660</v>
      </c>
    </row>
    <row r="41" spans="1:18" s="1" customFormat="1" x14ac:dyDescent="0.25">
      <c r="A41" s="415" t="s">
        <v>684</v>
      </c>
      <c r="B41" s="415" t="s">
        <v>568</v>
      </c>
      <c r="C41" s="415">
        <v>3</v>
      </c>
      <c r="D41" s="415" t="s">
        <v>641</v>
      </c>
      <c r="E41" s="420"/>
      <c r="F41" s="420"/>
      <c r="G41" s="420"/>
      <c r="H41" s="420"/>
      <c r="I41" s="420"/>
      <c r="J41" s="412" t="s">
        <v>642</v>
      </c>
      <c r="K41" s="410" t="s">
        <v>643</v>
      </c>
      <c r="L41" s="422">
        <f>71517*P41</f>
        <v>14303.400000000001</v>
      </c>
      <c r="M41" s="415" t="s">
        <v>239</v>
      </c>
      <c r="N41" s="415" t="s">
        <v>657</v>
      </c>
      <c r="O41" s="415" t="s">
        <v>644</v>
      </c>
      <c r="P41" s="416">
        <v>0.2</v>
      </c>
      <c r="Q41" s="425"/>
      <c r="R41" s="265" t="s">
        <v>115</v>
      </c>
    </row>
    <row r="42" spans="1:18" x14ac:dyDescent="0.25">
      <c r="A42" s="415" t="s">
        <v>684</v>
      </c>
      <c r="B42" s="415" t="s">
        <v>645</v>
      </c>
      <c r="C42" s="415">
        <v>3</v>
      </c>
      <c r="D42" s="415" t="s">
        <v>650</v>
      </c>
      <c r="E42" s="415"/>
      <c r="F42" s="415"/>
      <c r="G42" s="415"/>
      <c r="H42" s="415"/>
      <c r="I42" s="415"/>
      <c r="J42" s="412" t="s">
        <v>642</v>
      </c>
      <c r="K42" s="410" t="s">
        <v>643</v>
      </c>
      <c r="L42" s="415">
        <f>59343*P42</f>
        <v>17802.899999999998</v>
      </c>
      <c r="M42" s="415" t="s">
        <v>239</v>
      </c>
      <c r="N42" s="415" t="s">
        <v>657</v>
      </c>
      <c r="O42" s="415" t="s">
        <v>644</v>
      </c>
      <c r="P42" s="416">
        <v>0.3</v>
      </c>
      <c r="Q42" s="487"/>
      <c r="R42" s="415" t="s">
        <v>115</v>
      </c>
    </row>
    <row r="43" spans="1:18" s="1" customFormat="1" x14ac:dyDescent="0.25">
      <c r="A43" s="415" t="s">
        <v>684</v>
      </c>
      <c r="B43" s="415" t="s">
        <v>671</v>
      </c>
      <c r="C43" s="415">
        <v>3</v>
      </c>
      <c r="D43" s="415" t="s">
        <v>662</v>
      </c>
      <c r="E43" s="420"/>
      <c r="F43" s="420"/>
      <c r="G43" s="420"/>
      <c r="H43" s="420"/>
      <c r="I43" s="420"/>
      <c r="J43" s="412" t="s">
        <v>642</v>
      </c>
      <c r="K43" s="410" t="s">
        <v>643</v>
      </c>
      <c r="L43" s="422">
        <f>75527*P43</f>
        <v>7552.7000000000007</v>
      </c>
      <c r="M43" s="415" t="s">
        <v>239</v>
      </c>
      <c r="N43" s="415" t="s">
        <v>657</v>
      </c>
      <c r="O43" s="415" t="s">
        <v>644</v>
      </c>
      <c r="P43" s="416">
        <v>0.1</v>
      </c>
      <c r="Q43" s="425"/>
      <c r="R43" s="265" t="s">
        <v>115</v>
      </c>
    </row>
    <row r="44" spans="1:18" s="1" customFormat="1" x14ac:dyDescent="0.25">
      <c r="A44" s="415" t="s">
        <v>684</v>
      </c>
      <c r="B44" s="415" t="s">
        <v>651</v>
      </c>
      <c r="C44" s="415">
        <v>4</v>
      </c>
      <c r="D44" s="415" t="s">
        <v>652</v>
      </c>
      <c r="E44" s="420"/>
      <c r="F44" s="420" t="s">
        <v>501</v>
      </c>
      <c r="G44" s="420"/>
      <c r="H44" s="420"/>
      <c r="I44" s="420"/>
      <c r="J44" s="412" t="s">
        <v>642</v>
      </c>
      <c r="K44" s="410" t="s">
        <v>646</v>
      </c>
      <c r="L44" s="422">
        <f>75527*P44</f>
        <v>18881.75</v>
      </c>
      <c r="M44" s="415" t="s">
        <v>239</v>
      </c>
      <c r="N44" s="415" t="s">
        <v>657</v>
      </c>
      <c r="O44" s="415" t="s">
        <v>644</v>
      </c>
      <c r="P44" s="416">
        <v>0.25</v>
      </c>
      <c r="Q44" s="425"/>
      <c r="R44" s="265" t="s">
        <v>115</v>
      </c>
    </row>
    <row r="45" spans="1:18" s="1" customFormat="1" x14ac:dyDescent="0.25">
      <c r="A45" s="415" t="s">
        <v>684</v>
      </c>
      <c r="B45" s="415" t="s">
        <v>651</v>
      </c>
      <c r="C45" s="415">
        <v>2</v>
      </c>
      <c r="D45" s="415" t="s">
        <v>652</v>
      </c>
      <c r="E45" s="420"/>
      <c r="F45" s="420"/>
      <c r="G45" s="420"/>
      <c r="H45" s="420"/>
      <c r="I45" s="420"/>
      <c r="J45" s="412" t="s">
        <v>239</v>
      </c>
      <c r="K45" s="410" t="s">
        <v>643</v>
      </c>
      <c r="L45" s="422">
        <f>37310*P45</f>
        <v>11193</v>
      </c>
      <c r="M45" s="415" t="s">
        <v>239</v>
      </c>
      <c r="N45" s="415" t="s">
        <v>657</v>
      </c>
      <c r="O45" s="415" t="s">
        <v>644</v>
      </c>
      <c r="P45" s="416">
        <v>0.3</v>
      </c>
      <c r="Q45" s="425"/>
      <c r="R45" s="265" t="s">
        <v>115</v>
      </c>
    </row>
    <row r="46" spans="1:18" s="1" customFormat="1" x14ac:dyDescent="0.25">
      <c r="A46" s="415" t="s">
        <v>684</v>
      </c>
      <c r="B46" s="415" t="s">
        <v>665</v>
      </c>
      <c r="C46" s="415">
        <v>3</v>
      </c>
      <c r="D46" s="415" t="s">
        <v>666</v>
      </c>
      <c r="E46" s="420"/>
      <c r="F46" s="420" t="s">
        <v>501</v>
      </c>
      <c r="G46" s="420"/>
      <c r="H46" s="420"/>
      <c r="I46" s="420"/>
      <c r="J46" s="412" t="s">
        <v>642</v>
      </c>
      <c r="K46" s="410" t="s">
        <v>646</v>
      </c>
      <c r="L46" s="422">
        <f>57545*P46</f>
        <v>14386.25</v>
      </c>
      <c r="M46" s="415" t="s">
        <v>239</v>
      </c>
      <c r="N46" s="415" t="s">
        <v>657</v>
      </c>
      <c r="O46" s="415" t="s">
        <v>644</v>
      </c>
      <c r="P46" s="416">
        <v>0.25</v>
      </c>
      <c r="Q46" s="425"/>
      <c r="R46" s="265" t="s">
        <v>115</v>
      </c>
    </row>
    <row r="47" spans="1:18" s="1" customFormat="1" x14ac:dyDescent="0.25">
      <c r="A47" s="415" t="s">
        <v>684</v>
      </c>
      <c r="B47" s="415" t="s">
        <v>653</v>
      </c>
      <c r="C47" s="415">
        <v>3</v>
      </c>
      <c r="D47" s="415" t="s">
        <v>654</v>
      </c>
      <c r="E47" s="420"/>
      <c r="F47" s="420"/>
      <c r="G47" s="420"/>
      <c r="H47" s="420"/>
      <c r="I47" s="420"/>
      <c r="J47" s="412" t="s">
        <v>239</v>
      </c>
      <c r="K47" s="410" t="s">
        <v>643</v>
      </c>
      <c r="L47" s="422">
        <f>64738*P47</f>
        <v>12947.6</v>
      </c>
      <c r="M47" s="415" t="s">
        <v>239</v>
      </c>
      <c r="N47" s="415" t="s">
        <v>657</v>
      </c>
      <c r="O47" s="415" t="s">
        <v>644</v>
      </c>
      <c r="P47" s="416">
        <v>0.2</v>
      </c>
      <c r="Q47" s="425"/>
      <c r="R47" s="265" t="s">
        <v>115</v>
      </c>
    </row>
    <row r="48" spans="1:18" s="1" customFormat="1" x14ac:dyDescent="0.25">
      <c r="A48" s="415" t="s">
        <v>684</v>
      </c>
      <c r="B48" s="415" t="s">
        <v>588</v>
      </c>
      <c r="C48" s="415"/>
      <c r="D48" s="415" t="s">
        <v>672</v>
      </c>
      <c r="E48" s="420"/>
      <c r="F48" s="420"/>
      <c r="G48" s="420"/>
      <c r="H48" s="420"/>
      <c r="I48" s="420"/>
      <c r="J48" s="412" t="s">
        <v>642</v>
      </c>
      <c r="K48" s="410" t="s">
        <v>643</v>
      </c>
      <c r="L48" s="422">
        <f>59006*P48</f>
        <v>8850.9</v>
      </c>
      <c r="M48" s="415" t="s">
        <v>239</v>
      </c>
      <c r="N48" s="415" t="s">
        <v>657</v>
      </c>
      <c r="O48" s="415" t="s">
        <v>644</v>
      </c>
      <c r="P48" s="416">
        <v>0.15</v>
      </c>
      <c r="Q48" s="425"/>
      <c r="R48" s="265" t="s">
        <v>235</v>
      </c>
    </row>
    <row r="49" spans="1:18" s="1" customFormat="1" x14ac:dyDescent="0.25">
      <c r="A49" s="415" t="s">
        <v>684</v>
      </c>
      <c r="B49" s="415" t="s">
        <v>673</v>
      </c>
      <c r="C49" s="415"/>
      <c r="D49" s="415" t="s">
        <v>674</v>
      </c>
      <c r="E49" s="420"/>
      <c r="F49" s="420" t="s">
        <v>501</v>
      </c>
      <c r="G49" s="420"/>
      <c r="H49" s="420"/>
      <c r="I49" s="420"/>
      <c r="J49" s="412" t="s">
        <v>239</v>
      </c>
      <c r="K49" s="410" t="s">
        <v>646</v>
      </c>
      <c r="L49" s="422">
        <f>45840*P49</f>
        <v>13752</v>
      </c>
      <c r="M49" s="415" t="s">
        <v>239</v>
      </c>
      <c r="N49" s="415" t="s">
        <v>657</v>
      </c>
      <c r="O49" s="415" t="s">
        <v>644</v>
      </c>
      <c r="P49" s="416">
        <v>0.3</v>
      </c>
      <c r="Q49" s="425"/>
      <c r="R49" s="265" t="s">
        <v>235</v>
      </c>
    </row>
    <row r="50" spans="1:18" s="1" customFormat="1" x14ac:dyDescent="0.25">
      <c r="A50" s="415" t="s">
        <v>684</v>
      </c>
      <c r="B50" s="415" t="s">
        <v>668</v>
      </c>
      <c r="C50" s="415"/>
      <c r="D50" s="415" t="s">
        <v>675</v>
      </c>
      <c r="E50" s="420"/>
      <c r="F50" s="420" t="s">
        <v>501</v>
      </c>
      <c r="G50" s="420"/>
      <c r="H50" s="420"/>
      <c r="I50" s="420"/>
      <c r="J50" s="412" t="s">
        <v>642</v>
      </c>
      <c r="K50" s="410" t="s">
        <v>646</v>
      </c>
      <c r="L50" s="422">
        <f>45840*P50</f>
        <v>22920</v>
      </c>
      <c r="M50" s="415" t="s">
        <v>239</v>
      </c>
      <c r="N50" s="415" t="s">
        <v>657</v>
      </c>
      <c r="O50" s="415" t="s">
        <v>685</v>
      </c>
      <c r="P50" s="416">
        <v>0.5</v>
      </c>
      <c r="Q50" s="416"/>
      <c r="R50" s="265" t="s">
        <v>235</v>
      </c>
    </row>
    <row r="51" spans="1:18" s="1" customFormat="1" x14ac:dyDescent="0.25">
      <c r="A51" s="415" t="s">
        <v>684</v>
      </c>
      <c r="B51" s="415" t="s">
        <v>668</v>
      </c>
      <c r="C51" s="415"/>
      <c r="D51" s="415" t="s">
        <v>669</v>
      </c>
      <c r="E51" s="420"/>
      <c r="F51" s="420"/>
      <c r="G51" s="420"/>
      <c r="H51" s="420"/>
      <c r="I51" s="420"/>
      <c r="J51" s="412" t="s">
        <v>642</v>
      </c>
      <c r="K51" s="410" t="s">
        <v>643</v>
      </c>
      <c r="L51" s="422">
        <f>49244*P51</f>
        <v>9848.8000000000011</v>
      </c>
      <c r="M51" s="415" t="s">
        <v>239</v>
      </c>
      <c r="N51" s="415" t="s">
        <v>657</v>
      </c>
      <c r="O51" s="415" t="s">
        <v>644</v>
      </c>
      <c r="P51" s="416">
        <v>0.2</v>
      </c>
      <c r="Q51" s="416"/>
      <c r="R51" s="265" t="s">
        <v>235</v>
      </c>
    </row>
    <row r="52" spans="1:18" s="1" customFormat="1" x14ac:dyDescent="0.25">
      <c r="A52" s="415" t="s">
        <v>684</v>
      </c>
      <c r="B52" s="415" t="s">
        <v>655</v>
      </c>
      <c r="C52" s="415">
        <v>3</v>
      </c>
      <c r="D52" s="415" t="s">
        <v>656</v>
      </c>
      <c r="E52" s="420"/>
      <c r="F52" s="420" t="s">
        <v>501</v>
      </c>
      <c r="G52" s="420"/>
      <c r="H52" s="420"/>
      <c r="I52" s="420"/>
      <c r="J52" s="412" t="s">
        <v>239</v>
      </c>
      <c r="K52" s="410" t="s">
        <v>648</v>
      </c>
      <c r="L52" s="422" t="s">
        <v>657</v>
      </c>
      <c r="M52" s="415" t="s">
        <v>642</v>
      </c>
      <c r="N52" s="423">
        <v>33600</v>
      </c>
      <c r="O52" s="415" t="s">
        <v>685</v>
      </c>
      <c r="P52" s="416">
        <v>0.25</v>
      </c>
      <c r="Q52" s="416"/>
      <c r="R52" s="265" t="s">
        <v>660</v>
      </c>
    </row>
    <row r="53" spans="1:18" x14ac:dyDescent="0.25">
      <c r="A53" s="415" t="s">
        <v>684</v>
      </c>
      <c r="B53" s="415" t="s">
        <v>645</v>
      </c>
      <c r="C53" s="415">
        <v>4</v>
      </c>
      <c r="D53" s="415" t="s">
        <v>650</v>
      </c>
      <c r="E53" s="415"/>
      <c r="F53" s="415" t="s">
        <v>501</v>
      </c>
      <c r="G53" s="415"/>
      <c r="H53" s="415"/>
      <c r="I53" s="415"/>
      <c r="J53" s="412" t="s">
        <v>642</v>
      </c>
      <c r="K53" s="410" t="s">
        <v>648</v>
      </c>
      <c r="L53" s="415" t="s">
        <v>657</v>
      </c>
      <c r="M53" s="415" t="s">
        <v>642</v>
      </c>
      <c r="N53" s="423">
        <v>107520</v>
      </c>
      <c r="O53" s="415" t="s">
        <v>685</v>
      </c>
      <c r="P53" s="416">
        <v>0.8</v>
      </c>
      <c r="Q53" s="416"/>
      <c r="R53" s="415" t="s">
        <v>660</v>
      </c>
    </row>
    <row r="54" spans="1:18" s="1" customFormat="1" x14ac:dyDescent="0.25">
      <c r="A54" s="415" t="s">
        <v>684</v>
      </c>
      <c r="B54" s="415" t="s">
        <v>651</v>
      </c>
      <c r="C54" s="415">
        <v>3</v>
      </c>
      <c r="D54" s="415" t="s">
        <v>652</v>
      </c>
      <c r="E54" s="420"/>
      <c r="F54" s="420" t="s">
        <v>501</v>
      </c>
      <c r="G54" s="420"/>
      <c r="H54" s="420"/>
      <c r="I54" s="420"/>
      <c r="J54" s="412" t="s">
        <v>642</v>
      </c>
      <c r="K54" s="410" t="s">
        <v>648</v>
      </c>
      <c r="L54" s="422" t="s">
        <v>657</v>
      </c>
      <c r="M54" s="415" t="s">
        <v>642</v>
      </c>
      <c r="N54" s="423">
        <v>87360</v>
      </c>
      <c r="O54" s="415" t="s">
        <v>685</v>
      </c>
      <c r="P54" s="416">
        <v>0.65</v>
      </c>
      <c r="Q54" s="416"/>
      <c r="R54" s="265" t="s">
        <v>660</v>
      </c>
    </row>
    <row r="55" spans="1:18" s="1" customFormat="1" x14ac:dyDescent="0.25">
      <c r="A55" s="415" t="s">
        <v>684</v>
      </c>
      <c r="B55" s="415" t="s">
        <v>651</v>
      </c>
      <c r="C55" s="415">
        <v>3</v>
      </c>
      <c r="D55" s="415" t="s">
        <v>652</v>
      </c>
      <c r="E55" s="420"/>
      <c r="F55" s="420" t="s">
        <v>501</v>
      </c>
      <c r="G55" s="420"/>
      <c r="H55" s="420"/>
      <c r="I55" s="420"/>
      <c r="J55" s="412" t="s">
        <v>642</v>
      </c>
      <c r="K55" s="410" t="s">
        <v>648</v>
      </c>
      <c r="L55" s="422" t="s">
        <v>657</v>
      </c>
      <c r="M55" s="415" t="s">
        <v>642</v>
      </c>
      <c r="N55" s="423">
        <v>134400</v>
      </c>
      <c r="O55" s="415" t="s">
        <v>685</v>
      </c>
      <c r="P55" s="416">
        <v>1</v>
      </c>
      <c r="Q55" s="416"/>
      <c r="R55" s="265" t="s">
        <v>660</v>
      </c>
    </row>
    <row r="56" spans="1:18" s="1" customFormat="1" x14ac:dyDescent="0.25">
      <c r="A56" s="415" t="s">
        <v>684</v>
      </c>
      <c r="B56" s="415" t="s">
        <v>665</v>
      </c>
      <c r="C56" s="415">
        <v>3</v>
      </c>
      <c r="D56" s="415" t="s">
        <v>666</v>
      </c>
      <c r="E56" s="420"/>
      <c r="F56" s="420" t="s">
        <v>501</v>
      </c>
      <c r="G56" s="420"/>
      <c r="H56" s="420"/>
      <c r="I56" s="420"/>
      <c r="J56" s="412" t="s">
        <v>642</v>
      </c>
      <c r="K56" s="410" t="s">
        <v>648</v>
      </c>
      <c r="L56" s="422" t="s">
        <v>657</v>
      </c>
      <c r="M56" s="415" t="s">
        <v>642</v>
      </c>
      <c r="N56" s="423">
        <v>53760</v>
      </c>
      <c r="O56" s="415" t="s">
        <v>685</v>
      </c>
      <c r="P56" s="416">
        <v>0.4</v>
      </c>
      <c r="Q56" s="416"/>
      <c r="R56" s="265" t="s">
        <v>660</v>
      </c>
    </row>
    <row r="57" spans="1:18" s="1" customFormat="1" x14ac:dyDescent="0.25">
      <c r="A57" s="415" t="s">
        <v>686</v>
      </c>
      <c r="B57" s="415" t="s">
        <v>568</v>
      </c>
      <c r="C57" s="415">
        <v>3</v>
      </c>
      <c r="D57" s="415" t="s">
        <v>687</v>
      </c>
      <c r="E57" s="420"/>
      <c r="F57" s="420"/>
      <c r="G57" s="420"/>
      <c r="H57" s="420"/>
      <c r="I57" s="420"/>
      <c r="J57" s="412" t="s">
        <v>642</v>
      </c>
      <c r="K57" s="410" t="s">
        <v>643</v>
      </c>
      <c r="L57" s="424">
        <f>71517*P57</f>
        <v>14303.400000000001</v>
      </c>
      <c r="M57" s="415" t="s">
        <v>239</v>
      </c>
      <c r="N57" s="415" t="s">
        <v>657</v>
      </c>
      <c r="O57" s="415" t="s">
        <v>644</v>
      </c>
      <c r="P57" s="416">
        <v>0.2</v>
      </c>
      <c r="Q57" s="416"/>
      <c r="R57" s="265" t="s">
        <v>115</v>
      </c>
    </row>
    <row r="58" spans="1:18" x14ac:dyDescent="0.25">
      <c r="A58" s="415" t="s">
        <v>686</v>
      </c>
      <c r="B58" s="3" t="s">
        <v>645</v>
      </c>
      <c r="C58" s="415">
        <v>3</v>
      </c>
      <c r="D58" s="3" t="s">
        <v>650</v>
      </c>
      <c r="E58" s="415"/>
      <c r="F58" s="415"/>
      <c r="G58" s="415"/>
      <c r="H58" s="415"/>
      <c r="I58" s="415"/>
      <c r="J58" s="412" t="s">
        <v>642</v>
      </c>
      <c r="K58" s="410" t="s">
        <v>643</v>
      </c>
      <c r="L58" s="596">
        <f>59343*P58</f>
        <v>17802.899999999998</v>
      </c>
      <c r="M58" s="415" t="s">
        <v>239</v>
      </c>
      <c r="N58" s="415" t="s">
        <v>657</v>
      </c>
      <c r="O58" s="415" t="s">
        <v>644</v>
      </c>
      <c r="P58" s="416">
        <v>0.3</v>
      </c>
      <c r="Q58" s="416"/>
      <c r="R58" s="415" t="s">
        <v>115</v>
      </c>
    </row>
    <row r="59" spans="1:18" s="1" customFormat="1" x14ac:dyDescent="0.25">
      <c r="A59" s="415" t="s">
        <v>686</v>
      </c>
      <c r="B59" s="415" t="s">
        <v>671</v>
      </c>
      <c r="C59" s="415">
        <v>3</v>
      </c>
      <c r="D59" s="415" t="s">
        <v>662</v>
      </c>
      <c r="E59" s="420"/>
      <c r="F59" s="420"/>
      <c r="G59" s="420"/>
      <c r="H59" s="420"/>
      <c r="I59" s="420"/>
      <c r="J59" s="412" t="s">
        <v>642</v>
      </c>
      <c r="K59" s="410" t="s">
        <v>643</v>
      </c>
      <c r="L59" s="424">
        <f>75527*P59</f>
        <v>7552.7000000000007</v>
      </c>
      <c r="M59" s="415" t="s">
        <v>239</v>
      </c>
      <c r="N59" s="415" t="s">
        <v>657</v>
      </c>
      <c r="O59" s="415" t="s">
        <v>644</v>
      </c>
      <c r="P59" s="416">
        <v>0.1</v>
      </c>
      <c r="Q59" s="416"/>
      <c r="R59" s="265" t="s">
        <v>115</v>
      </c>
    </row>
    <row r="60" spans="1:18" s="1" customFormat="1" x14ac:dyDescent="0.25">
      <c r="A60" s="415" t="s">
        <v>686</v>
      </c>
      <c r="B60" s="415" t="s">
        <v>651</v>
      </c>
      <c r="C60" s="415">
        <v>4</v>
      </c>
      <c r="D60" s="415" t="s">
        <v>652</v>
      </c>
      <c r="E60" s="420"/>
      <c r="F60" s="420" t="s">
        <v>501</v>
      </c>
      <c r="G60" s="420"/>
      <c r="H60" s="420"/>
      <c r="I60" s="420"/>
      <c r="J60" s="412" t="s">
        <v>642</v>
      </c>
      <c r="K60" s="410" t="s">
        <v>646</v>
      </c>
      <c r="L60" s="424">
        <f>75527*P60</f>
        <v>18881.75</v>
      </c>
      <c r="M60" s="415" t="s">
        <v>239</v>
      </c>
      <c r="N60" s="415" t="s">
        <v>657</v>
      </c>
      <c r="O60" s="415" t="s">
        <v>644</v>
      </c>
      <c r="P60" s="416">
        <v>0.25</v>
      </c>
      <c r="Q60" s="416"/>
      <c r="R60" s="265" t="s">
        <v>115</v>
      </c>
    </row>
    <row r="61" spans="1:18" s="1" customFormat="1" x14ac:dyDescent="0.25">
      <c r="A61" s="415" t="s">
        <v>686</v>
      </c>
      <c r="B61" s="415" t="s">
        <v>651</v>
      </c>
      <c r="C61" s="415">
        <v>2</v>
      </c>
      <c r="D61" s="415" t="s">
        <v>652</v>
      </c>
      <c r="E61" s="420"/>
      <c r="F61" s="420"/>
      <c r="G61" s="420"/>
      <c r="H61" s="420"/>
      <c r="I61" s="420"/>
      <c r="J61" s="412" t="s">
        <v>239</v>
      </c>
      <c r="K61" s="410" t="s">
        <v>643</v>
      </c>
      <c r="L61" s="424">
        <f>37310*P61</f>
        <v>11193</v>
      </c>
      <c r="M61" s="415" t="s">
        <v>239</v>
      </c>
      <c r="N61" s="415" t="s">
        <v>657</v>
      </c>
      <c r="O61" s="415" t="s">
        <v>644</v>
      </c>
      <c r="P61" s="416">
        <v>0.3</v>
      </c>
      <c r="Q61" s="416"/>
      <c r="R61" s="265" t="s">
        <v>115</v>
      </c>
    </row>
    <row r="62" spans="1:18" s="1" customFormat="1" x14ac:dyDescent="0.25">
      <c r="A62" s="415" t="s">
        <v>686</v>
      </c>
      <c r="B62" s="415" t="s">
        <v>665</v>
      </c>
      <c r="C62" s="415">
        <v>3</v>
      </c>
      <c r="D62" s="415" t="s">
        <v>666</v>
      </c>
      <c r="E62" s="420"/>
      <c r="F62" s="420" t="s">
        <v>501</v>
      </c>
      <c r="G62" s="420"/>
      <c r="H62" s="420"/>
      <c r="I62" s="420"/>
      <c r="J62" s="412" t="s">
        <v>642</v>
      </c>
      <c r="K62" s="410" t="s">
        <v>646</v>
      </c>
      <c r="L62" s="424">
        <f>57545*P62</f>
        <v>14386.25</v>
      </c>
      <c r="M62" s="415" t="s">
        <v>239</v>
      </c>
      <c r="N62" s="415" t="s">
        <v>657</v>
      </c>
      <c r="O62" s="415" t="s">
        <v>644</v>
      </c>
      <c r="P62" s="416">
        <v>0.25</v>
      </c>
      <c r="Q62" s="416"/>
      <c r="R62" s="265" t="s">
        <v>115</v>
      </c>
    </row>
    <row r="63" spans="1:18" s="1" customFormat="1" x14ac:dyDescent="0.25">
      <c r="A63" s="415" t="s">
        <v>686</v>
      </c>
      <c r="B63" s="415" t="s">
        <v>653</v>
      </c>
      <c r="C63" s="415">
        <v>3</v>
      </c>
      <c r="D63" s="415" t="s">
        <v>654</v>
      </c>
      <c r="E63" s="420"/>
      <c r="F63" s="420"/>
      <c r="G63" s="420"/>
      <c r="H63" s="420"/>
      <c r="I63" s="420"/>
      <c r="J63" s="412" t="s">
        <v>239</v>
      </c>
      <c r="K63" s="410" t="s">
        <v>643</v>
      </c>
      <c r="L63" s="424">
        <f>64738*P63</f>
        <v>12947.6</v>
      </c>
      <c r="M63" s="415" t="s">
        <v>239</v>
      </c>
      <c r="N63" s="415" t="s">
        <v>657</v>
      </c>
      <c r="O63" s="415" t="s">
        <v>644</v>
      </c>
      <c r="P63" s="416">
        <v>0.2</v>
      </c>
      <c r="Q63" s="416"/>
      <c r="R63" s="265" t="s">
        <v>115</v>
      </c>
    </row>
    <row r="64" spans="1:18" s="1" customFormat="1" x14ac:dyDescent="0.25">
      <c r="A64" s="415" t="s">
        <v>686</v>
      </c>
      <c r="B64" s="415" t="s">
        <v>588</v>
      </c>
      <c r="C64" s="415"/>
      <c r="D64" s="415" t="s">
        <v>672</v>
      </c>
      <c r="E64" s="420"/>
      <c r="F64" s="420"/>
      <c r="G64" s="420"/>
      <c r="H64" s="420"/>
      <c r="I64" s="420"/>
      <c r="J64" s="412" t="s">
        <v>642</v>
      </c>
      <c r="K64" s="410" t="s">
        <v>643</v>
      </c>
      <c r="L64" s="424">
        <f>59006*P64</f>
        <v>8850.9</v>
      </c>
      <c r="M64" s="415" t="s">
        <v>239</v>
      </c>
      <c r="N64" s="415" t="s">
        <v>657</v>
      </c>
      <c r="O64" s="415" t="s">
        <v>644</v>
      </c>
      <c r="P64" s="416">
        <v>0.15</v>
      </c>
      <c r="Q64" s="416"/>
      <c r="R64" s="265" t="s">
        <v>235</v>
      </c>
    </row>
    <row r="65" spans="1:18" s="1" customFormat="1" x14ac:dyDescent="0.25">
      <c r="A65" s="415" t="s">
        <v>686</v>
      </c>
      <c r="B65" s="415" t="s">
        <v>673</v>
      </c>
      <c r="C65" s="415"/>
      <c r="D65" s="415" t="s">
        <v>674</v>
      </c>
      <c r="E65" s="420"/>
      <c r="F65" s="420" t="s">
        <v>501</v>
      </c>
      <c r="G65" s="420"/>
      <c r="H65" s="420"/>
      <c r="I65" s="420"/>
      <c r="J65" s="412" t="s">
        <v>239</v>
      </c>
      <c r="K65" s="410" t="s">
        <v>646</v>
      </c>
      <c r="L65" s="424">
        <f>45840*P65</f>
        <v>13752</v>
      </c>
      <c r="M65" s="415" t="s">
        <v>239</v>
      </c>
      <c r="N65" s="415" t="s">
        <v>657</v>
      </c>
      <c r="O65" s="415" t="s">
        <v>644</v>
      </c>
      <c r="P65" s="416">
        <v>0.3</v>
      </c>
      <c r="Q65" s="416"/>
      <c r="R65" s="265" t="s">
        <v>235</v>
      </c>
    </row>
    <row r="66" spans="1:18" s="1" customFormat="1" x14ac:dyDescent="0.25">
      <c r="A66" s="415" t="s">
        <v>686</v>
      </c>
      <c r="B66" s="415" t="s">
        <v>668</v>
      </c>
      <c r="C66" s="415"/>
      <c r="D66" s="415" t="s">
        <v>675</v>
      </c>
      <c r="E66" s="420"/>
      <c r="F66" s="420" t="s">
        <v>501</v>
      </c>
      <c r="G66" s="420"/>
      <c r="H66" s="420"/>
      <c r="I66" s="420"/>
      <c r="J66" s="412" t="s">
        <v>642</v>
      </c>
      <c r="K66" s="410" t="s">
        <v>646</v>
      </c>
      <c r="L66" s="424">
        <f>45840*P66</f>
        <v>22920</v>
      </c>
      <c r="M66" s="415" t="s">
        <v>239</v>
      </c>
      <c r="N66" s="415" t="s">
        <v>657</v>
      </c>
      <c r="O66" s="415" t="s">
        <v>685</v>
      </c>
      <c r="P66" s="416">
        <v>0.5</v>
      </c>
      <c r="Q66" s="416"/>
      <c r="R66" s="265" t="s">
        <v>235</v>
      </c>
    </row>
    <row r="67" spans="1:18" s="1" customFormat="1" x14ac:dyDescent="0.25">
      <c r="A67" s="415" t="s">
        <v>686</v>
      </c>
      <c r="B67" s="415" t="s">
        <v>668</v>
      </c>
      <c r="C67" s="415"/>
      <c r="D67" s="415" t="s">
        <v>669</v>
      </c>
      <c r="E67" s="420"/>
      <c r="F67" s="420"/>
      <c r="G67" s="420"/>
      <c r="H67" s="420"/>
      <c r="I67" s="420"/>
      <c r="J67" s="412" t="s">
        <v>642</v>
      </c>
      <c r="K67" s="410" t="s">
        <v>643</v>
      </c>
      <c r="L67" s="424">
        <f>49244*P67</f>
        <v>9848.8000000000011</v>
      </c>
      <c r="M67" s="415" t="s">
        <v>239</v>
      </c>
      <c r="N67" s="415" t="s">
        <v>657</v>
      </c>
      <c r="O67" s="415" t="s">
        <v>644</v>
      </c>
      <c r="P67" s="416">
        <v>0.2</v>
      </c>
      <c r="Q67" s="416"/>
      <c r="R67" s="265" t="s">
        <v>235</v>
      </c>
    </row>
    <row r="68" spans="1:18" s="1" customFormat="1" x14ac:dyDescent="0.25">
      <c r="A68" s="415" t="s">
        <v>686</v>
      </c>
      <c r="B68" s="415" t="s">
        <v>655</v>
      </c>
      <c r="C68" s="415">
        <v>3</v>
      </c>
      <c r="D68" s="415" t="s">
        <v>656</v>
      </c>
      <c r="E68" s="420"/>
      <c r="F68" s="420" t="s">
        <v>501</v>
      </c>
      <c r="G68" s="420"/>
      <c r="H68" s="420"/>
      <c r="I68" s="420"/>
      <c r="J68" s="412" t="s">
        <v>239</v>
      </c>
      <c r="K68" s="410" t="s">
        <v>648</v>
      </c>
      <c r="L68" s="422" t="s">
        <v>657</v>
      </c>
      <c r="M68" s="415" t="s">
        <v>642</v>
      </c>
      <c r="N68" s="423">
        <v>33600</v>
      </c>
      <c r="O68" s="415" t="s">
        <v>685</v>
      </c>
      <c r="P68" s="416">
        <v>0.25</v>
      </c>
      <c r="Q68" s="416"/>
      <c r="R68" s="265" t="s">
        <v>660</v>
      </c>
    </row>
    <row r="69" spans="1:18" x14ac:dyDescent="0.25">
      <c r="A69" s="415" t="s">
        <v>686</v>
      </c>
      <c r="B69" s="415" t="s">
        <v>645</v>
      </c>
      <c r="C69" s="415">
        <v>4</v>
      </c>
      <c r="D69" s="415" t="s">
        <v>650</v>
      </c>
      <c r="E69" s="415"/>
      <c r="F69" s="415" t="s">
        <v>501</v>
      </c>
      <c r="G69" s="415"/>
      <c r="H69" s="415"/>
      <c r="I69" s="415"/>
      <c r="J69" s="412" t="s">
        <v>642</v>
      </c>
      <c r="K69" s="410" t="s">
        <v>648</v>
      </c>
      <c r="L69" s="415" t="s">
        <v>657</v>
      </c>
      <c r="M69" s="415" t="s">
        <v>642</v>
      </c>
      <c r="N69" s="423">
        <v>94080</v>
      </c>
      <c r="O69" s="415" t="s">
        <v>685</v>
      </c>
      <c r="P69" s="416">
        <v>0.8</v>
      </c>
      <c r="Q69" s="416"/>
      <c r="R69" s="415" t="s">
        <v>660</v>
      </c>
    </row>
    <row r="70" spans="1:18" s="1" customFormat="1" x14ac:dyDescent="0.25">
      <c r="A70" s="415" t="s">
        <v>686</v>
      </c>
      <c r="B70" s="415" t="s">
        <v>651</v>
      </c>
      <c r="C70" s="415">
        <v>3</v>
      </c>
      <c r="D70" s="415" t="s">
        <v>652</v>
      </c>
      <c r="E70" s="420"/>
      <c r="F70" s="420" t="s">
        <v>501</v>
      </c>
      <c r="G70" s="420"/>
      <c r="H70" s="420"/>
      <c r="I70" s="420"/>
      <c r="J70" s="412" t="s">
        <v>642</v>
      </c>
      <c r="K70" s="410" t="s">
        <v>648</v>
      </c>
      <c r="L70" s="422" t="s">
        <v>657</v>
      </c>
      <c r="M70" s="415" t="s">
        <v>642</v>
      </c>
      <c r="N70" s="423">
        <v>100800</v>
      </c>
      <c r="O70" s="415" t="s">
        <v>685</v>
      </c>
      <c r="P70" s="416">
        <v>0.65</v>
      </c>
      <c r="Q70" s="416"/>
      <c r="R70" s="265" t="s">
        <v>660</v>
      </c>
    </row>
    <row r="71" spans="1:18" s="1" customFormat="1" x14ac:dyDescent="0.25">
      <c r="A71" s="415" t="s">
        <v>686</v>
      </c>
      <c r="B71" s="415" t="s">
        <v>651</v>
      </c>
      <c r="C71" s="415">
        <v>3</v>
      </c>
      <c r="D71" s="415" t="s">
        <v>652</v>
      </c>
      <c r="E71" s="420"/>
      <c r="F71" s="420" t="s">
        <v>501</v>
      </c>
      <c r="G71" s="420"/>
      <c r="H71" s="420"/>
      <c r="I71" s="420"/>
      <c r="J71" s="412" t="s">
        <v>642</v>
      </c>
      <c r="K71" s="410" t="s">
        <v>648</v>
      </c>
      <c r="L71" s="422" t="s">
        <v>657</v>
      </c>
      <c r="M71" s="415" t="s">
        <v>642</v>
      </c>
      <c r="N71" s="423">
        <v>134400</v>
      </c>
      <c r="O71" s="415" t="s">
        <v>685</v>
      </c>
      <c r="P71" s="416">
        <v>1</v>
      </c>
      <c r="Q71" s="416"/>
      <c r="R71" s="265" t="s">
        <v>660</v>
      </c>
    </row>
    <row r="72" spans="1:18" s="1" customFormat="1" x14ac:dyDescent="0.25">
      <c r="A72" s="415" t="s">
        <v>686</v>
      </c>
      <c r="B72" s="415" t="s">
        <v>665</v>
      </c>
      <c r="C72" s="415">
        <v>3</v>
      </c>
      <c r="D72" s="415" t="s">
        <v>666</v>
      </c>
      <c r="E72" s="420"/>
      <c r="F72" s="420" t="s">
        <v>501</v>
      </c>
      <c r="G72" s="420"/>
      <c r="H72" s="420"/>
      <c r="I72" s="420"/>
      <c r="J72" s="412" t="s">
        <v>642</v>
      </c>
      <c r="K72" s="410" t="s">
        <v>648</v>
      </c>
      <c r="L72" s="422" t="s">
        <v>657</v>
      </c>
      <c r="M72" s="415" t="s">
        <v>642</v>
      </c>
      <c r="N72" s="423">
        <v>53760</v>
      </c>
      <c r="O72" s="415" t="s">
        <v>685</v>
      </c>
      <c r="P72" s="416">
        <v>0.4</v>
      </c>
      <c r="Q72" s="416"/>
      <c r="R72" s="265" t="s">
        <v>660</v>
      </c>
    </row>
    <row r="73" spans="1:18" s="1" customFormat="1" x14ac:dyDescent="0.25">
      <c r="A73" s="415" t="s">
        <v>688</v>
      </c>
      <c r="B73" s="415" t="s">
        <v>568</v>
      </c>
      <c r="C73" s="415">
        <v>3</v>
      </c>
      <c r="D73" s="415" t="s">
        <v>687</v>
      </c>
      <c r="E73" s="420"/>
      <c r="F73" s="420"/>
      <c r="G73" s="420"/>
      <c r="H73" s="420"/>
      <c r="I73" s="420"/>
      <c r="J73" s="412" t="s">
        <v>642</v>
      </c>
      <c r="K73" s="410" t="s">
        <v>643</v>
      </c>
      <c r="L73" s="424">
        <f>71517*P73</f>
        <v>20263.149999999998</v>
      </c>
      <c r="M73" s="415" t="s">
        <v>239</v>
      </c>
      <c r="N73" s="415" t="s">
        <v>657</v>
      </c>
      <c r="O73" s="415" t="s">
        <v>644</v>
      </c>
      <c r="P73" s="416">
        <f>(20+40+25)/3/100</f>
        <v>0.28333333333333333</v>
      </c>
      <c r="Q73" s="416"/>
      <c r="R73" s="265" t="s">
        <v>115</v>
      </c>
    </row>
    <row r="74" spans="1:18" x14ac:dyDescent="0.25">
      <c r="A74" s="415" t="s">
        <v>688</v>
      </c>
      <c r="B74" s="3" t="s">
        <v>645</v>
      </c>
      <c r="C74" s="415">
        <v>3</v>
      </c>
      <c r="D74" s="3" t="s">
        <v>650</v>
      </c>
      <c r="E74" s="415"/>
      <c r="F74" s="415" t="s">
        <v>501</v>
      </c>
      <c r="G74" s="415"/>
      <c r="H74" s="415"/>
      <c r="I74" s="415"/>
      <c r="J74" s="412" t="s">
        <v>642</v>
      </c>
      <c r="K74" s="410" t="s">
        <v>646</v>
      </c>
      <c r="L74" s="596">
        <f>59343*P74</f>
        <v>26704.350000000002</v>
      </c>
      <c r="M74" s="415" t="s">
        <v>239</v>
      </c>
      <c r="N74" s="415" t="s">
        <v>657</v>
      </c>
      <c r="O74" s="415" t="s">
        <v>644</v>
      </c>
      <c r="P74" s="416">
        <f>(50+50+35)/3/100</f>
        <v>0.45</v>
      </c>
      <c r="Q74" s="416"/>
      <c r="R74" s="415" t="s">
        <v>115</v>
      </c>
    </row>
    <row r="75" spans="1:18" s="1" customFormat="1" x14ac:dyDescent="0.25">
      <c r="A75" s="415" t="s">
        <v>688</v>
      </c>
      <c r="B75" s="415" t="s">
        <v>671</v>
      </c>
      <c r="C75" s="415">
        <v>3</v>
      </c>
      <c r="D75" s="415" t="s">
        <v>662</v>
      </c>
      <c r="E75" s="420"/>
      <c r="F75" s="420" t="s">
        <v>501</v>
      </c>
      <c r="G75" s="420"/>
      <c r="H75" s="420"/>
      <c r="I75" s="420"/>
      <c r="J75" s="412" t="s">
        <v>642</v>
      </c>
      <c r="K75" s="410" t="s">
        <v>646</v>
      </c>
      <c r="L75" s="424">
        <f>75527*P75</f>
        <v>26434.449999999997</v>
      </c>
      <c r="M75" s="415" t="s">
        <v>239</v>
      </c>
      <c r="N75" s="415" t="s">
        <v>657</v>
      </c>
      <c r="O75" s="415" t="s">
        <v>644</v>
      </c>
      <c r="P75" s="416">
        <f>(35+30+40)/3/100</f>
        <v>0.35</v>
      </c>
      <c r="Q75" s="416"/>
      <c r="R75" s="265" t="s">
        <v>115</v>
      </c>
    </row>
    <row r="76" spans="1:18" s="1" customFormat="1" x14ac:dyDescent="0.25">
      <c r="A76" s="415" t="s">
        <v>688</v>
      </c>
      <c r="B76" s="415" t="s">
        <v>651</v>
      </c>
      <c r="C76" s="415">
        <v>4</v>
      </c>
      <c r="D76" s="415" t="s">
        <v>652</v>
      </c>
      <c r="E76" s="420"/>
      <c r="F76" s="420" t="s">
        <v>501</v>
      </c>
      <c r="G76" s="420"/>
      <c r="H76" s="420"/>
      <c r="I76" s="420"/>
      <c r="J76" s="412" t="s">
        <v>642</v>
      </c>
      <c r="K76" s="410" t="s">
        <v>646</v>
      </c>
      <c r="L76" s="424">
        <f>75527*P76</f>
        <v>32728.366666666669</v>
      </c>
      <c r="M76" s="415" t="s">
        <v>239</v>
      </c>
      <c r="N76" s="415" t="s">
        <v>657</v>
      </c>
      <c r="O76" s="415" t="s">
        <v>644</v>
      </c>
      <c r="P76" s="416">
        <f>(50+40+40)/3/100</f>
        <v>0.43333333333333335</v>
      </c>
      <c r="Q76" s="416"/>
      <c r="R76" s="265" t="s">
        <v>115</v>
      </c>
    </row>
    <row r="77" spans="1:18" s="1" customFormat="1" x14ac:dyDescent="0.25">
      <c r="A77" s="415" t="s">
        <v>688</v>
      </c>
      <c r="B77" s="415" t="s">
        <v>665</v>
      </c>
      <c r="C77" s="415">
        <v>3</v>
      </c>
      <c r="D77" s="415" t="s">
        <v>666</v>
      </c>
      <c r="E77" s="420"/>
      <c r="F77" s="420" t="s">
        <v>501</v>
      </c>
      <c r="G77" s="420"/>
      <c r="H77" s="420"/>
      <c r="I77" s="420"/>
      <c r="J77" s="412" t="s">
        <v>642</v>
      </c>
      <c r="K77" s="410" t="s">
        <v>646</v>
      </c>
      <c r="L77" s="424">
        <f>57545*P77</f>
        <v>21099.833333333332</v>
      </c>
      <c r="M77" s="415" t="s">
        <v>239</v>
      </c>
      <c r="N77" s="415" t="s">
        <v>657</v>
      </c>
      <c r="O77" s="415" t="s">
        <v>644</v>
      </c>
      <c r="P77" s="416">
        <f>(30+30+50)/3/100</f>
        <v>0.36666666666666664</v>
      </c>
      <c r="Q77" s="416"/>
      <c r="R77" s="265" t="s">
        <v>115</v>
      </c>
    </row>
    <row r="78" spans="1:18" s="1" customFormat="1" x14ac:dyDescent="0.25">
      <c r="A78" s="415" t="s">
        <v>688</v>
      </c>
      <c r="B78" s="415" t="s">
        <v>653</v>
      </c>
      <c r="C78" s="415">
        <v>3</v>
      </c>
      <c r="D78" s="415" t="s">
        <v>654</v>
      </c>
      <c r="E78" s="420"/>
      <c r="F78" s="420"/>
      <c r="G78" s="420"/>
      <c r="H78" s="420"/>
      <c r="I78" s="420"/>
      <c r="J78" s="412" t="s">
        <v>239</v>
      </c>
      <c r="K78" s="410" t="s">
        <v>643</v>
      </c>
      <c r="L78" s="424">
        <f>64738*P78</f>
        <v>20500.366666666665</v>
      </c>
      <c r="M78" s="415" t="s">
        <v>239</v>
      </c>
      <c r="N78" s="415" t="s">
        <v>657</v>
      </c>
      <c r="O78" s="415" t="s">
        <v>644</v>
      </c>
      <c r="P78" s="416">
        <f>(20+25+50)/3/100</f>
        <v>0.31666666666666665</v>
      </c>
      <c r="Q78" s="416"/>
      <c r="R78" s="265" t="s">
        <v>115</v>
      </c>
    </row>
    <row r="79" spans="1:18" s="1" customFormat="1" x14ac:dyDescent="0.25">
      <c r="A79" s="415" t="s">
        <v>688</v>
      </c>
      <c r="B79" s="415" t="s">
        <v>588</v>
      </c>
      <c r="C79" s="415"/>
      <c r="D79" s="415" t="s">
        <v>672</v>
      </c>
      <c r="E79" s="420"/>
      <c r="F79" s="420"/>
      <c r="G79" s="420"/>
      <c r="H79" s="420"/>
      <c r="I79" s="420"/>
      <c r="J79" s="412" t="s">
        <v>642</v>
      </c>
      <c r="K79" s="410" t="s">
        <v>643</v>
      </c>
      <c r="L79" s="424">
        <f>59006*P79</f>
        <v>8850.9</v>
      </c>
      <c r="M79" s="415" t="s">
        <v>239</v>
      </c>
      <c r="N79" s="415" t="s">
        <v>657</v>
      </c>
      <c r="O79" s="415" t="s">
        <v>644</v>
      </c>
      <c r="P79" s="416">
        <v>0.15</v>
      </c>
      <c r="Q79" s="416"/>
      <c r="R79" s="265" t="s">
        <v>235</v>
      </c>
    </row>
    <row r="80" spans="1:18" s="1" customFormat="1" x14ac:dyDescent="0.25">
      <c r="A80" s="415" t="s">
        <v>688</v>
      </c>
      <c r="B80" s="415" t="s">
        <v>673</v>
      </c>
      <c r="C80" s="415"/>
      <c r="D80" s="415" t="s">
        <v>674</v>
      </c>
      <c r="E80" s="420"/>
      <c r="F80" s="420" t="s">
        <v>501</v>
      </c>
      <c r="G80" s="420"/>
      <c r="H80" s="420"/>
      <c r="I80" s="420"/>
      <c r="J80" s="412" t="s">
        <v>642</v>
      </c>
      <c r="K80" s="410" t="s">
        <v>646</v>
      </c>
      <c r="L80" s="424">
        <f>45840*P80</f>
        <v>9168</v>
      </c>
      <c r="M80" s="415" t="s">
        <v>239</v>
      </c>
      <c r="N80" s="415" t="s">
        <v>657</v>
      </c>
      <c r="O80" s="415" t="s">
        <v>644</v>
      </c>
      <c r="P80" s="416">
        <v>0.2</v>
      </c>
      <c r="Q80" s="416"/>
      <c r="R80" s="265" t="s">
        <v>235</v>
      </c>
    </row>
    <row r="81" spans="1:18" s="1" customFormat="1" x14ac:dyDescent="0.25">
      <c r="A81" s="415" t="s">
        <v>688</v>
      </c>
      <c r="B81" s="415" t="s">
        <v>668</v>
      </c>
      <c r="C81" s="415"/>
      <c r="D81" s="415" t="s">
        <v>675</v>
      </c>
      <c r="E81" s="420"/>
      <c r="F81" s="420" t="s">
        <v>501</v>
      </c>
      <c r="G81" s="420"/>
      <c r="H81" s="420"/>
      <c r="I81" s="420"/>
      <c r="J81" s="412" t="s">
        <v>642</v>
      </c>
      <c r="K81" s="410" t="s">
        <v>646</v>
      </c>
      <c r="L81" s="424">
        <f>45840*P81</f>
        <v>45840</v>
      </c>
      <c r="M81" s="415" t="s">
        <v>239</v>
      </c>
      <c r="N81" s="415" t="s">
        <v>657</v>
      </c>
      <c r="O81" s="415" t="s">
        <v>676</v>
      </c>
      <c r="P81" s="416">
        <v>1</v>
      </c>
      <c r="Q81" s="416"/>
      <c r="R81" s="265" t="s">
        <v>235</v>
      </c>
    </row>
    <row r="82" spans="1:18" s="1" customFormat="1" x14ac:dyDescent="0.25">
      <c r="A82" s="415" t="s">
        <v>688</v>
      </c>
      <c r="B82" s="415" t="s">
        <v>668</v>
      </c>
      <c r="C82" s="415"/>
      <c r="D82" s="415" t="s">
        <v>669</v>
      </c>
      <c r="E82" s="420"/>
      <c r="F82" s="420"/>
      <c r="G82" s="420"/>
      <c r="H82" s="420"/>
      <c r="I82" s="420"/>
      <c r="J82" s="412" t="s">
        <v>642</v>
      </c>
      <c r="K82" s="410" t="s">
        <v>643</v>
      </c>
      <c r="L82" s="424">
        <f>49244*P82</f>
        <v>9848.8000000000011</v>
      </c>
      <c r="M82" s="415" t="s">
        <v>239</v>
      </c>
      <c r="N82" s="415" t="s">
        <v>657</v>
      </c>
      <c r="O82" s="415" t="s">
        <v>644</v>
      </c>
      <c r="P82" s="416">
        <v>0.2</v>
      </c>
      <c r="Q82" s="416"/>
      <c r="R82" s="265" t="s">
        <v>689</v>
      </c>
    </row>
    <row r="83" spans="1:18" s="1" customFormat="1" x14ac:dyDescent="0.25">
      <c r="A83" s="415" t="s">
        <v>688</v>
      </c>
      <c r="B83" s="415" t="s">
        <v>655</v>
      </c>
      <c r="C83" s="415">
        <v>3</v>
      </c>
      <c r="D83" s="415" t="s">
        <v>656</v>
      </c>
      <c r="E83" s="420"/>
      <c r="F83" s="420" t="s">
        <v>501</v>
      </c>
      <c r="G83" s="420" t="s">
        <v>501</v>
      </c>
      <c r="H83" s="420" t="s">
        <v>501</v>
      </c>
      <c r="I83" s="420"/>
      <c r="J83" s="412" t="s">
        <v>239</v>
      </c>
      <c r="K83" s="410" t="s">
        <v>648</v>
      </c>
      <c r="L83" s="422" t="s">
        <v>657</v>
      </c>
      <c r="M83" s="415" t="s">
        <v>642</v>
      </c>
      <c r="N83" s="415" t="s">
        <v>690</v>
      </c>
      <c r="O83" s="415" t="s">
        <v>659</v>
      </c>
      <c r="P83" s="416">
        <f>(0.2+0.15+0.15)/3</f>
        <v>0.16666666666666666</v>
      </c>
      <c r="Q83" s="416"/>
      <c r="R83" s="265" t="s">
        <v>660</v>
      </c>
    </row>
    <row r="84" spans="1:18" x14ac:dyDescent="0.25">
      <c r="A84" s="415" t="s">
        <v>688</v>
      </c>
      <c r="B84" s="415" t="s">
        <v>645</v>
      </c>
      <c r="C84" s="415">
        <v>4</v>
      </c>
      <c r="D84" s="415" t="s">
        <v>650</v>
      </c>
      <c r="E84" s="415"/>
      <c r="F84" s="415" t="s">
        <v>501</v>
      </c>
      <c r="G84" s="415" t="s">
        <v>501</v>
      </c>
      <c r="H84" s="415" t="s">
        <v>501</v>
      </c>
      <c r="I84" s="415"/>
      <c r="J84" s="412" t="s">
        <v>642</v>
      </c>
      <c r="K84" s="410" t="s">
        <v>648</v>
      </c>
      <c r="L84" s="415" t="s">
        <v>657</v>
      </c>
      <c r="M84" s="415" t="s">
        <v>642</v>
      </c>
      <c r="N84" s="415" t="s">
        <v>691</v>
      </c>
      <c r="O84" s="415" t="s">
        <v>659</v>
      </c>
      <c r="P84" s="416">
        <f>(0.8+0.5+0.5)/3</f>
        <v>0.6</v>
      </c>
      <c r="Q84" s="416"/>
      <c r="R84" s="415" t="s">
        <v>660</v>
      </c>
    </row>
    <row r="85" spans="1:18" s="1" customFormat="1" x14ac:dyDescent="0.25">
      <c r="A85" s="415" t="s">
        <v>688</v>
      </c>
      <c r="B85" s="415" t="s">
        <v>651</v>
      </c>
      <c r="C85" s="415">
        <v>3</v>
      </c>
      <c r="D85" s="415" t="s">
        <v>652</v>
      </c>
      <c r="E85" s="420"/>
      <c r="F85" s="420" t="s">
        <v>501</v>
      </c>
      <c r="G85" s="420" t="s">
        <v>501</v>
      </c>
      <c r="H85" s="420" t="s">
        <v>501</v>
      </c>
      <c r="I85" s="420"/>
      <c r="J85" s="412" t="s">
        <v>642</v>
      </c>
      <c r="K85" s="410" t="s">
        <v>648</v>
      </c>
      <c r="L85" s="422" t="s">
        <v>657</v>
      </c>
      <c r="M85" s="415" t="s">
        <v>642</v>
      </c>
      <c r="N85" s="415" t="s">
        <v>692</v>
      </c>
      <c r="O85" s="415" t="s">
        <v>659</v>
      </c>
      <c r="P85" s="416">
        <v>1</v>
      </c>
      <c r="Q85" s="416"/>
      <c r="R85" s="265" t="s">
        <v>660</v>
      </c>
    </row>
    <row r="86" spans="1:18" s="1" customFormat="1" x14ac:dyDescent="0.25">
      <c r="A86" s="415" t="s">
        <v>688</v>
      </c>
      <c r="B86" s="415" t="s">
        <v>651</v>
      </c>
      <c r="C86" s="415">
        <v>3</v>
      </c>
      <c r="D86" s="415" t="s">
        <v>652</v>
      </c>
      <c r="E86" s="420"/>
      <c r="F86" s="420" t="s">
        <v>501</v>
      </c>
      <c r="G86" s="420" t="s">
        <v>501</v>
      </c>
      <c r="H86" s="420" t="s">
        <v>501</v>
      </c>
      <c r="I86" s="420"/>
      <c r="J86" s="412" t="s">
        <v>642</v>
      </c>
      <c r="K86" s="410" t="s">
        <v>648</v>
      </c>
      <c r="L86" s="422" t="s">
        <v>657</v>
      </c>
      <c r="M86" s="415" t="s">
        <v>642</v>
      </c>
      <c r="N86" s="415" t="s">
        <v>693</v>
      </c>
      <c r="O86" s="415" t="s">
        <v>659</v>
      </c>
      <c r="P86" s="416">
        <f>(0.9+0.5+0.4)/3</f>
        <v>0.6</v>
      </c>
      <c r="Q86" s="416"/>
      <c r="R86" s="265" t="s">
        <v>660</v>
      </c>
    </row>
    <row r="87" spans="1:18" s="1" customFormat="1" x14ac:dyDescent="0.25">
      <c r="A87" s="415" t="s">
        <v>688</v>
      </c>
      <c r="B87" s="415" t="s">
        <v>665</v>
      </c>
      <c r="C87" s="415">
        <v>3</v>
      </c>
      <c r="D87" s="415" t="s">
        <v>666</v>
      </c>
      <c r="E87" s="420"/>
      <c r="F87" s="420" t="s">
        <v>501</v>
      </c>
      <c r="G87" s="420" t="s">
        <v>501</v>
      </c>
      <c r="H87" s="420" t="s">
        <v>501</v>
      </c>
      <c r="I87" s="420"/>
      <c r="J87" s="412" t="s">
        <v>642</v>
      </c>
      <c r="K87" s="410" t="s">
        <v>648</v>
      </c>
      <c r="L87" s="422" t="s">
        <v>657</v>
      </c>
      <c r="M87" s="415" t="s">
        <v>642</v>
      </c>
      <c r="N87" s="415" t="s">
        <v>694</v>
      </c>
      <c r="O87" s="415" t="s">
        <v>659</v>
      </c>
      <c r="P87" s="416">
        <f>(0.5+0.6+0.6)/3</f>
        <v>0.56666666666666676</v>
      </c>
      <c r="Q87" s="416"/>
      <c r="R87" s="265" t="s">
        <v>660</v>
      </c>
    </row>
    <row r="88" spans="1:18" s="1" customFormat="1" x14ac:dyDescent="0.25">
      <c r="A88" s="415" t="s">
        <v>695</v>
      </c>
      <c r="B88" s="415" t="s">
        <v>682</v>
      </c>
      <c r="C88" s="415"/>
      <c r="D88" s="415" t="s">
        <v>607</v>
      </c>
      <c r="E88" s="420"/>
      <c r="F88" s="420" t="s">
        <v>501</v>
      </c>
      <c r="G88" s="420" t="s">
        <v>501</v>
      </c>
      <c r="H88" s="420" t="s">
        <v>501</v>
      </c>
      <c r="I88" s="420"/>
      <c r="J88" s="412" t="s">
        <v>642</v>
      </c>
      <c r="K88" s="410" t="s">
        <v>648</v>
      </c>
      <c r="L88" s="422" t="s">
        <v>657</v>
      </c>
      <c r="M88" s="415" t="s">
        <v>642</v>
      </c>
      <c r="N88" s="415" t="s">
        <v>683</v>
      </c>
      <c r="O88" s="415" t="s">
        <v>659</v>
      </c>
      <c r="P88" s="416"/>
      <c r="Q88" s="416"/>
      <c r="R88" s="265" t="s">
        <v>660</v>
      </c>
    </row>
    <row r="89" spans="1:18" s="1" customFormat="1" x14ac:dyDescent="0.25">
      <c r="A89" s="415" t="s">
        <v>215</v>
      </c>
      <c r="B89" s="415" t="s">
        <v>568</v>
      </c>
      <c r="C89" s="415">
        <v>3</v>
      </c>
      <c r="D89" s="415" t="s">
        <v>687</v>
      </c>
      <c r="E89" s="420"/>
      <c r="F89" s="420"/>
      <c r="G89" s="420"/>
      <c r="H89" s="420"/>
      <c r="I89" s="420"/>
      <c r="J89" s="412" t="s">
        <v>642</v>
      </c>
      <c r="K89" s="410" t="s">
        <v>643</v>
      </c>
      <c r="L89" s="424">
        <f>71517*P89</f>
        <v>21455.1</v>
      </c>
      <c r="M89" s="415" t="s">
        <v>239</v>
      </c>
      <c r="N89" s="415" t="s">
        <v>657</v>
      </c>
      <c r="O89" s="415" t="s">
        <v>644</v>
      </c>
      <c r="P89" s="416">
        <v>0.3</v>
      </c>
      <c r="Q89" s="416"/>
      <c r="R89" s="265" t="s">
        <v>115</v>
      </c>
    </row>
    <row r="90" spans="1:18" x14ac:dyDescent="0.25">
      <c r="A90" s="415" t="s">
        <v>215</v>
      </c>
      <c r="B90" s="3" t="s">
        <v>645</v>
      </c>
      <c r="C90" s="415">
        <v>3</v>
      </c>
      <c r="D90" s="3" t="s">
        <v>650</v>
      </c>
      <c r="E90" s="415"/>
      <c r="F90" s="415"/>
      <c r="G90" s="415"/>
      <c r="H90" s="415"/>
      <c r="I90" s="415"/>
      <c r="J90" s="412" t="s">
        <v>642</v>
      </c>
      <c r="K90" s="410" t="s">
        <v>643</v>
      </c>
      <c r="L90" s="596">
        <f>59343*P90</f>
        <v>14835.75</v>
      </c>
      <c r="M90" s="415" t="s">
        <v>239</v>
      </c>
      <c r="N90" s="415" t="s">
        <v>657</v>
      </c>
      <c r="O90" s="415" t="s">
        <v>644</v>
      </c>
      <c r="P90" s="416">
        <v>0.25</v>
      </c>
      <c r="Q90" s="416"/>
      <c r="R90" s="415" t="s">
        <v>115</v>
      </c>
    </row>
    <row r="91" spans="1:18" s="1" customFormat="1" x14ac:dyDescent="0.25">
      <c r="A91" s="415" t="s">
        <v>215</v>
      </c>
      <c r="B91" s="415" t="s">
        <v>671</v>
      </c>
      <c r="C91" s="415">
        <v>3</v>
      </c>
      <c r="D91" s="415" t="s">
        <v>662</v>
      </c>
      <c r="E91" s="420"/>
      <c r="F91" s="420"/>
      <c r="G91" s="420"/>
      <c r="H91" s="420"/>
      <c r="I91" s="420"/>
      <c r="J91" s="412" t="s">
        <v>642</v>
      </c>
      <c r="K91" s="410" t="s">
        <v>643</v>
      </c>
      <c r="L91" s="424">
        <f>75527*P91</f>
        <v>22658.1</v>
      </c>
      <c r="M91" s="415" t="s">
        <v>239</v>
      </c>
      <c r="N91" s="415" t="s">
        <v>657</v>
      </c>
      <c r="O91" s="415" t="s">
        <v>644</v>
      </c>
      <c r="P91" s="416">
        <v>0.3</v>
      </c>
      <c r="Q91" s="416"/>
      <c r="R91" s="265" t="s">
        <v>115</v>
      </c>
    </row>
    <row r="92" spans="1:18" s="1" customFormat="1" x14ac:dyDescent="0.25">
      <c r="A92" s="415" t="s">
        <v>215</v>
      </c>
      <c r="B92" s="415" t="s">
        <v>665</v>
      </c>
      <c r="C92" s="415">
        <v>3</v>
      </c>
      <c r="D92" s="415" t="s">
        <v>666</v>
      </c>
      <c r="E92" s="420"/>
      <c r="F92" s="420"/>
      <c r="G92" s="420" t="s">
        <v>501</v>
      </c>
      <c r="H92" s="420"/>
      <c r="I92" s="420"/>
      <c r="J92" s="412" t="s">
        <v>642</v>
      </c>
      <c r="K92" s="410" t="s">
        <v>646</v>
      </c>
      <c r="L92" s="424">
        <f>57545*P92</f>
        <v>23018</v>
      </c>
      <c r="M92" s="415" t="s">
        <v>239</v>
      </c>
      <c r="N92" s="415" t="s">
        <v>657</v>
      </c>
      <c r="O92" s="415" t="s">
        <v>644</v>
      </c>
      <c r="P92" s="416">
        <v>0.4</v>
      </c>
      <c r="Q92" s="416"/>
      <c r="R92" s="265" t="s">
        <v>115</v>
      </c>
    </row>
    <row r="93" spans="1:18" s="1" customFormat="1" x14ac:dyDescent="0.25">
      <c r="A93" s="415" t="s">
        <v>215</v>
      </c>
      <c r="B93" s="415" t="s">
        <v>653</v>
      </c>
      <c r="C93" s="415">
        <v>3</v>
      </c>
      <c r="D93" s="415" t="s">
        <v>654</v>
      </c>
      <c r="E93" s="420"/>
      <c r="F93" s="420"/>
      <c r="G93" s="420"/>
      <c r="H93" s="420"/>
      <c r="I93" s="420"/>
      <c r="J93" s="412" t="s">
        <v>239</v>
      </c>
      <c r="K93" s="410" t="s">
        <v>643</v>
      </c>
      <c r="L93" s="424">
        <f>64738*P93</f>
        <v>16184.5</v>
      </c>
      <c r="M93" s="415" t="s">
        <v>239</v>
      </c>
      <c r="N93" s="415" t="s">
        <v>657</v>
      </c>
      <c r="O93" s="415" t="s">
        <v>644</v>
      </c>
      <c r="P93" s="416">
        <v>0.25</v>
      </c>
      <c r="Q93" s="416"/>
      <c r="R93" s="265" t="s">
        <v>115</v>
      </c>
    </row>
    <row r="94" spans="1:18" s="1" customFormat="1" x14ac:dyDescent="0.25">
      <c r="A94" s="415" t="s">
        <v>215</v>
      </c>
      <c r="B94" s="415" t="s">
        <v>588</v>
      </c>
      <c r="C94" s="415"/>
      <c r="D94" s="415" t="s">
        <v>672</v>
      </c>
      <c r="E94" s="420"/>
      <c r="F94" s="420"/>
      <c r="G94" s="420"/>
      <c r="H94" s="420"/>
      <c r="I94" s="420"/>
      <c r="J94" s="412" t="s">
        <v>642</v>
      </c>
      <c r="K94" s="410" t="s">
        <v>643</v>
      </c>
      <c r="L94" s="424">
        <f>59006*P94</f>
        <v>8850.9</v>
      </c>
      <c r="M94" s="415" t="s">
        <v>239</v>
      </c>
      <c r="N94" s="415" t="s">
        <v>657</v>
      </c>
      <c r="O94" s="415" t="s">
        <v>644</v>
      </c>
      <c r="P94" s="416">
        <v>0.15</v>
      </c>
      <c r="Q94" s="416"/>
      <c r="R94" s="265" t="s">
        <v>235</v>
      </c>
    </row>
    <row r="95" spans="1:18" s="1" customFormat="1" x14ac:dyDescent="0.25">
      <c r="A95" s="415" t="s">
        <v>215</v>
      </c>
      <c r="B95" s="415" t="s">
        <v>673</v>
      </c>
      <c r="C95" s="415"/>
      <c r="D95" s="415" t="s">
        <v>674</v>
      </c>
      <c r="E95" s="420"/>
      <c r="F95" s="420"/>
      <c r="G95" s="420" t="s">
        <v>501</v>
      </c>
      <c r="H95" s="420"/>
      <c r="I95" s="420"/>
      <c r="J95" s="412" t="s">
        <v>642</v>
      </c>
      <c r="K95" s="410" t="s">
        <v>646</v>
      </c>
      <c r="L95" s="424">
        <f>45840*P95</f>
        <v>4584</v>
      </c>
      <c r="M95" s="415" t="s">
        <v>239</v>
      </c>
      <c r="N95" s="415" t="s">
        <v>657</v>
      </c>
      <c r="O95" s="415" t="s">
        <v>644</v>
      </c>
      <c r="P95" s="416">
        <v>0.1</v>
      </c>
      <c r="Q95" s="416"/>
      <c r="R95" s="265" t="s">
        <v>235</v>
      </c>
    </row>
    <row r="96" spans="1:18" s="1" customFormat="1" x14ac:dyDescent="0.25">
      <c r="A96" s="415" t="s">
        <v>215</v>
      </c>
      <c r="B96" s="415" t="s">
        <v>668</v>
      </c>
      <c r="C96" s="415"/>
      <c r="D96" s="415" t="s">
        <v>675</v>
      </c>
      <c r="E96" s="420"/>
      <c r="F96" s="420"/>
      <c r="G96" s="420" t="s">
        <v>501</v>
      </c>
      <c r="H96" s="420"/>
      <c r="I96" s="420"/>
      <c r="J96" s="412" t="s">
        <v>642</v>
      </c>
      <c r="K96" s="410" t="s">
        <v>646</v>
      </c>
      <c r="L96" s="424">
        <f>45840*P96</f>
        <v>9168</v>
      </c>
      <c r="M96" s="415" t="s">
        <v>239</v>
      </c>
      <c r="N96" s="415" t="s">
        <v>657</v>
      </c>
      <c r="O96" s="415" t="s">
        <v>676</v>
      </c>
      <c r="P96" s="416">
        <v>0.2</v>
      </c>
      <c r="Q96" s="416"/>
      <c r="R96" s="265" t="s">
        <v>235</v>
      </c>
    </row>
    <row r="97" spans="1:18" s="1" customFormat="1" x14ac:dyDescent="0.25">
      <c r="A97" s="415" t="s">
        <v>215</v>
      </c>
      <c r="B97" s="415" t="s">
        <v>668</v>
      </c>
      <c r="C97" s="415"/>
      <c r="D97" s="415" t="s">
        <v>669</v>
      </c>
      <c r="E97" s="420"/>
      <c r="F97" s="420"/>
      <c r="G97" s="420"/>
      <c r="H97" s="420"/>
      <c r="I97" s="420"/>
      <c r="J97" s="412" t="s">
        <v>642</v>
      </c>
      <c r="K97" s="410" t="s">
        <v>643</v>
      </c>
      <c r="L97" s="424">
        <f>49244*P97</f>
        <v>9848.8000000000011</v>
      </c>
      <c r="M97" s="415" t="s">
        <v>239</v>
      </c>
      <c r="N97" s="415" t="s">
        <v>657</v>
      </c>
      <c r="O97" s="415" t="s">
        <v>644</v>
      </c>
      <c r="P97" s="416">
        <v>0.2</v>
      </c>
      <c r="Q97" s="416"/>
      <c r="R97" s="265" t="s">
        <v>689</v>
      </c>
    </row>
    <row r="98" spans="1:18" s="1" customFormat="1" x14ac:dyDescent="0.25">
      <c r="A98" s="415" t="s">
        <v>215</v>
      </c>
      <c r="B98" s="415" t="s">
        <v>655</v>
      </c>
      <c r="C98" s="415">
        <v>3</v>
      </c>
      <c r="D98" s="415" t="s">
        <v>656</v>
      </c>
      <c r="E98" s="420"/>
      <c r="F98" s="420"/>
      <c r="G98" s="420" t="s">
        <v>501</v>
      </c>
      <c r="H98" s="420"/>
      <c r="I98" s="420"/>
      <c r="J98" s="412" t="s">
        <v>239</v>
      </c>
      <c r="K98" s="410" t="s">
        <v>648</v>
      </c>
      <c r="L98" s="422" t="s">
        <v>657</v>
      </c>
      <c r="M98" s="415" t="s">
        <v>642</v>
      </c>
      <c r="N98" s="423">
        <v>14112</v>
      </c>
      <c r="O98" s="415" t="s">
        <v>685</v>
      </c>
      <c r="P98" s="416">
        <v>0.1</v>
      </c>
      <c r="Q98" s="416"/>
      <c r="R98" s="265" t="s">
        <v>660</v>
      </c>
    </row>
    <row r="99" spans="1:18" x14ac:dyDescent="0.25">
      <c r="A99" s="415" t="s">
        <v>215</v>
      </c>
      <c r="B99" s="415" t="s">
        <v>645</v>
      </c>
      <c r="C99" s="415">
        <v>4</v>
      </c>
      <c r="D99" s="415" t="s">
        <v>650</v>
      </c>
      <c r="E99" s="415"/>
      <c r="F99" s="415"/>
      <c r="G99" s="415" t="s">
        <v>501</v>
      </c>
      <c r="H99" s="415"/>
      <c r="I99" s="415"/>
      <c r="J99" s="412" t="s">
        <v>642</v>
      </c>
      <c r="K99" s="410" t="s">
        <v>648</v>
      </c>
      <c r="L99" s="415" t="s">
        <v>657</v>
      </c>
      <c r="M99" s="415" t="s">
        <v>642</v>
      </c>
      <c r="N99" s="423">
        <v>112896</v>
      </c>
      <c r="O99" s="415" t="s">
        <v>685</v>
      </c>
      <c r="P99" s="416">
        <v>0.8</v>
      </c>
      <c r="Q99" s="416"/>
      <c r="R99" s="415" t="s">
        <v>660</v>
      </c>
    </row>
    <row r="100" spans="1:18" s="1" customFormat="1" x14ac:dyDescent="0.25">
      <c r="A100" s="415" t="s">
        <v>215</v>
      </c>
      <c r="B100" s="415" t="s">
        <v>651</v>
      </c>
      <c r="C100" s="415">
        <v>3</v>
      </c>
      <c r="D100" s="415" t="s">
        <v>652</v>
      </c>
      <c r="E100" s="420"/>
      <c r="F100" s="420"/>
      <c r="G100" s="420" t="s">
        <v>501</v>
      </c>
      <c r="H100" s="420"/>
      <c r="I100" s="420"/>
      <c r="J100" s="412" t="s">
        <v>642</v>
      </c>
      <c r="K100" s="410" t="s">
        <v>648</v>
      </c>
      <c r="L100" s="422" t="s">
        <v>657</v>
      </c>
      <c r="M100" s="415" t="s">
        <v>642</v>
      </c>
      <c r="N100" s="423">
        <v>141120</v>
      </c>
      <c r="O100" s="415" t="s">
        <v>685</v>
      </c>
      <c r="P100" s="416">
        <v>1</v>
      </c>
      <c r="Q100" s="416"/>
      <c r="R100" s="265" t="s">
        <v>660</v>
      </c>
    </row>
    <row r="101" spans="1:18" s="1" customFormat="1" x14ac:dyDescent="0.25">
      <c r="A101" s="415" t="s">
        <v>215</v>
      </c>
      <c r="B101" s="415" t="s">
        <v>651</v>
      </c>
      <c r="C101" s="415">
        <v>3</v>
      </c>
      <c r="D101" s="415" t="s">
        <v>652</v>
      </c>
      <c r="E101" s="420"/>
      <c r="F101" s="420"/>
      <c r="G101" s="420" t="s">
        <v>501</v>
      </c>
      <c r="H101" s="420"/>
      <c r="I101" s="420"/>
      <c r="J101" s="412" t="s">
        <v>642</v>
      </c>
      <c r="K101" s="410" t="s">
        <v>648</v>
      </c>
      <c r="L101" s="422" t="s">
        <v>657</v>
      </c>
      <c r="M101" s="415" t="s">
        <v>642</v>
      </c>
      <c r="N101" s="423">
        <v>70560</v>
      </c>
      <c r="O101" s="415" t="s">
        <v>685</v>
      </c>
      <c r="P101" s="416">
        <v>0.5</v>
      </c>
      <c r="Q101" s="416"/>
      <c r="R101" s="265" t="s">
        <v>660</v>
      </c>
    </row>
    <row r="102" spans="1:18" s="1" customFormat="1" x14ac:dyDescent="0.25">
      <c r="A102" s="415" t="s">
        <v>215</v>
      </c>
      <c r="B102" s="415" t="s">
        <v>665</v>
      </c>
      <c r="C102" s="415">
        <v>3</v>
      </c>
      <c r="D102" s="415" t="s">
        <v>666</v>
      </c>
      <c r="E102" s="420"/>
      <c r="F102" s="420"/>
      <c r="G102" s="420" t="s">
        <v>501</v>
      </c>
      <c r="H102" s="420"/>
      <c r="I102" s="420"/>
      <c r="J102" s="412" t="s">
        <v>642</v>
      </c>
      <c r="K102" s="410" t="s">
        <v>648</v>
      </c>
      <c r="L102" s="422" t="s">
        <v>657</v>
      </c>
      <c r="M102" s="415" t="s">
        <v>642</v>
      </c>
      <c r="N102" s="423">
        <v>74794</v>
      </c>
      <c r="O102" s="415" t="s">
        <v>685</v>
      </c>
      <c r="P102" s="416">
        <v>0.53</v>
      </c>
      <c r="Q102" s="416"/>
      <c r="R102" s="265" t="s">
        <v>660</v>
      </c>
    </row>
    <row r="103" spans="1:18" s="1" customFormat="1" x14ac:dyDescent="0.25">
      <c r="A103" s="415" t="s">
        <v>696</v>
      </c>
      <c r="B103" s="415" t="s">
        <v>568</v>
      </c>
      <c r="C103" s="415">
        <v>3</v>
      </c>
      <c r="D103" s="415" t="s">
        <v>687</v>
      </c>
      <c r="E103" s="420"/>
      <c r="F103" s="420"/>
      <c r="G103" s="420"/>
      <c r="H103" s="420"/>
      <c r="I103" s="420"/>
      <c r="J103" s="412" t="s">
        <v>642</v>
      </c>
      <c r="K103" s="410" t="s">
        <v>643</v>
      </c>
      <c r="L103" s="424">
        <f>71517*P103</f>
        <v>32182.65</v>
      </c>
      <c r="M103" s="415" t="s">
        <v>239</v>
      </c>
      <c r="N103" s="415" t="s">
        <v>657</v>
      </c>
      <c r="O103" s="415" t="s">
        <v>644</v>
      </c>
      <c r="P103" s="416">
        <f>(0.3+0.5+0.5+0.5)/4</f>
        <v>0.45</v>
      </c>
      <c r="Q103" s="416"/>
      <c r="R103" s="265" t="s">
        <v>115</v>
      </c>
    </row>
    <row r="104" spans="1:18" x14ac:dyDescent="0.25">
      <c r="A104" s="415" t="s">
        <v>696</v>
      </c>
      <c r="B104" s="3" t="s">
        <v>645</v>
      </c>
      <c r="C104" s="415">
        <v>3</v>
      </c>
      <c r="D104" s="3" t="s">
        <v>650</v>
      </c>
      <c r="E104" s="415" t="s">
        <v>501</v>
      </c>
      <c r="F104" s="415"/>
      <c r="G104" s="415"/>
      <c r="H104" s="415"/>
      <c r="I104" s="415"/>
      <c r="J104" s="412" t="s">
        <v>642</v>
      </c>
      <c r="K104" s="410" t="s">
        <v>648</v>
      </c>
      <c r="L104" s="596">
        <f>59343*P104</f>
        <v>34864.012500000004</v>
      </c>
      <c r="M104" s="415" t="s">
        <v>239</v>
      </c>
      <c r="N104" s="415" t="s">
        <v>657</v>
      </c>
      <c r="O104" s="415" t="s">
        <v>644</v>
      </c>
      <c r="P104" s="416">
        <f>(1+0.5+0.5+0.35)/4</f>
        <v>0.58750000000000002</v>
      </c>
      <c r="Q104" s="416"/>
      <c r="R104" s="415" t="s">
        <v>115</v>
      </c>
    </row>
    <row r="105" spans="1:18" s="1" customFormat="1" x14ac:dyDescent="0.25">
      <c r="A105" s="415" t="s">
        <v>696</v>
      </c>
      <c r="B105" s="415" t="s">
        <v>671</v>
      </c>
      <c r="C105" s="415">
        <v>3</v>
      </c>
      <c r="D105" s="415" t="s">
        <v>662</v>
      </c>
      <c r="E105" s="420"/>
      <c r="F105" s="420"/>
      <c r="G105" s="420"/>
      <c r="H105" s="420"/>
      <c r="I105" s="420"/>
      <c r="J105" s="412" t="s">
        <v>642</v>
      </c>
      <c r="K105" s="410" t="s">
        <v>643</v>
      </c>
      <c r="L105" s="424">
        <f>75527*P105</f>
        <v>32098.975000000002</v>
      </c>
      <c r="M105" s="415" t="s">
        <v>239</v>
      </c>
      <c r="N105" s="415" t="s">
        <v>657</v>
      </c>
      <c r="O105" s="415" t="s">
        <v>644</v>
      </c>
      <c r="P105" s="416">
        <f>(0.5+0.4+0.4+0.4)/4</f>
        <v>0.42500000000000004</v>
      </c>
      <c r="Q105" s="416"/>
      <c r="R105" s="265" t="s">
        <v>115</v>
      </c>
    </row>
    <row r="106" spans="1:18" s="1" customFormat="1" x14ac:dyDescent="0.25">
      <c r="A106" s="415" t="s">
        <v>696</v>
      </c>
      <c r="B106" s="415" t="s">
        <v>665</v>
      </c>
      <c r="C106" s="415">
        <v>3</v>
      </c>
      <c r="D106" s="415" t="s">
        <v>666</v>
      </c>
      <c r="E106" s="420"/>
      <c r="F106" s="420" t="s">
        <v>501</v>
      </c>
      <c r="G106" s="420"/>
      <c r="H106" s="420"/>
      <c r="I106" s="420"/>
      <c r="J106" s="412" t="s">
        <v>642</v>
      </c>
      <c r="K106" s="410" t="s">
        <v>648</v>
      </c>
      <c r="L106" s="424">
        <f>57545*P106</f>
        <v>18702.125</v>
      </c>
      <c r="M106" s="415" t="s">
        <v>239</v>
      </c>
      <c r="N106" s="415" t="s">
        <v>657</v>
      </c>
      <c r="O106" s="415" t="s">
        <v>644</v>
      </c>
      <c r="P106" s="416">
        <f>(0.5+0.3+0.3+0.2)/4</f>
        <v>0.32500000000000001</v>
      </c>
      <c r="Q106" s="416"/>
      <c r="R106" s="265" t="s">
        <v>115</v>
      </c>
    </row>
    <row r="107" spans="1:18" s="1" customFormat="1" x14ac:dyDescent="0.25">
      <c r="A107" s="415" t="s">
        <v>696</v>
      </c>
      <c r="B107" s="415" t="s">
        <v>653</v>
      </c>
      <c r="C107" s="415">
        <v>3</v>
      </c>
      <c r="D107" s="415" t="s">
        <v>654</v>
      </c>
      <c r="E107" s="420"/>
      <c r="F107" s="420"/>
      <c r="G107" s="420"/>
      <c r="H107" s="420"/>
      <c r="I107" s="420"/>
      <c r="J107" s="412" t="s">
        <v>239</v>
      </c>
      <c r="K107" s="410" t="s">
        <v>643</v>
      </c>
      <c r="L107" s="424">
        <f>64738*P107</f>
        <v>32369</v>
      </c>
      <c r="M107" s="415" t="s">
        <v>239</v>
      </c>
      <c r="N107" s="415" t="s">
        <v>657</v>
      </c>
      <c r="O107" s="415" t="s">
        <v>644</v>
      </c>
      <c r="P107" s="416">
        <f>0.5</f>
        <v>0.5</v>
      </c>
      <c r="Q107" s="416"/>
      <c r="R107" s="265" t="s">
        <v>115</v>
      </c>
    </row>
    <row r="108" spans="1:18" s="1" customFormat="1" x14ac:dyDescent="0.25">
      <c r="A108" s="415" t="s">
        <v>696</v>
      </c>
      <c r="B108" s="415" t="s">
        <v>588</v>
      </c>
      <c r="C108" s="415"/>
      <c r="D108" s="415" t="s">
        <v>672</v>
      </c>
      <c r="E108" s="420"/>
      <c r="F108" s="420"/>
      <c r="G108" s="420"/>
      <c r="H108" s="420"/>
      <c r="I108" s="420"/>
      <c r="J108" s="412" t="s">
        <v>642</v>
      </c>
      <c r="K108" s="410" t="s">
        <v>643</v>
      </c>
      <c r="L108" s="424">
        <f>59006*P108</f>
        <v>8850.9</v>
      </c>
      <c r="M108" s="415" t="s">
        <v>239</v>
      </c>
      <c r="N108" s="415" t="s">
        <v>657</v>
      </c>
      <c r="O108" s="415" t="s">
        <v>644</v>
      </c>
      <c r="P108" s="416">
        <v>0.15</v>
      </c>
      <c r="Q108" s="416"/>
      <c r="R108" s="265" t="s">
        <v>235</v>
      </c>
    </row>
    <row r="109" spans="1:18" s="1" customFormat="1" x14ac:dyDescent="0.25">
      <c r="A109" s="415" t="s">
        <v>696</v>
      </c>
      <c r="B109" s="415" t="s">
        <v>673</v>
      </c>
      <c r="C109" s="415"/>
      <c r="D109" s="415" t="s">
        <v>674</v>
      </c>
      <c r="E109" s="420" t="s">
        <v>501</v>
      </c>
      <c r="F109" s="420"/>
      <c r="G109" s="420"/>
      <c r="H109" s="420"/>
      <c r="I109" s="420"/>
      <c r="J109" s="412" t="s">
        <v>239</v>
      </c>
      <c r="K109" s="410" t="s">
        <v>646</v>
      </c>
      <c r="L109" s="424">
        <f>45840*P109</f>
        <v>4584</v>
      </c>
      <c r="M109" s="415" t="s">
        <v>239</v>
      </c>
      <c r="N109" s="415" t="s">
        <v>657</v>
      </c>
      <c r="O109" s="415" t="s">
        <v>676</v>
      </c>
      <c r="P109" s="416">
        <v>0.1</v>
      </c>
      <c r="Q109" s="416"/>
      <c r="R109" s="265" t="s">
        <v>235</v>
      </c>
    </row>
    <row r="110" spans="1:18" s="1" customFormat="1" x14ac:dyDescent="0.25">
      <c r="A110" s="415" t="s">
        <v>696</v>
      </c>
      <c r="B110" s="415" t="s">
        <v>668</v>
      </c>
      <c r="C110" s="415"/>
      <c r="D110" s="415" t="s">
        <v>675</v>
      </c>
      <c r="E110" s="420" t="s">
        <v>501</v>
      </c>
      <c r="F110" s="420"/>
      <c r="G110" s="420"/>
      <c r="H110" s="420"/>
      <c r="I110" s="420"/>
      <c r="J110" s="412" t="s">
        <v>642</v>
      </c>
      <c r="K110" s="410" t="s">
        <v>646</v>
      </c>
      <c r="L110" s="424">
        <f>45840*P110</f>
        <v>45840</v>
      </c>
      <c r="M110" s="415" t="s">
        <v>239</v>
      </c>
      <c r="N110" s="415" t="s">
        <v>657</v>
      </c>
      <c r="O110" s="415" t="s">
        <v>676</v>
      </c>
      <c r="P110" s="416">
        <v>1</v>
      </c>
      <c r="Q110" s="416"/>
      <c r="R110" s="265" t="s">
        <v>235</v>
      </c>
    </row>
    <row r="111" spans="1:18" s="1" customFormat="1" x14ac:dyDescent="0.25">
      <c r="A111" s="415" t="s">
        <v>696</v>
      </c>
      <c r="B111" s="415" t="s">
        <v>668</v>
      </c>
      <c r="C111" s="415"/>
      <c r="D111" s="415" t="s">
        <v>669</v>
      </c>
      <c r="E111" s="420"/>
      <c r="F111" s="420"/>
      <c r="G111" s="420"/>
      <c r="H111" s="420"/>
      <c r="I111" s="420"/>
      <c r="J111" s="412" t="s">
        <v>642</v>
      </c>
      <c r="K111" s="410" t="s">
        <v>643</v>
      </c>
      <c r="L111" s="424">
        <f>49244*P111</f>
        <v>9848.8000000000011</v>
      </c>
      <c r="M111" s="415" t="s">
        <v>239</v>
      </c>
      <c r="N111" s="415" t="s">
        <v>657</v>
      </c>
      <c r="O111" s="415" t="s">
        <v>644</v>
      </c>
      <c r="P111" s="416">
        <v>0.2</v>
      </c>
      <c r="Q111" s="416"/>
      <c r="R111" s="265" t="s">
        <v>235</v>
      </c>
    </row>
    <row r="112" spans="1:18" s="1" customFormat="1" x14ac:dyDescent="0.25">
      <c r="A112" s="415" t="s">
        <v>696</v>
      </c>
      <c r="B112" s="415" t="s">
        <v>655</v>
      </c>
      <c r="C112" s="415">
        <v>3</v>
      </c>
      <c r="D112" s="415" t="s">
        <v>656</v>
      </c>
      <c r="E112" s="420" t="s">
        <v>501</v>
      </c>
      <c r="F112" s="420" t="s">
        <v>501</v>
      </c>
      <c r="G112" s="420" t="s">
        <v>501</v>
      </c>
      <c r="H112" s="420" t="s">
        <v>501</v>
      </c>
      <c r="I112" s="420"/>
      <c r="J112" s="412" t="s">
        <v>239</v>
      </c>
      <c r="K112" s="410" t="s">
        <v>648</v>
      </c>
      <c r="L112" s="422" t="s">
        <v>657</v>
      </c>
      <c r="M112" s="415" t="s">
        <v>642</v>
      </c>
      <c r="N112" s="415" t="s">
        <v>697</v>
      </c>
      <c r="O112" s="415" t="s">
        <v>659</v>
      </c>
      <c r="P112" s="416">
        <f>(0.125+0.2+0.2+0.1)/4</f>
        <v>0.15625</v>
      </c>
      <c r="Q112" s="416"/>
      <c r="R112" s="265" t="s">
        <v>660</v>
      </c>
    </row>
    <row r="113" spans="1:18" x14ac:dyDescent="0.25">
      <c r="A113" s="415" t="s">
        <v>696</v>
      </c>
      <c r="B113" s="415" t="s">
        <v>645</v>
      </c>
      <c r="C113" s="415">
        <v>4</v>
      </c>
      <c r="D113" s="415" t="s">
        <v>650</v>
      </c>
      <c r="E113" s="415" t="s">
        <v>501</v>
      </c>
      <c r="F113" s="415" t="s">
        <v>501</v>
      </c>
      <c r="G113" s="415" t="s">
        <v>501</v>
      </c>
      <c r="H113" s="415" t="s">
        <v>501</v>
      </c>
      <c r="I113" s="415"/>
      <c r="J113" s="412" t="s">
        <v>642</v>
      </c>
      <c r="K113" s="410" t="s">
        <v>648</v>
      </c>
      <c r="L113" s="415" t="s">
        <v>657</v>
      </c>
      <c r="M113" s="415" t="s">
        <v>642</v>
      </c>
      <c r="N113" s="415" t="s">
        <v>698</v>
      </c>
      <c r="O113" s="415" t="s">
        <v>659</v>
      </c>
      <c r="P113" s="416">
        <f>(0.25+0.9+1+0.4)/4</f>
        <v>0.63749999999999996</v>
      </c>
      <c r="Q113" s="416"/>
      <c r="R113" s="415" t="s">
        <v>660</v>
      </c>
    </row>
    <row r="114" spans="1:18" s="1" customFormat="1" x14ac:dyDescent="0.25">
      <c r="A114" s="415" t="s">
        <v>696</v>
      </c>
      <c r="B114" s="415" t="s">
        <v>651</v>
      </c>
      <c r="C114" s="415">
        <v>3</v>
      </c>
      <c r="D114" s="415" t="s">
        <v>652</v>
      </c>
      <c r="E114" s="420"/>
      <c r="F114" s="420" t="s">
        <v>501</v>
      </c>
      <c r="G114" s="420" t="s">
        <v>501</v>
      </c>
      <c r="H114" s="420" t="s">
        <v>501</v>
      </c>
      <c r="I114" s="420"/>
      <c r="J114" s="412" t="s">
        <v>642</v>
      </c>
      <c r="K114" s="410" t="s">
        <v>648</v>
      </c>
      <c r="L114" s="422" t="s">
        <v>657</v>
      </c>
      <c r="M114" s="415" t="s">
        <v>642</v>
      </c>
      <c r="N114" s="415" t="s">
        <v>699</v>
      </c>
      <c r="O114" s="415" t="s">
        <v>659</v>
      </c>
      <c r="P114" s="416">
        <f>(1+0.5+0.45)/3</f>
        <v>0.65</v>
      </c>
      <c r="Q114" s="416"/>
      <c r="R114" s="265" t="s">
        <v>660</v>
      </c>
    </row>
    <row r="115" spans="1:18" s="1" customFormat="1" x14ac:dyDescent="0.25">
      <c r="A115" s="415" t="s">
        <v>696</v>
      </c>
      <c r="B115" s="415" t="s">
        <v>651</v>
      </c>
      <c r="C115" s="415">
        <v>3</v>
      </c>
      <c r="D115" s="415" t="s">
        <v>652</v>
      </c>
      <c r="E115" s="420"/>
      <c r="F115" s="420" t="s">
        <v>501</v>
      </c>
      <c r="G115" s="420" t="s">
        <v>501</v>
      </c>
      <c r="H115" s="420" t="s">
        <v>501</v>
      </c>
      <c r="I115" s="420"/>
      <c r="J115" s="412" t="s">
        <v>642</v>
      </c>
      <c r="K115" s="410" t="s">
        <v>648</v>
      </c>
      <c r="L115" s="422" t="s">
        <v>657</v>
      </c>
      <c r="M115" s="415" t="s">
        <v>642</v>
      </c>
      <c r="N115" s="415" t="s">
        <v>700</v>
      </c>
      <c r="O115" s="415" t="s">
        <v>659</v>
      </c>
      <c r="P115" s="416">
        <f>(2+2+1)/3</f>
        <v>1.6666666666666667</v>
      </c>
      <c r="Q115" s="416"/>
      <c r="R115" s="265" t="s">
        <v>660</v>
      </c>
    </row>
    <row r="116" spans="1:18" s="1" customFormat="1" x14ac:dyDescent="0.25">
      <c r="A116" s="415" t="s">
        <v>696</v>
      </c>
      <c r="B116" s="415" t="s">
        <v>665</v>
      </c>
      <c r="C116" s="415">
        <v>3</v>
      </c>
      <c r="D116" s="415" t="s">
        <v>666</v>
      </c>
      <c r="E116" s="420"/>
      <c r="F116" s="420" t="s">
        <v>501</v>
      </c>
      <c r="G116" s="420" t="s">
        <v>501</v>
      </c>
      <c r="H116" s="420" t="s">
        <v>501</v>
      </c>
      <c r="I116" s="420"/>
      <c r="J116" s="412" t="s">
        <v>642</v>
      </c>
      <c r="K116" s="410" t="s">
        <v>648</v>
      </c>
      <c r="L116" s="422" t="s">
        <v>657</v>
      </c>
      <c r="M116" s="415" t="s">
        <v>642</v>
      </c>
      <c r="N116" s="415" t="s">
        <v>701</v>
      </c>
      <c r="O116" s="415" t="s">
        <v>659</v>
      </c>
      <c r="P116" s="416">
        <f>(0.9+0.8+0.5)/3</f>
        <v>0.73333333333333339</v>
      </c>
      <c r="Q116" s="416"/>
      <c r="R116" s="265" t="s">
        <v>660</v>
      </c>
    </row>
    <row r="117" spans="1:18" s="1" customFormat="1" x14ac:dyDescent="0.25">
      <c r="A117" s="415" t="s">
        <v>702</v>
      </c>
      <c r="B117" s="415" t="s">
        <v>568</v>
      </c>
      <c r="C117" s="415">
        <v>3</v>
      </c>
      <c r="D117" s="415" t="s">
        <v>687</v>
      </c>
      <c r="E117" s="420"/>
      <c r="F117" s="420"/>
      <c r="G117" s="420"/>
      <c r="H117" s="420"/>
      <c r="I117" s="420"/>
      <c r="J117" s="412" t="s">
        <v>642</v>
      </c>
      <c r="K117" s="410" t="s">
        <v>643</v>
      </c>
      <c r="L117" s="424">
        <f>71517*P117</f>
        <v>26222.9</v>
      </c>
      <c r="M117" s="415" t="s">
        <v>239</v>
      </c>
      <c r="N117" s="415" t="s">
        <v>657</v>
      </c>
      <c r="O117" s="415" t="s">
        <v>644</v>
      </c>
      <c r="P117" s="416">
        <f>(0.2+0.4+0.5)/3</f>
        <v>0.3666666666666667</v>
      </c>
      <c r="Q117" s="416"/>
      <c r="R117" s="265" t="s">
        <v>115</v>
      </c>
    </row>
    <row r="118" spans="1:18" x14ac:dyDescent="0.25">
      <c r="A118" s="415" t="s">
        <v>702</v>
      </c>
      <c r="B118" s="3" t="s">
        <v>645</v>
      </c>
      <c r="C118" s="415">
        <v>3</v>
      </c>
      <c r="D118" s="3" t="s">
        <v>650</v>
      </c>
      <c r="E118" s="415"/>
      <c r="F118" s="415"/>
      <c r="G118" s="415"/>
      <c r="H118" s="415"/>
      <c r="I118" s="415"/>
      <c r="J118" s="412" t="s">
        <v>642</v>
      </c>
      <c r="K118" s="410" t="s">
        <v>643</v>
      </c>
      <c r="L118" s="596">
        <f>59343*P118</f>
        <v>19781</v>
      </c>
      <c r="M118" s="415" t="s">
        <v>239</v>
      </c>
      <c r="N118" s="415" t="s">
        <v>657</v>
      </c>
      <c r="O118" s="415" t="s">
        <v>644</v>
      </c>
      <c r="P118" s="416">
        <f>(0+0.5+0.5)/3</f>
        <v>0.33333333333333331</v>
      </c>
      <c r="Q118" s="416"/>
      <c r="R118" s="415" t="s">
        <v>115</v>
      </c>
    </row>
    <row r="119" spans="1:18" x14ac:dyDescent="0.25">
      <c r="A119" s="415" t="s">
        <v>702</v>
      </c>
      <c r="B119" s="3" t="s">
        <v>645</v>
      </c>
      <c r="C119" s="415">
        <v>3</v>
      </c>
      <c r="D119" s="3" t="s">
        <v>650</v>
      </c>
      <c r="E119" s="415"/>
      <c r="F119" s="415" t="s">
        <v>501</v>
      </c>
      <c r="G119" s="415"/>
      <c r="H119" s="415"/>
      <c r="I119" s="415"/>
      <c r="J119" s="412" t="s">
        <v>642</v>
      </c>
      <c r="K119" s="410" t="s">
        <v>646</v>
      </c>
      <c r="L119" s="596">
        <f>59343*P119</f>
        <v>25715.3</v>
      </c>
      <c r="M119" s="415" t="s">
        <v>239</v>
      </c>
      <c r="N119" s="415" t="s">
        <v>657</v>
      </c>
      <c r="O119" s="415" t="s">
        <v>644</v>
      </c>
      <c r="P119" s="416">
        <f>(0.5+0.5+0.3)/3</f>
        <v>0.43333333333333335</v>
      </c>
      <c r="Q119" s="416"/>
      <c r="R119" s="415" t="s">
        <v>115</v>
      </c>
    </row>
    <row r="120" spans="1:18" s="1" customFormat="1" x14ac:dyDescent="0.25">
      <c r="A120" s="415" t="s">
        <v>702</v>
      </c>
      <c r="B120" s="415" t="s">
        <v>671</v>
      </c>
      <c r="C120" s="415">
        <v>3</v>
      </c>
      <c r="D120" s="415" t="s">
        <v>662</v>
      </c>
      <c r="E120" s="420"/>
      <c r="F120" s="420"/>
      <c r="G120" s="420"/>
      <c r="H120" s="420"/>
      <c r="I120" s="420"/>
      <c r="J120" s="412" t="s">
        <v>642</v>
      </c>
      <c r="K120" s="425" t="s">
        <v>643</v>
      </c>
      <c r="L120" s="424">
        <f>75527*P120</f>
        <v>27693.233333333337</v>
      </c>
      <c r="M120" s="415" t="s">
        <v>239</v>
      </c>
      <c r="N120" s="415"/>
      <c r="O120" s="415" t="s">
        <v>644</v>
      </c>
      <c r="P120" s="416">
        <f>(0.3+0.3+0.5)/3</f>
        <v>0.3666666666666667</v>
      </c>
      <c r="Q120" s="416"/>
      <c r="R120" s="265" t="s">
        <v>115</v>
      </c>
    </row>
    <row r="121" spans="1:18" s="1" customFormat="1" x14ac:dyDescent="0.25">
      <c r="A121" s="415" t="s">
        <v>702</v>
      </c>
      <c r="B121" s="415" t="s">
        <v>651</v>
      </c>
      <c r="C121" s="415">
        <v>3</v>
      </c>
      <c r="D121" s="415" t="s">
        <v>652</v>
      </c>
      <c r="E121" s="420"/>
      <c r="F121" s="420"/>
      <c r="G121" s="420" t="s">
        <v>501</v>
      </c>
      <c r="H121" s="420"/>
      <c r="I121" s="420"/>
      <c r="J121" s="412" t="s">
        <v>642</v>
      </c>
      <c r="K121" s="425" t="s">
        <v>646</v>
      </c>
      <c r="L121" s="424">
        <f>75527*P121</f>
        <v>45316.2</v>
      </c>
      <c r="M121" s="415" t="s">
        <v>239</v>
      </c>
      <c r="N121" s="415"/>
      <c r="O121" s="415" t="s">
        <v>644</v>
      </c>
      <c r="P121" s="416">
        <f>(0+0.3+1.5)/3</f>
        <v>0.6</v>
      </c>
      <c r="Q121" s="416"/>
      <c r="R121" s="265" t="s">
        <v>115</v>
      </c>
    </row>
    <row r="122" spans="1:18" s="1" customFormat="1" x14ac:dyDescent="0.25">
      <c r="A122" s="415" t="s">
        <v>702</v>
      </c>
      <c r="B122" s="415" t="s">
        <v>665</v>
      </c>
      <c r="C122" s="415">
        <v>3</v>
      </c>
      <c r="D122" s="415" t="s">
        <v>666</v>
      </c>
      <c r="E122" s="420"/>
      <c r="F122" s="420"/>
      <c r="G122" s="420" t="s">
        <v>501</v>
      </c>
      <c r="H122" s="420"/>
      <c r="I122" s="420"/>
      <c r="J122" s="412" t="s">
        <v>642</v>
      </c>
      <c r="K122" s="425" t="s">
        <v>646</v>
      </c>
      <c r="L122" s="424">
        <f>57545*P122</f>
        <v>26854.333333333332</v>
      </c>
      <c r="M122" s="415" t="s">
        <v>239</v>
      </c>
      <c r="N122" s="415"/>
      <c r="O122" s="415" t="s">
        <v>644</v>
      </c>
      <c r="P122" s="416">
        <f>(0+0.6+0.8)/3</f>
        <v>0.46666666666666662</v>
      </c>
      <c r="Q122" s="416"/>
      <c r="R122" s="265" t="s">
        <v>115</v>
      </c>
    </row>
    <row r="123" spans="1:18" s="1" customFormat="1" x14ac:dyDescent="0.25">
      <c r="A123" s="415" t="s">
        <v>702</v>
      </c>
      <c r="B123" s="415" t="s">
        <v>653</v>
      </c>
      <c r="C123" s="415">
        <v>3</v>
      </c>
      <c r="D123" s="415" t="s">
        <v>654</v>
      </c>
      <c r="E123" s="420"/>
      <c r="F123" s="420"/>
      <c r="G123" s="420"/>
      <c r="H123" s="420"/>
      <c r="I123" s="420"/>
      <c r="J123" s="412" t="s">
        <v>239</v>
      </c>
      <c r="K123" s="425" t="s">
        <v>643</v>
      </c>
      <c r="L123" s="424">
        <f>64738*P123</f>
        <v>16184.5</v>
      </c>
      <c r="M123" s="415" t="s">
        <v>239</v>
      </c>
      <c r="N123" s="415"/>
      <c r="O123" s="415" t="s">
        <v>644</v>
      </c>
      <c r="P123" s="416">
        <f>(0+0.25+0.5)/3</f>
        <v>0.25</v>
      </c>
      <c r="Q123" s="416"/>
      <c r="R123" s="265" t="s">
        <v>115</v>
      </c>
    </row>
    <row r="124" spans="1:18" s="1" customFormat="1" x14ac:dyDescent="0.25">
      <c r="A124" s="415" t="s">
        <v>702</v>
      </c>
      <c r="B124" s="415" t="s">
        <v>588</v>
      </c>
      <c r="C124" s="415"/>
      <c r="D124" s="415" t="s">
        <v>672</v>
      </c>
      <c r="E124" s="420"/>
      <c r="F124" s="420"/>
      <c r="G124" s="420"/>
      <c r="H124" s="420"/>
      <c r="I124" s="420"/>
      <c r="J124" s="412" t="s">
        <v>642</v>
      </c>
      <c r="K124" s="425" t="s">
        <v>643</v>
      </c>
      <c r="L124" s="424">
        <f>59006*P124</f>
        <v>8850.9</v>
      </c>
      <c r="M124" s="415" t="s">
        <v>239</v>
      </c>
      <c r="N124" s="415"/>
      <c r="O124" s="415" t="s">
        <v>644</v>
      </c>
      <c r="P124" s="416">
        <v>0.15</v>
      </c>
      <c r="Q124" s="416"/>
      <c r="R124" s="265" t="s">
        <v>235</v>
      </c>
    </row>
    <row r="125" spans="1:18" s="1" customFormat="1" x14ac:dyDescent="0.25">
      <c r="A125" s="415" t="s">
        <v>702</v>
      </c>
      <c r="B125" s="415" t="s">
        <v>673</v>
      </c>
      <c r="C125" s="415"/>
      <c r="D125" s="415" t="s">
        <v>674</v>
      </c>
      <c r="E125" s="420"/>
      <c r="F125" s="420" t="s">
        <v>501</v>
      </c>
      <c r="G125" s="420"/>
      <c r="H125" s="420"/>
      <c r="I125" s="420"/>
      <c r="J125" s="412" t="s">
        <v>642</v>
      </c>
      <c r="K125" s="425" t="s">
        <v>646</v>
      </c>
      <c r="L125" s="424">
        <f>45840*P125</f>
        <v>10696.000000000002</v>
      </c>
      <c r="M125" s="415" t="s">
        <v>239</v>
      </c>
      <c r="N125" s="415"/>
      <c r="O125" s="415" t="s">
        <v>676</v>
      </c>
      <c r="P125" s="416">
        <f>(0.1+0.2+0.4)/3</f>
        <v>0.23333333333333336</v>
      </c>
      <c r="Q125" s="416"/>
      <c r="R125" s="265" t="s">
        <v>235</v>
      </c>
    </row>
    <row r="126" spans="1:18" s="1" customFormat="1" x14ac:dyDescent="0.25">
      <c r="A126" s="415" t="s">
        <v>702</v>
      </c>
      <c r="B126" s="415" t="s">
        <v>668</v>
      </c>
      <c r="C126" s="415"/>
      <c r="D126" s="415" t="s">
        <v>675</v>
      </c>
      <c r="E126" s="420"/>
      <c r="F126" s="420" t="s">
        <v>501</v>
      </c>
      <c r="G126" s="420"/>
      <c r="H126" s="420"/>
      <c r="I126" s="420"/>
      <c r="J126" s="412" t="s">
        <v>642</v>
      </c>
      <c r="K126" s="425" t="s">
        <v>646</v>
      </c>
      <c r="L126" s="424">
        <f>45840*P126</f>
        <v>9168</v>
      </c>
      <c r="M126" s="415" t="s">
        <v>239</v>
      </c>
      <c r="N126" s="415"/>
      <c r="O126" s="415" t="s">
        <v>676</v>
      </c>
      <c r="P126" s="416">
        <v>0.2</v>
      </c>
      <c r="Q126" s="416"/>
      <c r="R126" s="265" t="s">
        <v>235</v>
      </c>
    </row>
    <row r="127" spans="1:18" s="1" customFormat="1" x14ac:dyDescent="0.25">
      <c r="A127" s="415" t="s">
        <v>702</v>
      </c>
      <c r="B127" s="415" t="s">
        <v>668</v>
      </c>
      <c r="C127" s="415"/>
      <c r="D127" s="415" t="s">
        <v>669</v>
      </c>
      <c r="E127" s="420"/>
      <c r="F127" s="420"/>
      <c r="G127" s="420"/>
      <c r="H127" s="420"/>
      <c r="I127" s="420"/>
      <c r="J127" s="412" t="s">
        <v>642</v>
      </c>
      <c r="K127" s="425" t="s">
        <v>643</v>
      </c>
      <c r="L127" s="424">
        <f>49244*P127</f>
        <v>9848.8000000000011</v>
      </c>
      <c r="M127" s="415" t="s">
        <v>239</v>
      </c>
      <c r="N127" s="415"/>
      <c r="O127" s="415" t="s">
        <v>644</v>
      </c>
      <c r="P127" s="416">
        <v>0.2</v>
      </c>
      <c r="Q127" s="416"/>
      <c r="R127" s="265" t="s">
        <v>235</v>
      </c>
    </row>
    <row r="128" spans="1:18" s="1" customFormat="1" x14ac:dyDescent="0.25">
      <c r="A128" s="415" t="s">
        <v>702</v>
      </c>
      <c r="B128" s="415" t="s">
        <v>655</v>
      </c>
      <c r="C128" s="415">
        <v>3</v>
      </c>
      <c r="D128" s="415" t="s">
        <v>656</v>
      </c>
      <c r="E128" s="420"/>
      <c r="F128" s="420" t="s">
        <v>501</v>
      </c>
      <c r="G128" s="420" t="s">
        <v>501</v>
      </c>
      <c r="H128" s="420" t="s">
        <v>501</v>
      </c>
      <c r="I128" s="420"/>
      <c r="J128" s="412" t="s">
        <v>239</v>
      </c>
      <c r="K128" s="425" t="s">
        <v>648</v>
      </c>
      <c r="L128" s="422" t="s">
        <v>657</v>
      </c>
      <c r="M128" s="415" t="s">
        <v>642</v>
      </c>
      <c r="N128" s="415" t="s">
        <v>703</v>
      </c>
      <c r="O128" s="415" t="s">
        <v>659</v>
      </c>
      <c r="P128" s="416">
        <v>0.1</v>
      </c>
      <c r="Q128" s="416"/>
      <c r="R128" s="265" t="s">
        <v>660</v>
      </c>
    </row>
    <row r="129" spans="1:18" x14ac:dyDescent="0.25">
      <c r="A129" s="415" t="s">
        <v>702</v>
      </c>
      <c r="B129" s="415" t="s">
        <v>645</v>
      </c>
      <c r="C129" s="415">
        <v>4</v>
      </c>
      <c r="D129" s="415" t="s">
        <v>650</v>
      </c>
      <c r="E129" s="415"/>
      <c r="F129" s="415" t="s">
        <v>501</v>
      </c>
      <c r="G129" s="415" t="s">
        <v>501</v>
      </c>
      <c r="H129" s="415" t="s">
        <v>501</v>
      </c>
      <c r="I129" s="415"/>
      <c r="J129" s="412" t="s">
        <v>642</v>
      </c>
      <c r="K129" s="487" t="s">
        <v>648</v>
      </c>
      <c r="L129" s="415" t="s">
        <v>657</v>
      </c>
      <c r="M129" s="415" t="s">
        <v>642</v>
      </c>
      <c r="N129" s="415" t="s">
        <v>704</v>
      </c>
      <c r="O129" s="415" t="s">
        <v>659</v>
      </c>
      <c r="P129" s="416">
        <f>(0.49+0.74+0.6)/3</f>
        <v>0.61</v>
      </c>
      <c r="Q129" s="416"/>
      <c r="R129" s="415" t="s">
        <v>660</v>
      </c>
    </row>
    <row r="130" spans="1:18" s="1" customFormat="1" x14ac:dyDescent="0.25">
      <c r="A130" s="415" t="s">
        <v>702</v>
      </c>
      <c r="B130" s="415" t="s">
        <v>651</v>
      </c>
      <c r="C130" s="415">
        <v>3</v>
      </c>
      <c r="D130" s="415" t="s">
        <v>652</v>
      </c>
      <c r="E130" s="420"/>
      <c r="F130" s="420"/>
      <c r="G130" s="420" t="s">
        <v>501</v>
      </c>
      <c r="H130" s="420" t="s">
        <v>501</v>
      </c>
      <c r="I130" s="420"/>
      <c r="J130" s="412" t="s">
        <v>642</v>
      </c>
      <c r="K130" s="425" t="s">
        <v>648</v>
      </c>
      <c r="L130" s="422" t="s">
        <v>657</v>
      </c>
      <c r="M130" s="415" t="s">
        <v>642</v>
      </c>
      <c r="N130" s="415" t="s">
        <v>705</v>
      </c>
      <c r="O130" s="415" t="s">
        <v>659</v>
      </c>
      <c r="P130" s="416">
        <f>(0.6+0.47)/2</f>
        <v>0.53499999999999992</v>
      </c>
      <c r="Q130" s="416"/>
      <c r="R130" s="265" t="s">
        <v>660</v>
      </c>
    </row>
    <row r="131" spans="1:18" s="1" customFormat="1" x14ac:dyDescent="0.25">
      <c r="A131" s="415" t="s">
        <v>702</v>
      </c>
      <c r="B131" s="415" t="s">
        <v>651</v>
      </c>
      <c r="C131" s="415">
        <v>3</v>
      </c>
      <c r="D131" s="415" t="s">
        <v>652</v>
      </c>
      <c r="E131" s="420"/>
      <c r="F131" s="420"/>
      <c r="G131" s="420" t="s">
        <v>501</v>
      </c>
      <c r="H131" s="420" t="s">
        <v>501</v>
      </c>
      <c r="I131" s="420"/>
      <c r="J131" s="412" t="s">
        <v>642</v>
      </c>
      <c r="K131" s="425" t="s">
        <v>648</v>
      </c>
      <c r="L131" s="422" t="s">
        <v>657</v>
      </c>
      <c r="M131" s="415" t="s">
        <v>642</v>
      </c>
      <c r="N131" s="415" t="s">
        <v>706</v>
      </c>
      <c r="O131" s="415" t="s">
        <v>659</v>
      </c>
      <c r="P131" s="416">
        <v>1</v>
      </c>
      <c r="Q131" s="416"/>
      <c r="R131" s="265" t="s">
        <v>660</v>
      </c>
    </row>
    <row r="132" spans="1:18" s="1" customFormat="1" x14ac:dyDescent="0.25">
      <c r="A132" s="426" t="s">
        <v>702</v>
      </c>
      <c r="B132" s="426" t="s">
        <v>665</v>
      </c>
      <c r="C132" s="426">
        <v>3</v>
      </c>
      <c r="D132" s="426" t="s">
        <v>666</v>
      </c>
      <c r="E132" s="427"/>
      <c r="F132" s="427"/>
      <c r="G132" s="427" t="s">
        <v>501</v>
      </c>
      <c r="H132" s="427" t="s">
        <v>501</v>
      </c>
      <c r="I132" s="427"/>
      <c r="J132" s="428" t="s">
        <v>642</v>
      </c>
      <c r="K132" s="429" t="s">
        <v>648</v>
      </c>
      <c r="L132" s="430" t="s">
        <v>657</v>
      </c>
      <c r="M132" s="426" t="s">
        <v>642</v>
      </c>
      <c r="N132" s="426" t="s">
        <v>707</v>
      </c>
      <c r="O132" s="426" t="s">
        <v>659</v>
      </c>
      <c r="P132" s="416">
        <f>(0.5+0.6)/2</f>
        <v>0.55000000000000004</v>
      </c>
      <c r="Q132" s="416"/>
      <c r="R132" s="265" t="s">
        <v>660</v>
      </c>
    </row>
    <row r="133" spans="1:18" s="1" customFormat="1" x14ac:dyDescent="0.25">
      <c r="A133" s="265" t="s">
        <v>708</v>
      </c>
      <c r="B133" s="265" t="s">
        <v>568</v>
      </c>
      <c r="C133" s="431">
        <v>6</v>
      </c>
      <c r="D133" s="265" t="s">
        <v>641</v>
      </c>
      <c r="E133" s="427"/>
      <c r="F133" s="265"/>
      <c r="G133" s="265"/>
      <c r="H133" s="265"/>
      <c r="I133" s="265"/>
      <c r="J133" s="265" t="s">
        <v>642</v>
      </c>
      <c r="K133" s="265" t="s">
        <v>643</v>
      </c>
      <c r="L133" s="432">
        <v>321120</v>
      </c>
      <c r="M133" s="265"/>
      <c r="N133" s="265"/>
      <c r="O133" s="265"/>
      <c r="P133" s="265" t="s">
        <v>709</v>
      </c>
      <c r="Q133" s="265"/>
      <c r="R133" s="265" t="s">
        <v>115</v>
      </c>
    </row>
    <row r="134" spans="1:18" s="1" customFormat="1" x14ac:dyDescent="0.25">
      <c r="A134" s="265" t="s">
        <v>708</v>
      </c>
      <c r="B134" s="265" t="s">
        <v>710</v>
      </c>
      <c r="C134" s="431">
        <v>2</v>
      </c>
      <c r="D134" s="265" t="s">
        <v>710</v>
      </c>
      <c r="E134" s="427"/>
      <c r="F134" s="265"/>
      <c r="G134" s="265"/>
      <c r="H134" s="265"/>
      <c r="I134" s="265"/>
      <c r="J134" s="265" t="s">
        <v>239</v>
      </c>
      <c r="K134" s="265" t="s">
        <v>643</v>
      </c>
      <c r="L134" s="432">
        <v>102758</v>
      </c>
      <c r="M134" s="265"/>
      <c r="N134" s="265"/>
      <c r="O134" s="265"/>
      <c r="P134" s="265" t="s">
        <v>709</v>
      </c>
      <c r="Q134" s="265"/>
      <c r="R134" s="265" t="s">
        <v>115</v>
      </c>
    </row>
    <row r="135" spans="1:18" x14ac:dyDescent="0.25">
      <c r="A135" s="415" t="s">
        <v>708</v>
      </c>
      <c r="B135" s="415" t="s">
        <v>645</v>
      </c>
      <c r="C135" s="431">
        <v>3</v>
      </c>
      <c r="D135" s="415" t="s">
        <v>650</v>
      </c>
      <c r="E135" s="415"/>
      <c r="F135" s="415"/>
      <c r="G135" s="415"/>
      <c r="H135" s="415"/>
      <c r="I135" s="415"/>
      <c r="J135" s="415" t="s">
        <v>642</v>
      </c>
      <c r="K135" s="415" t="s">
        <v>643</v>
      </c>
      <c r="L135" s="596">
        <v>93124</v>
      </c>
      <c r="M135" s="415"/>
      <c r="N135" s="413"/>
      <c r="O135" s="415"/>
      <c r="P135" s="415" t="s">
        <v>709</v>
      </c>
      <c r="Q135" s="415"/>
      <c r="R135" s="415" t="s">
        <v>115</v>
      </c>
    </row>
    <row r="136" spans="1:18" s="1" customFormat="1" x14ac:dyDescent="0.25">
      <c r="A136" s="265" t="s">
        <v>708</v>
      </c>
      <c r="B136" s="265" t="s">
        <v>711</v>
      </c>
      <c r="C136" s="431">
        <v>2.4</v>
      </c>
      <c r="D136" s="265" t="s">
        <v>711</v>
      </c>
      <c r="E136" s="265"/>
      <c r="F136" s="265"/>
      <c r="G136" s="265"/>
      <c r="H136" s="265"/>
      <c r="I136" s="265"/>
      <c r="J136" s="265" t="s">
        <v>642</v>
      </c>
      <c r="K136" s="265" t="s">
        <v>643</v>
      </c>
      <c r="L136" s="432">
        <v>90555</v>
      </c>
      <c r="M136" s="265"/>
      <c r="N136" s="433"/>
      <c r="O136" s="265"/>
      <c r="P136" s="265" t="s">
        <v>709</v>
      </c>
      <c r="Q136" s="265"/>
      <c r="R136" s="265" t="s">
        <v>115</v>
      </c>
    </row>
    <row r="137" spans="1:18" s="1" customFormat="1" x14ac:dyDescent="0.25">
      <c r="A137" s="265" t="s">
        <v>708</v>
      </c>
      <c r="B137" s="265" t="s">
        <v>671</v>
      </c>
      <c r="C137" s="431">
        <v>1</v>
      </c>
      <c r="D137" s="265" t="s">
        <v>641</v>
      </c>
      <c r="E137" s="265"/>
      <c r="F137" s="265"/>
      <c r="G137" s="265"/>
      <c r="H137" s="265"/>
      <c r="I137" s="265"/>
      <c r="J137" s="265" t="s">
        <v>642</v>
      </c>
      <c r="K137" s="265" t="s">
        <v>643</v>
      </c>
      <c r="L137" s="432">
        <v>77068</v>
      </c>
      <c r="M137" s="265"/>
      <c r="N137" s="433"/>
      <c r="O137" s="265"/>
      <c r="P137" s="265" t="s">
        <v>709</v>
      </c>
      <c r="Q137" s="265"/>
      <c r="R137" s="265" t="s">
        <v>115</v>
      </c>
    </row>
    <row r="138" spans="1:18" s="1" customFormat="1" x14ac:dyDescent="0.25">
      <c r="A138" s="265" t="s">
        <v>708</v>
      </c>
      <c r="B138" s="265" t="s">
        <v>651</v>
      </c>
      <c r="C138" s="431">
        <v>7</v>
      </c>
      <c r="D138" s="265" t="s">
        <v>651</v>
      </c>
      <c r="E138" s="265"/>
      <c r="F138" s="265"/>
      <c r="G138" s="265"/>
      <c r="H138" s="265"/>
      <c r="I138" s="265"/>
      <c r="J138" s="265" t="s">
        <v>642</v>
      </c>
      <c r="K138" s="265" t="s">
        <v>643</v>
      </c>
      <c r="L138" s="432">
        <v>346809</v>
      </c>
      <c r="M138" s="265"/>
      <c r="N138" s="433"/>
      <c r="O138" s="265"/>
      <c r="P138" s="265" t="s">
        <v>709</v>
      </c>
      <c r="Q138" s="265"/>
      <c r="R138" s="265" t="s">
        <v>115</v>
      </c>
    </row>
    <row r="139" spans="1:18" s="1" customFormat="1" x14ac:dyDescent="0.25">
      <c r="A139" s="265" t="s">
        <v>708</v>
      </c>
      <c r="B139" s="265" t="s">
        <v>712</v>
      </c>
      <c r="C139" s="415">
        <v>3</v>
      </c>
      <c r="D139" s="415" t="s">
        <v>654</v>
      </c>
      <c r="E139" s="265"/>
      <c r="F139" s="265"/>
      <c r="G139" s="265"/>
      <c r="H139" s="265"/>
      <c r="I139" s="265"/>
      <c r="J139" s="265" t="s">
        <v>239</v>
      </c>
      <c r="K139" s="265" t="s">
        <v>643</v>
      </c>
      <c r="L139" s="432">
        <v>107575</v>
      </c>
      <c r="M139" s="265"/>
      <c r="N139" s="433"/>
      <c r="O139" s="265"/>
      <c r="P139" s="265" t="s">
        <v>709</v>
      </c>
      <c r="Q139" s="265"/>
      <c r="R139" s="265" t="s">
        <v>115</v>
      </c>
    </row>
    <row r="140" spans="1:18" s="1" customFormat="1" x14ac:dyDescent="0.25">
      <c r="A140" s="434" t="s">
        <v>708</v>
      </c>
      <c r="B140" s="434" t="s">
        <v>665</v>
      </c>
      <c r="C140" s="435">
        <v>2</v>
      </c>
      <c r="D140" s="434" t="s">
        <v>665</v>
      </c>
      <c r="E140" s="434"/>
      <c r="F140" s="434"/>
      <c r="G140" s="434"/>
      <c r="H140" s="434"/>
      <c r="I140" s="434"/>
      <c r="J140" s="434" t="s">
        <v>642</v>
      </c>
      <c r="K140" s="434" t="s">
        <v>643</v>
      </c>
      <c r="L140" s="436">
        <v>88308</v>
      </c>
      <c r="M140" s="434"/>
      <c r="N140" s="434"/>
      <c r="O140" s="434"/>
      <c r="P140" s="265" t="s">
        <v>709</v>
      </c>
      <c r="Q140" s="265"/>
      <c r="R140" s="265" t="s">
        <v>115</v>
      </c>
    </row>
    <row r="141" spans="1:18" s="556" customFormat="1" x14ac:dyDescent="0.25">
      <c r="A141" s="552" t="s">
        <v>708</v>
      </c>
      <c r="B141" s="552" t="s">
        <v>588</v>
      </c>
      <c r="C141" s="553">
        <v>2</v>
      </c>
      <c r="D141" s="552" t="s">
        <v>713</v>
      </c>
      <c r="E141" s="552"/>
      <c r="F141" s="552"/>
      <c r="G141" s="552" t="s">
        <v>501</v>
      </c>
      <c r="H141" s="552"/>
      <c r="I141" s="552"/>
      <c r="J141" s="552" t="s">
        <v>642</v>
      </c>
      <c r="K141" s="552" t="s">
        <v>648</v>
      </c>
      <c r="L141" s="554">
        <v>48168</v>
      </c>
      <c r="M141" s="552"/>
      <c r="N141" s="552"/>
      <c r="O141" s="552" t="s">
        <v>714</v>
      </c>
      <c r="P141" s="557">
        <v>1</v>
      </c>
      <c r="Q141" s="555"/>
      <c r="R141" s="555" t="s">
        <v>165</v>
      </c>
    </row>
    <row r="142" spans="1:18" s="556" customFormat="1" x14ac:dyDescent="0.25">
      <c r="A142" s="552" t="s">
        <v>708</v>
      </c>
      <c r="B142" s="552" t="s">
        <v>588</v>
      </c>
      <c r="C142" s="553">
        <v>2</v>
      </c>
      <c r="D142" s="552" t="s">
        <v>713</v>
      </c>
      <c r="E142" s="552"/>
      <c r="F142" s="552"/>
      <c r="G142" s="552" t="s">
        <v>501</v>
      </c>
      <c r="H142" s="552"/>
      <c r="I142" s="552"/>
      <c r="J142" s="552" t="s">
        <v>642</v>
      </c>
      <c r="K142" s="552" t="s">
        <v>648</v>
      </c>
      <c r="L142" s="554">
        <v>56196</v>
      </c>
      <c r="M142" s="552"/>
      <c r="N142" s="552"/>
      <c r="O142" s="552" t="s">
        <v>714</v>
      </c>
      <c r="P142" s="557">
        <v>1</v>
      </c>
      <c r="Q142" s="555"/>
      <c r="R142" s="555" t="s">
        <v>115</v>
      </c>
    </row>
    <row r="143" spans="1:18" s="556" customFormat="1" x14ac:dyDescent="0.25">
      <c r="A143" s="552" t="s">
        <v>708</v>
      </c>
      <c r="B143" s="552" t="s">
        <v>715</v>
      </c>
      <c r="C143" s="553">
        <v>2</v>
      </c>
      <c r="D143" s="555" t="s">
        <v>651</v>
      </c>
      <c r="E143" s="552"/>
      <c r="F143" s="552"/>
      <c r="G143" s="552" t="s">
        <v>501</v>
      </c>
      <c r="H143" s="552"/>
      <c r="I143" s="552"/>
      <c r="J143" s="552" t="s">
        <v>642</v>
      </c>
      <c r="K143" s="552" t="s">
        <v>648</v>
      </c>
      <c r="L143" s="554">
        <v>60969</v>
      </c>
      <c r="M143" s="552"/>
      <c r="N143" s="552"/>
      <c r="O143" s="552" t="s">
        <v>714</v>
      </c>
      <c r="P143" s="557">
        <v>1</v>
      </c>
      <c r="Q143" s="555"/>
      <c r="R143" s="555" t="s">
        <v>115</v>
      </c>
    </row>
    <row r="144" spans="1:18" s="1" customFormat="1" ht="15" customHeight="1" x14ac:dyDescent="0.25">
      <c r="A144" s="437" t="s">
        <v>716</v>
      </c>
      <c r="B144" s="265" t="s">
        <v>717</v>
      </c>
      <c r="C144" s="265">
        <v>2</v>
      </c>
      <c r="D144" s="265" t="s">
        <v>641</v>
      </c>
      <c r="E144" s="265"/>
      <c r="F144" s="265"/>
      <c r="G144" s="265"/>
      <c r="H144" s="265"/>
      <c r="I144" s="265"/>
      <c r="J144" s="265" t="s">
        <v>642</v>
      </c>
      <c r="K144" s="265" t="s">
        <v>643</v>
      </c>
      <c r="L144" s="768">
        <v>362865.6</v>
      </c>
      <c r="M144" s="265"/>
      <c r="N144" s="265"/>
      <c r="O144" s="415"/>
      <c r="P144" s="438">
        <v>1</v>
      </c>
      <c r="Q144" s="438"/>
      <c r="R144" s="265" t="s">
        <v>115</v>
      </c>
    </row>
    <row r="145" spans="1:18" s="1" customFormat="1" ht="15" customHeight="1" x14ac:dyDescent="0.25">
      <c r="A145" s="437" t="s">
        <v>716</v>
      </c>
      <c r="B145" s="265" t="s">
        <v>718</v>
      </c>
      <c r="C145" s="265">
        <v>3</v>
      </c>
      <c r="D145" s="265" t="s">
        <v>650</v>
      </c>
      <c r="E145" s="265"/>
      <c r="F145" s="265"/>
      <c r="G145" s="265"/>
      <c r="H145" s="265"/>
      <c r="I145" s="265"/>
      <c r="J145" s="265" t="s">
        <v>642</v>
      </c>
      <c r="K145" s="265" t="s">
        <v>643</v>
      </c>
      <c r="L145" s="769"/>
      <c r="M145" s="265"/>
      <c r="N145" s="265"/>
      <c r="O145" s="415"/>
      <c r="P145" s="438"/>
      <c r="Q145" s="438"/>
      <c r="R145" s="265"/>
    </row>
    <row r="146" spans="1:18" s="1" customFormat="1" x14ac:dyDescent="0.25">
      <c r="A146" s="437" t="s">
        <v>716</v>
      </c>
      <c r="B146" s="265" t="s">
        <v>719</v>
      </c>
      <c r="C146" s="265">
        <v>2</v>
      </c>
      <c r="D146" s="265" t="s">
        <v>662</v>
      </c>
      <c r="E146" s="265"/>
      <c r="F146" s="265"/>
      <c r="G146" s="265"/>
      <c r="H146" s="265"/>
      <c r="I146" s="265"/>
      <c r="J146" s="265" t="s">
        <v>642</v>
      </c>
      <c r="K146" s="265" t="s">
        <v>643</v>
      </c>
      <c r="L146" s="769"/>
      <c r="M146" s="265"/>
      <c r="N146" s="265"/>
      <c r="O146" s="415"/>
      <c r="P146" s="438">
        <v>1</v>
      </c>
      <c r="Q146" s="438"/>
      <c r="R146" s="265" t="s">
        <v>115</v>
      </c>
    </row>
    <row r="147" spans="1:18" s="1" customFormat="1" x14ac:dyDescent="0.25">
      <c r="A147" s="437" t="s">
        <v>716</v>
      </c>
      <c r="B147" s="265" t="s">
        <v>720</v>
      </c>
      <c r="C147" s="265">
        <v>5</v>
      </c>
      <c r="D147" s="415" t="s">
        <v>652</v>
      </c>
      <c r="E147" s="265"/>
      <c r="F147" s="265"/>
      <c r="G147" s="265"/>
      <c r="H147" s="265"/>
      <c r="I147" s="265"/>
      <c r="J147" s="265" t="s">
        <v>642</v>
      </c>
      <c r="K147" s="265" t="s">
        <v>643</v>
      </c>
      <c r="L147" s="769"/>
      <c r="M147" s="265"/>
      <c r="N147" s="265"/>
      <c r="O147" s="415"/>
      <c r="P147" s="438">
        <v>1</v>
      </c>
      <c r="Q147" s="438"/>
      <c r="R147" s="265" t="s">
        <v>115</v>
      </c>
    </row>
    <row r="148" spans="1:18" s="1" customFormat="1" x14ac:dyDescent="0.25">
      <c r="A148" s="437" t="s">
        <v>716</v>
      </c>
      <c r="B148" s="265" t="s">
        <v>715</v>
      </c>
      <c r="C148" s="265">
        <v>2</v>
      </c>
      <c r="D148" s="415" t="s">
        <v>652</v>
      </c>
      <c r="E148" s="265"/>
      <c r="F148" s="265"/>
      <c r="G148" s="265"/>
      <c r="H148" s="265"/>
      <c r="I148" s="265"/>
      <c r="J148" s="265" t="s">
        <v>642</v>
      </c>
      <c r="K148" s="265" t="s">
        <v>643</v>
      </c>
      <c r="L148" s="769"/>
      <c r="M148" s="265"/>
      <c r="N148" s="265"/>
      <c r="O148" s="415"/>
      <c r="P148" s="438">
        <v>1</v>
      </c>
      <c r="Q148" s="438"/>
      <c r="R148" s="265" t="s">
        <v>115</v>
      </c>
    </row>
    <row r="149" spans="1:18" s="1" customFormat="1" x14ac:dyDescent="0.25">
      <c r="A149" s="437" t="s">
        <v>716</v>
      </c>
      <c r="B149" s="265" t="s">
        <v>721</v>
      </c>
      <c r="C149" s="415">
        <v>3</v>
      </c>
      <c r="D149" s="415" t="s">
        <v>654</v>
      </c>
      <c r="E149" s="265"/>
      <c r="F149" s="265"/>
      <c r="G149" s="265"/>
      <c r="H149" s="265"/>
      <c r="I149" s="265"/>
      <c r="J149" s="265" t="s">
        <v>642</v>
      </c>
      <c r="K149" s="265" t="s">
        <v>643</v>
      </c>
      <c r="L149" s="769"/>
      <c r="M149" s="265"/>
      <c r="N149" s="265"/>
      <c r="O149" s="415"/>
      <c r="P149" s="438">
        <v>0.5</v>
      </c>
      <c r="Q149" s="438"/>
      <c r="R149" s="265" t="s">
        <v>115</v>
      </c>
    </row>
    <row r="150" spans="1:18" s="1" customFormat="1" x14ac:dyDescent="0.25">
      <c r="A150" s="437" t="s">
        <v>716</v>
      </c>
      <c r="B150" s="265" t="s">
        <v>715</v>
      </c>
      <c r="C150" s="265">
        <v>2</v>
      </c>
      <c r="D150" s="415" t="s">
        <v>652</v>
      </c>
      <c r="E150" s="265"/>
      <c r="F150" s="265"/>
      <c r="G150" s="265"/>
      <c r="H150" s="265"/>
      <c r="I150" s="265"/>
      <c r="J150" s="265" t="s">
        <v>642</v>
      </c>
      <c r="K150" s="265" t="s">
        <v>643</v>
      </c>
      <c r="L150" s="770"/>
      <c r="M150" s="265"/>
      <c r="N150" s="265"/>
      <c r="O150" s="415"/>
      <c r="P150" s="438">
        <v>1</v>
      </c>
      <c r="Q150" s="438"/>
      <c r="R150" s="265" t="s">
        <v>115</v>
      </c>
    </row>
    <row r="151" spans="1:18" s="1" customFormat="1" x14ac:dyDescent="0.25">
      <c r="A151" s="437" t="s">
        <v>716</v>
      </c>
      <c r="B151" s="265" t="s">
        <v>722</v>
      </c>
      <c r="C151" s="265">
        <v>4</v>
      </c>
      <c r="D151" s="265" t="s">
        <v>652</v>
      </c>
      <c r="E151" s="265"/>
      <c r="F151" s="265" t="s">
        <v>501</v>
      </c>
      <c r="G151" s="265"/>
      <c r="H151" s="265"/>
      <c r="I151" s="265"/>
      <c r="J151" s="265" t="s">
        <v>642</v>
      </c>
      <c r="K151" s="555" t="s">
        <v>723</v>
      </c>
      <c r="L151" s="432">
        <v>75463.199999999997</v>
      </c>
      <c r="M151" s="265" t="s">
        <v>239</v>
      </c>
      <c r="N151" s="265"/>
      <c r="O151" s="415" t="s">
        <v>644</v>
      </c>
      <c r="P151" s="438">
        <v>1</v>
      </c>
      <c r="Q151" s="438"/>
      <c r="R151" s="265" t="s">
        <v>115</v>
      </c>
    </row>
    <row r="152" spans="1:18" s="1" customFormat="1" x14ac:dyDescent="0.25">
      <c r="A152" s="437" t="s">
        <v>716</v>
      </c>
      <c r="B152" s="265" t="s">
        <v>724</v>
      </c>
      <c r="C152" s="265">
        <v>3</v>
      </c>
      <c r="D152" s="265" t="s">
        <v>652</v>
      </c>
      <c r="E152" s="265"/>
      <c r="F152" s="265"/>
      <c r="G152" s="265"/>
      <c r="H152" s="265"/>
      <c r="I152" s="265"/>
      <c r="J152" s="265" t="s">
        <v>642</v>
      </c>
      <c r="K152" s="555" t="s">
        <v>723</v>
      </c>
      <c r="L152" s="592">
        <v>48168</v>
      </c>
      <c r="M152" s="265" t="s">
        <v>239</v>
      </c>
      <c r="N152" s="265"/>
      <c r="O152" s="415" t="s">
        <v>644</v>
      </c>
      <c r="P152" s="438">
        <v>1</v>
      </c>
      <c r="Q152" s="438"/>
      <c r="R152" s="265" t="s">
        <v>115</v>
      </c>
    </row>
    <row r="153" spans="1:18" x14ac:dyDescent="0.25">
      <c r="A153" s="597" t="s">
        <v>716</v>
      </c>
      <c r="B153" s="415" t="s">
        <v>645</v>
      </c>
      <c r="C153" s="415">
        <v>3</v>
      </c>
      <c r="D153" s="415" t="s">
        <v>650</v>
      </c>
      <c r="E153" s="415"/>
      <c r="F153" s="415"/>
      <c r="G153" s="415"/>
      <c r="H153" s="415"/>
      <c r="I153" s="415"/>
      <c r="J153" s="415" t="s">
        <v>642</v>
      </c>
      <c r="K153" s="598" t="s">
        <v>723</v>
      </c>
      <c r="L153" s="596">
        <v>61012.800000000003</v>
      </c>
      <c r="M153" s="415" t="s">
        <v>239</v>
      </c>
      <c r="N153" s="415"/>
      <c r="O153" s="415" t="s">
        <v>644</v>
      </c>
      <c r="P153" s="416">
        <v>1</v>
      </c>
      <c r="Q153" s="416"/>
      <c r="R153" s="415" t="s">
        <v>115</v>
      </c>
    </row>
    <row r="154" spans="1:18" s="1" customFormat="1" x14ac:dyDescent="0.25">
      <c r="A154" s="437" t="s">
        <v>716</v>
      </c>
      <c r="B154" s="265" t="s">
        <v>725</v>
      </c>
      <c r="C154" s="265">
        <v>3</v>
      </c>
      <c r="D154" s="265" t="s">
        <v>726</v>
      </c>
      <c r="E154" s="265"/>
      <c r="F154" s="265"/>
      <c r="G154" s="265"/>
      <c r="H154" s="265"/>
      <c r="I154" s="265"/>
      <c r="J154" s="265" t="s">
        <v>642</v>
      </c>
      <c r="K154" s="555" t="s">
        <v>723</v>
      </c>
      <c r="L154" s="432">
        <v>75463.199999999997</v>
      </c>
      <c r="M154" s="265" t="s">
        <v>239</v>
      </c>
      <c r="N154" s="265"/>
      <c r="O154" s="415" t="s">
        <v>644</v>
      </c>
      <c r="P154" s="438">
        <v>1</v>
      </c>
      <c r="Q154" s="438"/>
      <c r="R154" s="265" t="s">
        <v>115</v>
      </c>
    </row>
    <row r="155" spans="1:18" s="1" customFormat="1" x14ac:dyDescent="0.25">
      <c r="A155" s="437" t="s">
        <v>727</v>
      </c>
      <c r="B155" s="265" t="s">
        <v>651</v>
      </c>
      <c r="C155" s="265"/>
      <c r="D155" s="265"/>
      <c r="E155" s="265"/>
      <c r="F155" s="265" t="s">
        <v>501</v>
      </c>
      <c r="G155" s="265"/>
      <c r="H155" s="265"/>
      <c r="I155" s="265"/>
      <c r="J155" s="265" t="s">
        <v>642</v>
      </c>
      <c r="K155" s="265" t="s">
        <v>646</v>
      </c>
      <c r="L155" s="439">
        <v>77400</v>
      </c>
      <c r="M155" s="265" t="s">
        <v>239</v>
      </c>
      <c r="N155" s="265"/>
      <c r="O155" s="415" t="s">
        <v>644</v>
      </c>
      <c r="P155" s="438">
        <v>1</v>
      </c>
      <c r="Q155" s="438"/>
      <c r="R155" s="265" t="s">
        <v>115</v>
      </c>
    </row>
    <row r="156" spans="1:18" s="1" customFormat="1" x14ac:dyDescent="0.25">
      <c r="A156" s="437" t="s">
        <v>727</v>
      </c>
      <c r="B156" s="265" t="s">
        <v>717</v>
      </c>
      <c r="C156" s="265"/>
      <c r="D156" s="265"/>
      <c r="E156" s="265"/>
      <c r="F156" s="265"/>
      <c r="G156" s="265"/>
      <c r="H156" s="265"/>
      <c r="I156" s="265"/>
      <c r="J156" s="265" t="s">
        <v>642</v>
      </c>
      <c r="K156" s="265" t="s">
        <v>643</v>
      </c>
      <c r="L156" s="771">
        <v>345268</v>
      </c>
      <c r="M156" s="265"/>
      <c r="N156" s="265"/>
      <c r="O156" s="415" t="s">
        <v>644</v>
      </c>
      <c r="P156" s="438">
        <v>1</v>
      </c>
      <c r="Q156" s="438"/>
      <c r="R156" s="265" t="s">
        <v>115</v>
      </c>
    </row>
    <row r="157" spans="1:18" s="1" customFormat="1" x14ac:dyDescent="0.25">
      <c r="A157" s="437" t="s">
        <v>727</v>
      </c>
      <c r="B157" s="265" t="s">
        <v>728</v>
      </c>
      <c r="C157" s="265"/>
      <c r="D157" s="265"/>
      <c r="E157" s="265"/>
      <c r="F157" s="265"/>
      <c r="G157" s="265"/>
      <c r="H157" s="265"/>
      <c r="I157" s="265"/>
      <c r="J157" s="265" t="s">
        <v>642</v>
      </c>
      <c r="K157" s="265" t="s">
        <v>643</v>
      </c>
      <c r="L157" s="772"/>
      <c r="M157" s="265"/>
      <c r="N157" s="265"/>
      <c r="O157" s="415" t="s">
        <v>644</v>
      </c>
      <c r="P157" s="438">
        <v>0.5</v>
      </c>
      <c r="Q157" s="438"/>
      <c r="R157" s="265" t="s">
        <v>115</v>
      </c>
    </row>
    <row r="158" spans="1:18" s="1" customFormat="1" x14ac:dyDescent="0.25">
      <c r="A158" s="437" t="s">
        <v>727</v>
      </c>
      <c r="B158" s="265" t="s">
        <v>651</v>
      </c>
      <c r="C158" s="265"/>
      <c r="D158" s="265"/>
      <c r="E158" s="265"/>
      <c r="F158" s="265"/>
      <c r="G158" s="265"/>
      <c r="H158" s="265"/>
      <c r="I158" s="265"/>
      <c r="J158" s="265" t="s">
        <v>642</v>
      </c>
      <c r="K158" s="265" t="s">
        <v>643</v>
      </c>
      <c r="L158" s="772"/>
      <c r="M158" s="265"/>
      <c r="N158" s="265"/>
      <c r="O158" s="415" t="s">
        <v>644</v>
      </c>
      <c r="P158" s="438">
        <v>1</v>
      </c>
      <c r="Q158" s="438"/>
      <c r="R158" s="265" t="s">
        <v>115</v>
      </c>
    </row>
    <row r="159" spans="1:18" s="1" customFormat="1" x14ac:dyDescent="0.25">
      <c r="A159" s="437" t="s">
        <v>727</v>
      </c>
      <c r="B159" s="265" t="s">
        <v>729</v>
      </c>
      <c r="C159" s="265"/>
      <c r="D159" s="265"/>
      <c r="E159" s="265"/>
      <c r="F159" s="265"/>
      <c r="G159" s="265"/>
      <c r="H159" s="265"/>
      <c r="I159" s="265"/>
      <c r="J159" s="265" t="s">
        <v>642</v>
      </c>
      <c r="K159" s="555" t="s">
        <v>643</v>
      </c>
      <c r="L159" s="773"/>
      <c r="M159" s="265"/>
      <c r="N159" s="265"/>
      <c r="O159" s="415" t="s">
        <v>644</v>
      </c>
      <c r="P159" s="438">
        <v>1</v>
      </c>
      <c r="Q159" s="438"/>
      <c r="R159" s="265" t="s">
        <v>115</v>
      </c>
    </row>
    <row r="160" spans="1:18" s="1" customFormat="1" x14ac:dyDescent="0.25">
      <c r="A160" s="440" t="s">
        <v>727</v>
      </c>
      <c r="B160" s="434" t="s">
        <v>721</v>
      </c>
      <c r="C160" s="415">
        <v>3</v>
      </c>
      <c r="D160" s="415" t="s">
        <v>654</v>
      </c>
      <c r="E160" s="434"/>
      <c r="F160" s="434"/>
      <c r="G160" s="434"/>
      <c r="H160" s="434"/>
      <c r="I160" s="434"/>
      <c r="J160" s="265" t="s">
        <v>642</v>
      </c>
      <c r="K160" s="434" t="s">
        <v>643</v>
      </c>
      <c r="L160" s="772"/>
      <c r="M160" s="434"/>
      <c r="N160" s="434"/>
      <c r="O160" s="426" t="s">
        <v>644</v>
      </c>
      <c r="P160" s="438">
        <v>1</v>
      </c>
      <c r="Q160" s="438"/>
      <c r="R160" s="265" t="s">
        <v>115</v>
      </c>
    </row>
    <row r="161" spans="1:18" s="1" customFormat="1" x14ac:dyDescent="0.25">
      <c r="A161" s="437" t="s">
        <v>730</v>
      </c>
      <c r="B161" s="265" t="s">
        <v>717</v>
      </c>
      <c r="C161" s="265">
        <v>3</v>
      </c>
      <c r="D161" s="265"/>
      <c r="E161" s="265"/>
      <c r="F161" s="265" t="s">
        <v>501</v>
      </c>
      <c r="G161" s="265"/>
      <c r="H161" s="265"/>
      <c r="I161" s="265"/>
      <c r="J161" s="265"/>
      <c r="K161" s="265" t="s">
        <v>646</v>
      </c>
      <c r="L161" s="420">
        <v>80922</v>
      </c>
      <c r="M161" s="265" t="s">
        <v>239</v>
      </c>
      <c r="N161" s="265"/>
      <c r="O161" s="415" t="s">
        <v>644</v>
      </c>
      <c r="P161" s="438">
        <v>1</v>
      </c>
      <c r="Q161" s="438"/>
      <c r="R161" s="265" t="s">
        <v>115</v>
      </c>
    </row>
    <row r="162" spans="1:18" s="1" customFormat="1" x14ac:dyDescent="0.25">
      <c r="A162" s="437" t="s">
        <v>730</v>
      </c>
      <c r="B162" s="265" t="s">
        <v>651</v>
      </c>
      <c r="C162" s="265">
        <v>5</v>
      </c>
      <c r="D162" s="265"/>
      <c r="E162" s="265"/>
      <c r="F162" s="265" t="s">
        <v>501</v>
      </c>
      <c r="G162" s="265"/>
      <c r="H162" s="265"/>
      <c r="I162" s="265"/>
      <c r="J162" s="265"/>
      <c r="K162" s="265" t="s">
        <v>646</v>
      </c>
      <c r="L162" s="420">
        <v>80922</v>
      </c>
      <c r="M162" s="265" t="s">
        <v>239</v>
      </c>
      <c r="N162" s="265"/>
      <c r="O162" s="415" t="s">
        <v>644</v>
      </c>
      <c r="P162" s="438">
        <v>1</v>
      </c>
      <c r="Q162" s="438"/>
      <c r="R162" s="265" t="s">
        <v>115</v>
      </c>
    </row>
    <row r="163" spans="1:18" s="1" customFormat="1" x14ac:dyDescent="0.25">
      <c r="A163" s="437" t="s">
        <v>730</v>
      </c>
      <c r="B163" s="265" t="s">
        <v>651</v>
      </c>
      <c r="C163" s="265">
        <v>5</v>
      </c>
      <c r="D163" s="265"/>
      <c r="E163" s="265"/>
      <c r="F163" s="265" t="s">
        <v>501</v>
      </c>
      <c r="G163" s="265"/>
      <c r="H163" s="265"/>
      <c r="I163" s="265"/>
      <c r="J163" s="265"/>
      <c r="K163" s="265" t="s">
        <v>646</v>
      </c>
      <c r="L163" s="420">
        <v>80922</v>
      </c>
      <c r="M163" s="265" t="s">
        <v>239</v>
      </c>
      <c r="N163" s="265"/>
      <c r="O163" s="415" t="s">
        <v>644</v>
      </c>
      <c r="P163" s="438">
        <v>1</v>
      </c>
      <c r="Q163" s="438"/>
      <c r="R163" s="265" t="s">
        <v>115</v>
      </c>
    </row>
    <row r="164" spans="1:18" s="1" customFormat="1" ht="60" x14ac:dyDescent="0.25">
      <c r="A164" s="437" t="s">
        <v>730</v>
      </c>
      <c r="B164" s="437" t="s">
        <v>731</v>
      </c>
      <c r="C164" s="265"/>
      <c r="D164" s="265"/>
      <c r="E164" s="265"/>
      <c r="F164" s="265"/>
      <c r="G164" s="265"/>
      <c r="H164" s="265"/>
      <c r="I164" s="265"/>
      <c r="J164" s="265"/>
      <c r="K164" s="265" t="s">
        <v>643</v>
      </c>
      <c r="L164" s="420">
        <v>55460</v>
      </c>
      <c r="M164" s="265"/>
      <c r="N164" s="265"/>
      <c r="O164" s="415" t="s">
        <v>644</v>
      </c>
      <c r="P164" s="438">
        <v>1</v>
      </c>
      <c r="Q164" s="438"/>
      <c r="R164" s="265" t="s">
        <v>115</v>
      </c>
    </row>
    <row r="165" spans="1:18" s="1" customFormat="1" x14ac:dyDescent="0.25">
      <c r="A165" s="602" t="s">
        <v>732</v>
      </c>
      <c r="B165" s="602" t="s">
        <v>588</v>
      </c>
      <c r="C165" s="603">
        <v>3</v>
      </c>
      <c r="D165" s="604" t="s">
        <v>733</v>
      </c>
      <c r="E165" s="604"/>
      <c r="F165" s="604" t="s">
        <v>501</v>
      </c>
      <c r="G165" s="604"/>
      <c r="H165" s="604"/>
      <c r="I165" s="604"/>
      <c r="J165" s="604" t="s">
        <v>642</v>
      </c>
      <c r="K165" s="604" t="s">
        <v>643</v>
      </c>
      <c r="L165" s="605">
        <v>59439</v>
      </c>
      <c r="M165" s="604" t="s">
        <v>190</v>
      </c>
      <c r="N165" s="604"/>
      <c r="O165" s="603" t="s">
        <v>644</v>
      </c>
      <c r="P165" s="606">
        <v>1</v>
      </c>
      <c r="Q165" s="606"/>
      <c r="R165" s="604" t="s">
        <v>165</v>
      </c>
    </row>
    <row r="166" spans="1:18" s="1" customFormat="1" x14ac:dyDescent="0.25">
      <c r="A166" s="602" t="s">
        <v>732</v>
      </c>
      <c r="B166" s="602" t="s">
        <v>734</v>
      </c>
      <c r="C166" s="603">
        <v>3</v>
      </c>
      <c r="D166" s="604" t="s">
        <v>735</v>
      </c>
      <c r="E166" s="604"/>
      <c r="F166" s="604" t="s">
        <v>501</v>
      </c>
      <c r="G166" s="604"/>
      <c r="H166" s="604"/>
      <c r="I166" s="604"/>
      <c r="J166" s="604" t="s">
        <v>642</v>
      </c>
      <c r="K166" s="604" t="s">
        <v>736</v>
      </c>
      <c r="L166" s="605">
        <v>78626</v>
      </c>
      <c r="M166" s="604" t="s">
        <v>190</v>
      </c>
      <c r="N166" s="604"/>
      <c r="O166" s="603" t="s">
        <v>644</v>
      </c>
      <c r="P166" s="606">
        <v>1</v>
      </c>
      <c r="Q166" s="606"/>
      <c r="R166" s="604" t="s">
        <v>115</v>
      </c>
    </row>
    <row r="167" spans="1:18" s="1" customFormat="1" x14ac:dyDescent="0.25">
      <c r="A167" s="602" t="s">
        <v>732</v>
      </c>
      <c r="B167" s="607" t="s">
        <v>737</v>
      </c>
      <c r="C167" s="603">
        <v>2</v>
      </c>
      <c r="D167" s="604" t="s">
        <v>662</v>
      </c>
      <c r="E167" s="604"/>
      <c r="F167" s="604"/>
      <c r="G167" s="604" t="s">
        <v>501</v>
      </c>
      <c r="H167" s="604"/>
      <c r="I167" s="604"/>
      <c r="J167" s="604" t="s">
        <v>642</v>
      </c>
      <c r="K167" s="604" t="s">
        <v>736</v>
      </c>
      <c r="L167" s="605">
        <v>95553</v>
      </c>
      <c r="M167" s="604" t="s">
        <v>190</v>
      </c>
      <c r="N167" s="604"/>
      <c r="O167" s="603" t="s">
        <v>644</v>
      </c>
      <c r="P167" s="606">
        <v>1</v>
      </c>
      <c r="Q167" s="606"/>
      <c r="R167" s="604" t="s">
        <v>115</v>
      </c>
    </row>
    <row r="168" spans="1:18" s="1" customFormat="1" x14ac:dyDescent="0.25">
      <c r="A168" s="602" t="s">
        <v>732</v>
      </c>
      <c r="B168" s="608" t="s">
        <v>738</v>
      </c>
      <c r="C168" s="603">
        <v>3</v>
      </c>
      <c r="D168" s="603" t="s">
        <v>654</v>
      </c>
      <c r="E168" s="604"/>
      <c r="F168" s="604"/>
      <c r="G168" s="604"/>
      <c r="H168" s="604" t="s">
        <v>501</v>
      </c>
      <c r="I168" s="604"/>
      <c r="J168" s="604" t="s">
        <v>642</v>
      </c>
      <c r="K168" s="604" t="s">
        <v>736</v>
      </c>
      <c r="L168" s="609">
        <v>68639</v>
      </c>
      <c r="M168" s="604" t="s">
        <v>190</v>
      </c>
      <c r="N168" s="604"/>
      <c r="O168" s="603" t="s">
        <v>644</v>
      </c>
      <c r="P168" s="606">
        <v>1</v>
      </c>
      <c r="Q168" s="604"/>
      <c r="R168" s="604" t="s">
        <v>115</v>
      </c>
    </row>
    <row r="169" spans="1:18" x14ac:dyDescent="0.25">
      <c r="A169" s="610" t="s">
        <v>732</v>
      </c>
      <c r="B169" s="603" t="s">
        <v>645</v>
      </c>
      <c r="C169" s="603">
        <v>3</v>
      </c>
      <c r="D169" s="603" t="s">
        <v>650</v>
      </c>
      <c r="E169" s="603"/>
      <c r="F169" s="603"/>
      <c r="G169" s="603" t="s">
        <v>501</v>
      </c>
      <c r="H169" s="603"/>
      <c r="I169" s="603"/>
      <c r="J169" s="604" t="s">
        <v>642</v>
      </c>
      <c r="K169" s="604" t="s">
        <v>736</v>
      </c>
      <c r="L169" s="611">
        <v>93990</v>
      </c>
      <c r="M169" s="603" t="s">
        <v>190</v>
      </c>
      <c r="N169" s="603"/>
      <c r="O169" s="603" t="s">
        <v>644</v>
      </c>
      <c r="P169" s="606">
        <v>1</v>
      </c>
      <c r="Q169" s="603"/>
      <c r="R169" s="604" t="s">
        <v>115</v>
      </c>
    </row>
    <row r="170" spans="1:18" x14ac:dyDescent="0.25">
      <c r="A170" s="601"/>
    </row>
    <row r="171" spans="1:18" customFormat="1" x14ac:dyDescent="0.25">
      <c r="B171" s="441" t="s">
        <v>739</v>
      </c>
      <c r="C171">
        <v>1</v>
      </c>
      <c r="D171" t="s">
        <v>582</v>
      </c>
      <c r="J171" t="s">
        <v>642</v>
      </c>
      <c r="K171" t="s">
        <v>643</v>
      </c>
      <c r="O171" t="s">
        <v>740</v>
      </c>
    </row>
    <row r="172" spans="1:18" customFormat="1" x14ac:dyDescent="0.25">
      <c r="B172" s="441" t="s">
        <v>655</v>
      </c>
      <c r="C172">
        <v>2</v>
      </c>
      <c r="D172" t="s">
        <v>583</v>
      </c>
      <c r="J172" t="s">
        <v>239</v>
      </c>
      <c r="K172" t="s">
        <v>648</v>
      </c>
      <c r="O172" t="s">
        <v>685</v>
      </c>
    </row>
    <row r="173" spans="1:18" customFormat="1" x14ac:dyDescent="0.25">
      <c r="B173" s="441" t="s">
        <v>568</v>
      </c>
      <c r="C173">
        <v>3</v>
      </c>
      <c r="D173" t="s">
        <v>585</v>
      </c>
      <c r="K173" t="s">
        <v>646</v>
      </c>
      <c r="O173" t="s">
        <v>644</v>
      </c>
    </row>
    <row r="174" spans="1:18" customFormat="1" x14ac:dyDescent="0.25">
      <c r="B174" s="441" t="s">
        <v>741</v>
      </c>
      <c r="C174">
        <v>4</v>
      </c>
      <c r="D174" t="s">
        <v>587</v>
      </c>
      <c r="K174" t="s">
        <v>742</v>
      </c>
      <c r="O174" t="s">
        <v>676</v>
      </c>
    </row>
    <row r="175" spans="1:18" customFormat="1" x14ac:dyDescent="0.25">
      <c r="B175" s="441" t="s">
        <v>743</v>
      </c>
      <c r="D175" t="s">
        <v>589</v>
      </c>
      <c r="K175" t="s">
        <v>657</v>
      </c>
      <c r="O175" t="s">
        <v>659</v>
      </c>
    </row>
    <row r="176" spans="1:18" customFormat="1" x14ac:dyDescent="0.25">
      <c r="B176" s="441" t="s">
        <v>653</v>
      </c>
      <c r="D176" t="s">
        <v>591</v>
      </c>
    </row>
    <row r="177" spans="2:4" x14ac:dyDescent="0.25">
      <c r="B177" s="600" t="s">
        <v>645</v>
      </c>
      <c r="D177" s="3" t="s">
        <v>593</v>
      </c>
    </row>
    <row r="178" spans="2:4" customFormat="1" x14ac:dyDescent="0.25">
      <c r="B178" s="441" t="s">
        <v>671</v>
      </c>
      <c r="D178" t="s">
        <v>594</v>
      </c>
    </row>
    <row r="179" spans="2:4" customFormat="1" x14ac:dyDescent="0.25">
      <c r="B179" s="441" t="s">
        <v>651</v>
      </c>
      <c r="D179" t="s">
        <v>596</v>
      </c>
    </row>
    <row r="180" spans="2:4" customFormat="1" x14ac:dyDescent="0.25">
      <c r="B180" s="441" t="s">
        <v>744</v>
      </c>
      <c r="D180" t="s">
        <v>598</v>
      </c>
    </row>
    <row r="181" spans="2:4" customFormat="1" x14ac:dyDescent="0.25">
      <c r="B181" s="441" t="s">
        <v>665</v>
      </c>
      <c r="D181" t="s">
        <v>599</v>
      </c>
    </row>
    <row r="182" spans="2:4" customFormat="1" x14ac:dyDescent="0.25">
      <c r="B182" s="19" t="s">
        <v>668</v>
      </c>
      <c r="D182" t="s">
        <v>600</v>
      </c>
    </row>
    <row r="183" spans="2:4" customFormat="1" x14ac:dyDescent="0.25">
      <c r="B183" s="19" t="s">
        <v>682</v>
      </c>
      <c r="D183" t="s">
        <v>601</v>
      </c>
    </row>
    <row r="184" spans="2:4" customFormat="1" x14ac:dyDescent="0.25">
      <c r="B184" t="s">
        <v>745</v>
      </c>
      <c r="D184" t="s">
        <v>672</v>
      </c>
    </row>
    <row r="185" spans="2:4" customFormat="1" x14ac:dyDescent="0.25">
      <c r="B185" t="s">
        <v>673</v>
      </c>
      <c r="D185" t="s">
        <v>603</v>
      </c>
    </row>
    <row r="186" spans="2:4" customFormat="1" x14ac:dyDescent="0.25">
      <c r="B186" t="s">
        <v>588</v>
      </c>
      <c r="D186" t="s">
        <v>604</v>
      </c>
    </row>
    <row r="187" spans="2:4" customFormat="1" x14ac:dyDescent="0.25">
      <c r="D187" t="s">
        <v>605</v>
      </c>
    </row>
    <row r="188" spans="2:4" customFormat="1" x14ac:dyDescent="0.25">
      <c r="D188" t="s">
        <v>606</v>
      </c>
    </row>
    <row r="189" spans="2:4" customFormat="1" x14ac:dyDescent="0.25">
      <c r="D189" t="s">
        <v>607</v>
      </c>
    </row>
    <row r="190" spans="2:4" customFormat="1" x14ac:dyDescent="0.25">
      <c r="D190" t="s">
        <v>608</v>
      </c>
    </row>
    <row r="191" spans="2:4" customFormat="1" x14ac:dyDescent="0.25">
      <c r="D191" t="s">
        <v>609</v>
      </c>
    </row>
    <row r="192" spans="2:4" customFormat="1" x14ac:dyDescent="0.25">
      <c r="D192" t="s">
        <v>610</v>
      </c>
    </row>
    <row r="193" spans="4:4" customFormat="1" x14ac:dyDescent="0.25">
      <c r="D193" t="s">
        <v>611</v>
      </c>
    </row>
    <row r="194" spans="4:4" customFormat="1" x14ac:dyDescent="0.25">
      <c r="D194" t="s">
        <v>612</v>
      </c>
    </row>
    <row r="195" spans="4:4" customFormat="1" x14ac:dyDescent="0.25">
      <c r="D195" t="s">
        <v>674</v>
      </c>
    </row>
    <row r="196" spans="4:4" customFormat="1" x14ac:dyDescent="0.25">
      <c r="D196" t="s">
        <v>675</v>
      </c>
    </row>
    <row r="197" spans="4:4" customFormat="1" x14ac:dyDescent="0.25">
      <c r="D197" t="s">
        <v>669</v>
      </c>
    </row>
    <row r="198" spans="4:4" customFormat="1" x14ac:dyDescent="0.25">
      <c r="D198" t="s">
        <v>641</v>
      </c>
    </row>
    <row r="199" spans="4:4" customFormat="1" x14ac:dyDescent="0.25">
      <c r="D199" t="s">
        <v>650</v>
      </c>
    </row>
    <row r="200" spans="4:4" customFormat="1" x14ac:dyDescent="0.25">
      <c r="D200" t="s">
        <v>662</v>
      </c>
    </row>
    <row r="201" spans="4:4" customFormat="1" x14ac:dyDescent="0.25">
      <c r="D201" t="s">
        <v>652</v>
      </c>
    </row>
    <row r="202" spans="4:4" customFormat="1" x14ac:dyDescent="0.25">
      <c r="D202" t="s">
        <v>666</v>
      </c>
    </row>
    <row r="203" spans="4:4" customFormat="1" x14ac:dyDescent="0.25">
      <c r="D203" t="s">
        <v>654</v>
      </c>
    </row>
    <row r="204" spans="4:4" customFormat="1" x14ac:dyDescent="0.25">
      <c r="D204" t="s">
        <v>656</v>
      </c>
    </row>
  </sheetData>
  <autoFilter ref="B1:B204" xr:uid="{FA416576-A41B-4D61-A34F-3FA8B519285E}"/>
  <mergeCells count="18">
    <mergeCell ref="E1:I1"/>
    <mergeCell ref="A2:A3"/>
    <mergeCell ref="B2:B3"/>
    <mergeCell ref="C2:C3"/>
    <mergeCell ref="D2:D3"/>
    <mergeCell ref="E2:I2"/>
    <mergeCell ref="J2:J3"/>
    <mergeCell ref="K2:K3"/>
    <mergeCell ref="L2:L3"/>
    <mergeCell ref="M2:M3"/>
    <mergeCell ref="N2:N3"/>
    <mergeCell ref="P2:P3"/>
    <mergeCell ref="R2:R3"/>
    <mergeCell ref="L4:L9"/>
    <mergeCell ref="L144:L150"/>
    <mergeCell ref="L156:L160"/>
    <mergeCell ref="O2:O3"/>
    <mergeCell ref="Q2:Q3"/>
  </mergeCells>
  <phoneticPr fontId="7" type="noConversion"/>
  <dataValidations count="4">
    <dataValidation type="list" allowBlank="1" showInputMessage="1" showErrorMessage="1" sqref="J4:J132" xr:uid="{AA175672-7EF3-499B-B9AD-8DB059200DA3}">
      <formula1>$J$171:$J$172</formula1>
    </dataValidation>
    <dataValidation type="list" allowBlank="1" showInputMessage="1" showErrorMessage="1" sqref="D4:D57 D168 D160 D139 D147:D150 D120:D132 D105:D117 D59:D73 D91:D103 D75:D89" xr:uid="{5E3A7CCC-7DA5-431B-B499-57069B4E157D}">
      <formula1>$D$171:$D$204</formula1>
    </dataValidation>
    <dataValidation type="list" allowBlank="1" showInputMessage="1" showErrorMessage="1" sqref="B120:B132 B4:B57 B105:B117 B59:B73 B91:B103 B75:B89" xr:uid="{EA089BE7-0504-4FFF-BD1F-992668837D22}">
      <formula1>$B$171:$B$186</formula1>
    </dataValidation>
    <dataValidation type="list" allowBlank="1" showInputMessage="1" showErrorMessage="1" sqref="C4:C132 C168 C160 C149 C139" xr:uid="{0AD327C7-8401-450E-9EFD-C9CF0E2FC06E}">
      <formula1>$C$171:$C$174</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483750-598d-46a0-877d-052f8f804d23" xsi:nil="true"/>
    <lcf76f155ced4ddcb4097134ff3c332f xmlns="b7919694-6f7e-4008-b8d9-56ebe66c43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F7EF1C1C062143BFFF71E2625A0116" ma:contentTypeVersion="21" ma:contentTypeDescription="Create a new document." ma:contentTypeScope="" ma:versionID="cb69173be71fc901a0d4e8ccf0c294ae">
  <xsd:schema xmlns:xsd="http://www.w3.org/2001/XMLSchema" xmlns:xs="http://www.w3.org/2001/XMLSchema" xmlns:p="http://schemas.microsoft.com/office/2006/metadata/properties" xmlns:ns2="b7919694-6f7e-4008-b8d9-56ebe66c43d7" xmlns:ns3="9b483750-598d-46a0-877d-052f8f804d23" targetNamespace="http://schemas.microsoft.com/office/2006/metadata/properties" ma:root="true" ma:fieldsID="d6d7468bce4609cb6f807901637e168a" ns2:_="" ns3:_="">
    <xsd:import namespace="b7919694-6f7e-4008-b8d9-56ebe66c43d7"/>
    <xsd:import namespace="9b483750-598d-46a0-877d-052f8f804d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919694-6f7e-4008-b8d9-56ebe66c43d7"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ObjectDetectorVersions" ma:index="6" nillable="true" ma:displayName="MediaServiceObjectDetectorVersions" ma:hidden="true" ma:indexed="true" ma:internalName="MediaServiceObjectDetectorVersions" ma:readOnly="true">
      <xsd:simpleType>
        <xsd:restriction base="dms:Text"/>
      </xsd:simpleType>
    </xsd:element>
    <xsd:element name="MediaServiceSearchProperties" ma:index="7" nillable="true" ma:displayName="MediaServiceSearchProperties" ma:hidden="true" ma:internalName="MediaServiceSearchProperties" ma:readOnly="true">
      <xsd:simpleType>
        <xsd:restriction base="dms:Note"/>
      </xsd:simpleType>
    </xsd:element>
    <xsd:element name="lcf76f155ced4ddcb4097134ff3c332f" ma:index="9"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483750-598d-46a0-877d-052f8f804d2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6b22ef0-6631-4e3d-8660-4ec86ac9ea1c}" ma:internalName="TaxCatchAll" ma:showField="CatchAllData" ma:web="9b483750-598d-46a0-877d-052f8f804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Sisutüüp"/>
        <xsd:element ref="dc:title" minOccurs="0" maxOccurs="1" ma:index="3"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87033A-3F22-4301-BC4B-B1C7D3123093}">
  <ds:schemaRefs>
    <ds:schemaRef ds:uri="http://schemas.microsoft.com/office/infopath/2007/PartnerControls"/>
    <ds:schemaRef ds:uri="http://purl.org/dc/elements/1.1/"/>
    <ds:schemaRef ds:uri="http://schemas.microsoft.com/office/2006/documentManagement/types"/>
    <ds:schemaRef ds:uri="9b483750-598d-46a0-877d-052f8f804d23"/>
    <ds:schemaRef ds:uri="http://purl.org/dc/terms/"/>
    <ds:schemaRef ds:uri="http://schemas.microsoft.com/office/2006/metadata/properties"/>
    <ds:schemaRef ds:uri="http://www.w3.org/XML/1998/namespace"/>
    <ds:schemaRef ds:uri="http://schemas.openxmlformats.org/package/2006/metadata/core-properties"/>
    <ds:schemaRef ds:uri="b7919694-6f7e-4008-b8d9-56ebe66c43d7"/>
    <ds:schemaRef ds:uri="http://purl.org/dc/dcmitype/"/>
  </ds:schemaRefs>
</ds:datastoreItem>
</file>

<file path=customXml/itemProps2.xml><?xml version="1.0" encoding="utf-8"?>
<ds:datastoreItem xmlns:ds="http://schemas.openxmlformats.org/officeDocument/2006/customXml" ds:itemID="{080C5DFC-FBEF-4F5A-9C35-4A856AC7B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919694-6f7e-4008-b8d9-56ebe66c43d7"/>
    <ds:schemaRef ds:uri="9b483750-598d-46a0-877d-052f8f804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5DC840-CA6B-439F-916F-55162E8719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6</vt:i4>
      </vt:variant>
      <vt:variant>
        <vt:lpstr>Nimega vahemikud</vt:lpstr>
      </vt:variant>
      <vt:variant>
        <vt:i4>1</vt:i4>
      </vt:variant>
    </vt:vector>
  </HeadingPairs>
  <TitlesOfParts>
    <vt:vector size="7" baseType="lpstr">
      <vt:lpstr>kuni 2025 detsember tegevuskava</vt:lpstr>
      <vt:lpstr>Seirearuanne</vt:lpstr>
      <vt:lpstr>KK_lisa</vt:lpstr>
      <vt:lpstr>Tegevuskava</vt:lpstr>
      <vt:lpstr>Ettekande arvutused</vt:lpstr>
      <vt:lpstr>Personal</vt:lpstr>
      <vt:lpstr>Tegevuskava!Prindiala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Liilia Kristal</dc:creator>
  <cp:keywords/>
  <dc:description/>
  <cp:lastModifiedBy>Margo Keerme - MKM</cp:lastModifiedBy>
  <cp:revision/>
  <cp:lastPrinted>2024-10-11T13:51:08Z</cp:lastPrinted>
  <dcterms:created xsi:type="dcterms:W3CDTF">2020-07-01T09:13:12Z</dcterms:created>
  <dcterms:modified xsi:type="dcterms:W3CDTF">2024-10-11T13:51:10Z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0x010100CFF7EF1C1C062143BFFF71E2625A0116</vt:lpwstr>
  </property>
  <property fmtid="{D5CDD505-2E9C-101B-9397-08002B2CF9AE}" pid="3" name="_dlc_DocIdItemGuid">
    <vt:lpwstr>3d82843b-2587-4efb-bd50-5d6f5c6dcffa</vt:lpwstr>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2024-06-19T11:36:14Z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8fe098d2-428d-4bd4-9803-7195fe96f0e2</vt:lpwstr>
  </property>
  <property fmtid="{D5CDD505-2E9C-101B-9397-08002B2CF9AE}" pid="10" name="MSIP_Label_defa4170-0d19-0005-0004-bc88714345d2_ActionId">
    <vt:lpwstr>f29cb110-e871-4df4-95f6-dd36d5390420</vt:lpwstr>
  </property>
  <property fmtid="{D5CDD505-2E9C-101B-9397-08002B2CF9AE}" pid="11" name="MSIP_Label_defa4170-0d19-0005-0004-bc88714345d2_ContentBits">
    <vt:lpwstr>0</vt:lpwstr>
  </property>
</Properties>
</file>