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5 FA ja Aruandlus\5-14 Inventeerimine\VPK\2024\RETA\"/>
    </mc:Choice>
  </mc:AlternateContent>
  <xr:revisionPtr revIDLastSave="0" documentId="13_ncr:1_{3ADDBAAA-7072-470E-A8F6-9640D73C9436}" xr6:coauthVersionLast="47" xr6:coauthVersionMax="47" xr10:uidLastSave="{00000000-0000-0000-0000-000000000000}"/>
  <bookViews>
    <workbookView xWindow="28680" yWindow="-120" windowWidth="29040" windowHeight="15840" xr2:uid="{4D1749CD-7348-40E3-9063-2FA36ECE44CB}"/>
  </bookViews>
  <sheets>
    <sheet name="aruanne" sheetId="1" r:id="rId1"/>
    <sheet name="vordlus" sheetId="2" r:id="rId2"/>
    <sheet name="lisa1" sheetId="4" r:id="rId3"/>
  </sheets>
  <definedNames>
    <definedName name="_xlnm._FilterDatabase" localSheetId="1" hidden="1">vordlus!$A$4:$J$13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G3" i="2" l="1"/>
  <c r="E9" i="1"/>
  <c r="E12" i="1"/>
  <c r="C9" i="2"/>
  <c r="C3" i="2" l="1"/>
  <c r="D11" i="1" l="1"/>
  <c r="D9" i="1"/>
  <c r="D13" i="1" l="1"/>
  <c r="D12" i="1"/>
  <c r="D10" i="1"/>
  <c r="G10" i="1" s="1"/>
  <c r="D14" i="1" l="1"/>
  <c r="F18" i="1" l="1"/>
  <c r="F15" i="1" s="1"/>
  <c r="F12" i="1"/>
  <c r="F9" i="1"/>
  <c r="F8" i="1"/>
  <c r="H7" i="2" l="1"/>
  <c r="E15" i="1" l="1"/>
  <c r="D7" i="2"/>
  <c r="E8" i="2" l="1"/>
  <c r="I8" i="2"/>
  <c r="D13" i="2"/>
  <c r="H13" i="2"/>
  <c r="H12" i="2" s="1"/>
  <c r="D10" i="2"/>
  <c r="H10" i="2"/>
  <c r="H9" i="2" s="1"/>
  <c r="E7" i="2"/>
  <c r="D6" i="2"/>
  <c r="E6" i="2" s="1"/>
  <c r="D5" i="2"/>
  <c r="I7" i="2"/>
  <c r="H6" i="2"/>
  <c r="I6" i="2" s="1"/>
  <c r="H5" i="2"/>
  <c r="G14" i="1"/>
  <c r="G11" i="1"/>
  <c r="D8" i="1"/>
  <c r="D7" i="1"/>
  <c r="D6" i="1"/>
  <c r="F5" i="1"/>
  <c r="E5" i="1"/>
  <c r="C5" i="1"/>
  <c r="D5" i="1" s="1"/>
  <c r="D9" i="2" l="1"/>
  <c r="E9" i="2" s="1"/>
  <c r="D12" i="2"/>
  <c r="E12" i="2" s="1"/>
  <c r="G6" i="1"/>
  <c r="G7" i="1"/>
  <c r="G8" i="1"/>
  <c r="C34" i="4"/>
  <c r="E10" i="2"/>
  <c r="I10" i="2"/>
  <c r="I12" i="2"/>
  <c r="G5" i="1" l="1"/>
  <c r="I9" i="2" l="1"/>
  <c r="B7" i="4" l="1"/>
  <c r="B33" i="4" s="1"/>
  <c r="C33" i="4" l="1"/>
  <c r="I13" i="2" l="1"/>
  <c r="H11" i="2"/>
  <c r="I11" i="2" s="1"/>
  <c r="E13" i="2"/>
  <c r="D11" i="2"/>
  <c r="E11" i="2" s="1"/>
  <c r="G9" i="1"/>
  <c r="H3" i="2" l="1"/>
  <c r="B34" i="4"/>
  <c r="B35" i="4" s="1"/>
  <c r="C35" i="4"/>
  <c r="G13" i="1"/>
  <c r="G12" i="1"/>
  <c r="I5" i="2"/>
  <c r="E5" i="2"/>
  <c r="D3" i="2" l="1"/>
  <c r="E3" i="2" l="1"/>
  <c r="I3" i="2"/>
</calcChain>
</file>

<file path=xl/sharedStrings.xml><?xml version="1.0" encoding="utf-8"?>
<sst xmlns="http://schemas.openxmlformats.org/spreadsheetml/2006/main" count="86" uniqueCount="70">
  <si>
    <t>eurodes</t>
  </si>
  <si>
    <t>Algne eelarve</t>
  </si>
  <si>
    <t>Lõplik eelarve</t>
  </si>
  <si>
    <t>Täitmine miinus lõplik eelarve</t>
  </si>
  <si>
    <t>Saadud toetused</t>
  </si>
  <si>
    <t>Riigilõivud</t>
  </si>
  <si>
    <t>sh piirmääraga vahendid</t>
  </si>
  <si>
    <t>KULUD</t>
  </si>
  <si>
    <t xml:space="preserve">INVESTEERINGUD </t>
  </si>
  <si>
    <t>KORRIGEERIMISED</t>
  </si>
  <si>
    <t>TULUD</t>
  </si>
  <si>
    <t>Intressikulu eraldistelt</t>
  </si>
  <si>
    <t>Saadud riigisisesed toetused</t>
  </si>
  <si>
    <t xml:space="preserve">Lisa </t>
  </si>
  <si>
    <t>Eelarve täitmise ja raamatupidamisaruannete võrdlus</t>
  </si>
  <si>
    <t>Kirje</t>
  </si>
  <si>
    <t>Selgitus</t>
  </si>
  <si>
    <t>Finantstulud</t>
  </si>
  <si>
    <t>Finantskulud</t>
  </si>
  <si>
    <t>President</t>
  </si>
  <si>
    <t>Valitsemisala</t>
  </si>
  <si>
    <t>Lõpliku eelarve kujunemine</t>
  </si>
  <si>
    <t>Tulud</t>
  </si>
  <si>
    <t>Esialgne eelarve</t>
  </si>
  <si>
    <t>Üle toodud eelmisest aastast</t>
  </si>
  <si>
    <t>Sihtotstarbeliste vahendite reservist</t>
  </si>
  <si>
    <t>Eelarves kavandatud toetused</t>
  </si>
  <si>
    <t>Tegelikult saadud toetused ja avatud sildfinantseerimine</t>
  </si>
  <si>
    <t>Eelarves kavandatud saastekvootide müügist</t>
  </si>
  <si>
    <t>Tegelikult saadud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</si>
  <si>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</si>
  <si>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</si>
  <si>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</si>
  <si>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>Eelarves kavandatud muud tuludest sõltuvad kulud</t>
  </si>
  <si>
    <t>Eelarves kavandatud edasiantavad maksud</t>
  </si>
  <si>
    <t>Tegelikud edasiantavad maksud</t>
  </si>
  <si>
    <t xml:space="preserve">Saadud Vabariigi Valitsuse reservfondist </t>
  </si>
  <si>
    <t>Antud Vabariigi valitsuse reservfondi</t>
  </si>
  <si>
    <t>Saadud omandireformi reservfondist</t>
  </si>
  <si>
    <t>Kokku lõplik eelarve</t>
  </si>
  <si>
    <t>Käibemaksukulu tegevuskuludelt</t>
  </si>
  <si>
    <t>Eelarves kavandatud välistoetuste kaasrahastamine</t>
  </si>
  <si>
    <t>Tegelik välistoetuste kaasrahastamine</t>
  </si>
  <si>
    <t>Tulud majandustegevusest</t>
  </si>
  <si>
    <t>sh käibemaks</t>
  </si>
  <si>
    <t>Käibemaksukulu investeeringutelt</t>
  </si>
  <si>
    <t>Tegevuskulud, v.a käibemaksukulu</t>
  </si>
  <si>
    <t>Investeeringud, v.a käibemaksukulu</t>
  </si>
  <si>
    <t>VABARIIGI PRESIDENDI KANTSELEI</t>
  </si>
  <si>
    <t>Kulud, investeeringud</t>
  </si>
  <si>
    <t>Kapitaliseeritud töötasud (kulu vähendamine)</t>
  </si>
  <si>
    <t>Kapitaliseeritud töötasud (investeeringu suurendamine)</t>
  </si>
  <si>
    <t>Täitmine 2023</t>
  </si>
  <si>
    <t>Muudatused Vabariigi Valitsuse korralduste alusel</t>
  </si>
  <si>
    <t>Tegelikud muud tuludest sõltuvad kulud</t>
  </si>
  <si>
    <t>Taastuvenergia statistiliste ühikute eelarve ümberjaotamine</t>
  </si>
  <si>
    <t>Omandireformi reservfondi vahendite ümberjaotamine</t>
  </si>
  <si>
    <t xml:space="preserve">Vabariigi Valitsuse reservfondi vahendite ümberjaotamine </t>
  </si>
  <si>
    <t>Avaliku sektori eripensionid ja töösuhte lõppemise hüvitised</t>
  </si>
  <si>
    <t>Raamatupidamisandmed 2023</t>
  </si>
  <si>
    <t>RE aruanne 2023</t>
  </si>
  <si>
    <t>Vahe 2023</t>
  </si>
  <si>
    <t>2024. aasta riigieelarve täitmise arunne</t>
  </si>
  <si>
    <t>Täitmine 2024</t>
  </si>
  <si>
    <t>Raamatupidamisandmed 2024</t>
  </si>
  <si>
    <t>RE aruanne 2024</t>
  </si>
  <si>
    <t>Vahe 2024</t>
  </si>
  <si>
    <t>Muudatused 19.06.2024 lisaeelarve seaduse alusel</t>
  </si>
  <si>
    <t>Muudatused 29.05.2024 riigieelarve muutmise seaduse alusel</t>
  </si>
  <si>
    <t>Muudatused 05.12.2024 riigieelarve seaduse muutmise seaduse alusel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</si>
</sst>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theme="5" tint="-0.49998474074526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3" fontId="3" fillId="0" borderId="1" xfId="0" applyNumberFormat="1" applyFont="1" applyBorder="1" applyAlignment="1">
      <alignment horizontal="center" wrapText="1"/>
    </xf>
    <xf numFmtId="3" fontId="9" fillId="0" borderId="1" xfId="2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>
      <alignment horizontal="right"/>
    </xf>
    <xf numFmtId="3" fontId="7" fillId="0" borderId="1" xfId="2" applyNumberFormat="1" applyFont="1" applyBorder="1" applyAlignment="1" applyProtection="1">
      <alignment horizontal="right"/>
      <protection locked="0"/>
    </xf>
    <xf numFmtId="3" fontId="7" fillId="0" borderId="1" xfId="1" applyNumberFormat="1" applyFont="1" applyBorder="1" applyAlignment="1" applyProtection="1">
      <alignment horizontal="right"/>
      <protection locked="0"/>
    </xf>
    <xf numFmtId="3" fontId="6" fillId="0" borderId="1" xfId="1" applyNumberFormat="1" applyFont="1" applyBorder="1" applyAlignment="1" applyProtection="1">
      <alignment horizontal="right"/>
      <protection locked="0"/>
    </xf>
    <xf numFmtId="0" fontId="10" fillId="0" borderId="0" xfId="0" applyFont="1"/>
    <xf numFmtId="3" fontId="8" fillId="0" borderId="0" xfId="0" applyNumberFormat="1" applyFont="1"/>
    <xf numFmtId="4" fontId="8" fillId="0" borderId="0" xfId="0" applyNumberFormat="1" applyFont="1"/>
    <xf numFmtId="4" fontId="8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/>
    <xf numFmtId="0" fontId="10" fillId="3" borderId="1" xfId="0" applyFont="1" applyFill="1" applyBorder="1" applyAlignment="1">
      <alignment vertical="top"/>
    </xf>
    <xf numFmtId="4" fontId="10" fillId="3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11" fillId="0" borderId="0" xfId="0" applyFont="1"/>
    <xf numFmtId="0" fontId="10" fillId="4" borderId="1" xfId="0" applyFont="1" applyFill="1" applyBorder="1" applyAlignment="1">
      <alignment vertical="top"/>
    </xf>
    <xf numFmtId="3" fontId="11" fillId="4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3" fontId="11" fillId="0" borderId="1" xfId="0" applyNumberFormat="1" applyFont="1" applyBorder="1" applyAlignment="1">
      <alignment vertical="top"/>
    </xf>
    <xf numFmtId="3" fontId="11" fillId="2" borderId="1" xfId="0" applyNumberFormat="1" applyFont="1" applyFill="1" applyBorder="1" applyAlignment="1">
      <alignment vertical="top"/>
    </xf>
    <xf numFmtId="0" fontId="11" fillId="0" borderId="1" xfId="0" applyFont="1" applyBorder="1"/>
    <xf numFmtId="3" fontId="8" fillId="0" borderId="1" xfId="0" applyNumberFormat="1" applyFont="1" applyBorder="1"/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3" fontId="11" fillId="0" borderId="0" xfId="0" applyNumberFormat="1" applyFont="1"/>
    <xf numFmtId="4" fontId="0" fillId="0" borderId="0" xfId="0" applyNumberFormat="1" applyAlignment="1">
      <alignment horizontal="right"/>
    </xf>
    <xf numFmtId="3" fontId="6" fillId="0" borderId="1" xfId="2" applyNumberFormat="1" applyFont="1" applyBorder="1" applyAlignment="1" applyProtection="1">
      <alignment horizontal="right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43" fontId="0" fillId="0" borderId="0" xfId="6" applyFont="1"/>
    <xf numFmtId="4" fontId="8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" fontId="10" fillId="3" borderId="1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43" fontId="1" fillId="0" borderId="0" xfId="6" applyFont="1"/>
    <xf numFmtId="0" fontId="0" fillId="0" borderId="0" xfId="0" applyFont="1"/>
    <xf numFmtId="4" fontId="10" fillId="3" borderId="1" xfId="0" applyNumberFormat="1" applyFont="1" applyFill="1" applyBorder="1" applyAlignment="1">
      <alignment vertical="top"/>
    </xf>
    <xf numFmtId="0" fontId="3" fillId="0" borderId="0" xfId="0" applyFont="1" applyAlignment="1"/>
    <xf numFmtId="0" fontId="0" fillId="0" borderId="0" xfId="0" applyAlignment="1"/>
    <xf numFmtId="3" fontId="4" fillId="0" borderId="0" xfId="0" applyNumberFormat="1" applyFont="1" applyAlignment="1"/>
    <xf numFmtId="3" fontId="0" fillId="0" borderId="0" xfId="0" applyNumberFormat="1" applyAlignment="1"/>
    <xf numFmtId="3" fontId="5" fillId="0" borderId="0" xfId="0" applyNumberFormat="1" applyFont="1" applyAlignment="1"/>
    <xf numFmtId="0" fontId="0" fillId="0" borderId="1" xfId="0" applyBorder="1" applyAlignment="1"/>
    <xf numFmtId="0" fontId="3" fillId="5" borderId="1" xfId="2" applyFont="1" applyFill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5" fillId="0" borderId="1" xfId="2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11" fillId="3" borderId="1" xfId="0" applyFont="1" applyFill="1" applyBorder="1" applyAlignment="1">
      <alignment vertical="top"/>
    </xf>
    <xf numFmtId="3" fontId="2" fillId="0" borderId="0" xfId="0" applyNumberFormat="1" applyFont="1" applyAlignment="1"/>
  </cellXfs>
  <cellStyles count="8">
    <cellStyle name="Comma 2" xfId="7" xr:uid="{68AF3142-48B6-46A0-9B66-4AC016C8CCBB}"/>
    <cellStyle name="Koma" xfId="6" builtinId="3"/>
    <cellStyle name="Normaallaad" xfId="0" builtinId="0"/>
    <cellStyle name="Normaallaad 2" xfId="5" xr:uid="{625F7053-1720-45B8-BC60-DA405838C2BD}"/>
    <cellStyle name="Normal 10 2" xfId="1" xr:uid="{D70F4CDE-1FE7-448C-B78C-16802263EF7D}"/>
    <cellStyle name="Normal 25 3 6" xfId="4" xr:uid="{C2461F04-5869-445E-B9DC-9D0918BE1F25}"/>
    <cellStyle name="Normal 25 9" xfId="2" xr:uid="{8906365B-27A6-4989-AF6D-1E0C5258DC94}"/>
    <cellStyle name="Normal 25 9 2" xfId="3" xr:uid="{9FD4BB3A-C968-4E24-8E39-E7D1D70EB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9F5C-00A4-4BD3-B743-9BFC60E719C1}">
  <dimension ref="A1:J20"/>
  <sheetViews>
    <sheetView tabSelected="1" zoomScale="90" zoomScaleNormal="90" workbookViewId="0">
      <selection activeCell="B35" sqref="B34:B35"/>
    </sheetView>
  </sheetViews>
  <sheetFormatPr defaultRowHeight="14.4" x14ac:dyDescent="0.3"/>
  <cols>
    <col min="1" max="1" width="7.44140625" style="42" customWidth="1"/>
    <col min="2" max="2" width="53.44140625" style="42" customWidth="1"/>
    <col min="3" max="7" width="22" style="44" customWidth="1"/>
    <col min="8" max="8" width="19.6640625" style="32" customWidth="1"/>
    <col min="9" max="9" width="18.88671875" style="32" bestFit="1" customWidth="1"/>
    <col min="10" max="10" width="18.88671875" style="32" customWidth="1"/>
  </cols>
  <sheetData>
    <row r="1" spans="1:10" ht="15.6" x14ac:dyDescent="0.3">
      <c r="A1" s="41" t="s">
        <v>62</v>
      </c>
      <c r="C1" s="43"/>
      <c r="E1" s="55"/>
      <c r="G1" s="45"/>
    </row>
    <row r="2" spans="1:10" ht="15.6" x14ac:dyDescent="0.3">
      <c r="A2" s="42" t="s">
        <v>0</v>
      </c>
      <c r="C2" s="43"/>
      <c r="G2" s="45"/>
    </row>
    <row r="3" spans="1:10" ht="31.2" x14ac:dyDescent="0.3">
      <c r="A3" s="46"/>
      <c r="B3" s="46"/>
      <c r="C3" s="1" t="s">
        <v>1</v>
      </c>
      <c r="D3" s="1" t="s">
        <v>2</v>
      </c>
      <c r="E3" s="1" t="s">
        <v>63</v>
      </c>
      <c r="F3" s="1" t="s">
        <v>52</v>
      </c>
      <c r="G3" s="1" t="s">
        <v>3</v>
      </c>
    </row>
    <row r="4" spans="1:10" ht="15.6" x14ac:dyDescent="0.3">
      <c r="A4" s="47" t="s">
        <v>48</v>
      </c>
      <c r="B4" s="47"/>
      <c r="C4" s="30"/>
      <c r="D4" s="2"/>
      <c r="E4" s="31"/>
      <c r="F4" s="31"/>
      <c r="G4" s="3"/>
    </row>
    <row r="5" spans="1:10" ht="15.6" x14ac:dyDescent="0.3">
      <c r="A5" s="48" t="s">
        <v>10</v>
      </c>
      <c r="B5" s="48"/>
      <c r="C5" s="30">
        <f>SUM(C6:C8)</f>
        <v>28000</v>
      </c>
      <c r="D5" s="30">
        <f>C5</f>
        <v>28000</v>
      </c>
      <c r="E5" s="30">
        <f t="shared" ref="E5:G5" si="0">SUM(E6:E8)</f>
        <v>44278.22</v>
      </c>
      <c r="F5" s="30">
        <f t="shared" si="0"/>
        <v>149212.41</v>
      </c>
      <c r="G5" s="30">
        <f t="shared" si="0"/>
        <v>16278.220000000001</v>
      </c>
    </row>
    <row r="6" spans="1:10" s="39" customFormat="1" ht="15.6" x14ac:dyDescent="0.3">
      <c r="A6" s="49" t="s">
        <v>5</v>
      </c>
      <c r="B6" s="49"/>
      <c r="C6" s="4">
        <v>0</v>
      </c>
      <c r="D6" s="4">
        <f t="shared" ref="D6:D8" si="1">C6</f>
        <v>0</v>
      </c>
      <c r="E6" s="4">
        <v>702</v>
      </c>
      <c r="F6" s="4">
        <v>483</v>
      </c>
      <c r="G6" s="4">
        <f t="shared" ref="G6:G8" si="2">E6-D6</f>
        <v>702</v>
      </c>
      <c r="H6" s="38"/>
      <c r="I6" s="38"/>
      <c r="J6" s="32"/>
    </row>
    <row r="7" spans="1:10" s="39" customFormat="1" ht="15.6" x14ac:dyDescent="0.3">
      <c r="A7" s="49" t="s">
        <v>43</v>
      </c>
      <c r="B7" s="49"/>
      <c r="C7" s="4">
        <v>28000</v>
      </c>
      <c r="D7" s="4">
        <f t="shared" si="1"/>
        <v>28000</v>
      </c>
      <c r="E7" s="4">
        <v>43576.22</v>
      </c>
      <c r="F7" s="4">
        <v>40172.39</v>
      </c>
      <c r="G7" s="4">
        <f t="shared" si="2"/>
        <v>15576.220000000001</v>
      </c>
      <c r="H7" s="38"/>
      <c r="I7" s="38"/>
      <c r="J7" s="32"/>
    </row>
    <row r="8" spans="1:10" s="39" customFormat="1" ht="15.6" x14ac:dyDescent="0.3">
      <c r="A8" s="49" t="s">
        <v>4</v>
      </c>
      <c r="B8" s="49"/>
      <c r="C8" s="4">
        <v>0</v>
      </c>
      <c r="D8" s="4">
        <f t="shared" si="1"/>
        <v>0</v>
      </c>
      <c r="E8" s="4">
        <v>0</v>
      </c>
      <c r="F8" s="4">
        <f>127512.61-18955.59</f>
        <v>108557.02</v>
      </c>
      <c r="G8" s="4">
        <f t="shared" si="2"/>
        <v>0</v>
      </c>
      <c r="H8" s="38"/>
      <c r="I8" s="38"/>
      <c r="J8" s="32"/>
    </row>
    <row r="9" spans="1:10" ht="15.6" x14ac:dyDescent="0.3">
      <c r="A9" s="48" t="s">
        <v>7</v>
      </c>
      <c r="B9" s="48"/>
      <c r="C9" s="30">
        <v>-5990366</v>
      </c>
      <c r="D9" s="30">
        <f>C9-204153.32+17303+28000-30000-43576.22</f>
        <v>-6222792.54</v>
      </c>
      <c r="E9" s="30">
        <f>-5085113.72-168983.41-350596.22-359887.54</f>
        <v>-5964580.8899999997</v>
      </c>
      <c r="F9" s="30">
        <f>-4941923.98-176328.37-302051.24-1666.61-331447.17</f>
        <v>-5753417.370000001</v>
      </c>
      <c r="G9" s="30">
        <f t="shared" ref="G9:G14" si="3">E9-D9</f>
        <v>258211.65000000037</v>
      </c>
    </row>
    <row r="10" spans="1:10" ht="15.6" x14ac:dyDescent="0.3">
      <c r="A10" s="52"/>
      <c r="B10" s="49" t="s">
        <v>6</v>
      </c>
      <c r="C10" s="4">
        <v>-4953245</v>
      </c>
      <c r="D10" s="4">
        <f>C10-204153.32+17303-30000</f>
        <v>-5170095.32</v>
      </c>
      <c r="E10" s="4">
        <v>-4845062.1900000004</v>
      </c>
      <c r="F10" s="4">
        <v>-4724426.8499999996</v>
      </c>
      <c r="G10" s="4">
        <f>E10-D10</f>
        <v>325033.12999999989</v>
      </c>
    </row>
    <row r="11" spans="1:10" ht="15.6" x14ac:dyDescent="0.3">
      <c r="A11" s="52"/>
      <c r="B11" s="49" t="s">
        <v>44</v>
      </c>
      <c r="C11" s="4">
        <v>-304301</v>
      </c>
      <c r="D11" s="4">
        <f>C11-836</f>
        <v>-305137</v>
      </c>
      <c r="E11" s="4">
        <v>-350596.22</v>
      </c>
      <c r="F11" s="4">
        <v>-302051.24</v>
      </c>
      <c r="G11" s="4">
        <f t="shared" si="3"/>
        <v>-45459.219999999972</v>
      </c>
    </row>
    <row r="12" spans="1:10" ht="15.6" x14ac:dyDescent="0.3">
      <c r="A12" s="48" t="s">
        <v>8</v>
      </c>
      <c r="B12" s="48"/>
      <c r="C12" s="30">
        <v>0</v>
      </c>
      <c r="D12" s="30">
        <f>C12-359424-17303-26000</f>
        <v>-402727</v>
      </c>
      <c r="E12" s="30">
        <f>-402727-88599.94</f>
        <v>-491326.94</v>
      </c>
      <c r="F12" s="30">
        <f>-351503.47-69967.37+1666.61</f>
        <v>-419804.23</v>
      </c>
      <c r="G12" s="30">
        <f t="shared" si="3"/>
        <v>-88599.94</v>
      </c>
    </row>
    <row r="13" spans="1:10" ht="15.6" x14ac:dyDescent="0.3">
      <c r="A13" s="50"/>
      <c r="B13" s="49" t="s">
        <v>6</v>
      </c>
      <c r="C13" s="4">
        <v>0</v>
      </c>
      <c r="D13" s="4">
        <f>-359424-17303-26000</f>
        <v>-402727</v>
      </c>
      <c r="E13" s="4">
        <v>-402727</v>
      </c>
      <c r="F13" s="4">
        <v>-245916.86</v>
      </c>
      <c r="G13" s="4">
        <f t="shared" si="3"/>
        <v>0</v>
      </c>
    </row>
    <row r="14" spans="1:10" ht="15.6" x14ac:dyDescent="0.3">
      <c r="A14" s="50"/>
      <c r="B14" s="49" t="s">
        <v>44</v>
      </c>
      <c r="C14" s="4">
        <v>0</v>
      </c>
      <c r="D14" s="4">
        <f t="shared" ref="D14" si="4">C14</f>
        <v>0</v>
      </c>
      <c r="E14" s="4">
        <v>-88599.94</v>
      </c>
      <c r="F14" s="4">
        <v>-69967.37</v>
      </c>
      <c r="G14" s="4">
        <f t="shared" si="3"/>
        <v>-88599.94</v>
      </c>
    </row>
    <row r="15" spans="1:10" ht="15.6" x14ac:dyDescent="0.3">
      <c r="A15" s="51" t="s">
        <v>9</v>
      </c>
      <c r="B15" s="51"/>
      <c r="C15" s="6"/>
      <c r="D15" s="30"/>
      <c r="E15" s="6">
        <f>SUM(E16:E20)</f>
        <v>43773.539999999979</v>
      </c>
      <c r="F15" s="6">
        <f>SUM(F16:F20)</f>
        <v>51552.760000000009</v>
      </c>
      <c r="G15" s="6"/>
    </row>
    <row r="16" spans="1:10" s="39" customFormat="1" ht="15.6" x14ac:dyDescent="0.3">
      <c r="A16" s="53"/>
      <c r="B16" s="53" t="s">
        <v>12</v>
      </c>
      <c r="C16" s="5"/>
      <c r="D16" s="4"/>
      <c r="E16" s="5">
        <v>0</v>
      </c>
      <c r="F16" s="5">
        <v>18955.59</v>
      </c>
      <c r="G16" s="5"/>
      <c r="H16" s="38"/>
      <c r="I16" s="38"/>
      <c r="J16" s="32"/>
    </row>
    <row r="17" spans="1:7" ht="15.6" x14ac:dyDescent="0.3">
      <c r="A17" s="53"/>
      <c r="B17" s="53" t="s">
        <v>11</v>
      </c>
      <c r="C17" s="5"/>
      <c r="D17" s="5"/>
      <c r="E17" s="5">
        <v>-316114</v>
      </c>
      <c r="F17" s="5">
        <v>-298850</v>
      </c>
      <c r="G17" s="4"/>
    </row>
    <row r="18" spans="1:7" ht="15.6" x14ac:dyDescent="0.3">
      <c r="A18" s="53"/>
      <c r="B18" s="49" t="s">
        <v>58</v>
      </c>
      <c r="C18" s="5"/>
      <c r="D18" s="5"/>
      <c r="E18" s="4">
        <v>359887.54</v>
      </c>
      <c r="F18" s="4">
        <f>331447.17</f>
        <v>331447.17</v>
      </c>
      <c r="G18" s="4"/>
    </row>
    <row r="19" spans="1:7" ht="15.6" x14ac:dyDescent="0.3">
      <c r="A19" s="53"/>
      <c r="B19" s="53" t="s">
        <v>50</v>
      </c>
      <c r="C19" s="5"/>
      <c r="D19" s="5"/>
      <c r="E19" s="4">
        <v>0</v>
      </c>
      <c r="F19" s="4">
        <v>1666.61</v>
      </c>
      <c r="G19" s="4"/>
    </row>
    <row r="20" spans="1:7" ht="15.6" x14ac:dyDescent="0.3">
      <c r="A20" s="53"/>
      <c r="B20" s="53" t="s">
        <v>51</v>
      </c>
      <c r="C20" s="5"/>
      <c r="D20" s="5"/>
      <c r="E20" s="4">
        <v>0</v>
      </c>
      <c r="F20" s="4">
        <v>-1666.61</v>
      </c>
      <c r="G20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9403-50E9-43C6-AF9D-B37F0A9328D9}">
  <dimension ref="A1:O13"/>
  <sheetViews>
    <sheetView workbookViewId="0">
      <selection activeCell="D31" sqref="D31"/>
    </sheetView>
  </sheetViews>
  <sheetFormatPr defaultRowHeight="14.4" x14ac:dyDescent="0.3"/>
  <cols>
    <col min="1" max="1" width="15.88671875" customWidth="1"/>
    <col min="2" max="2" width="39.109375" customWidth="1"/>
    <col min="3" max="3" width="16.6640625" style="29" bestFit="1" customWidth="1"/>
    <col min="4" max="4" width="16.109375" style="29" bestFit="1" customWidth="1"/>
    <col min="5" max="5" width="16.6640625" style="29" bestFit="1" customWidth="1"/>
    <col min="6" max="6" width="9.109375" style="13"/>
    <col min="7" max="7" width="16" style="13" bestFit="1" customWidth="1"/>
    <col min="8" max="8" width="16.6640625" style="13" bestFit="1" customWidth="1"/>
    <col min="9" max="9" width="15.88671875" style="13" bestFit="1" customWidth="1"/>
    <col min="11" max="11" width="13.5546875" bestFit="1" customWidth="1"/>
    <col min="13" max="13" width="14.33203125" bestFit="1" customWidth="1"/>
    <col min="14" max="14" width="10.6640625" bestFit="1" customWidth="1"/>
    <col min="15" max="15" width="13.33203125" customWidth="1"/>
  </cols>
  <sheetData>
    <row r="1" spans="1:15" x14ac:dyDescent="0.3">
      <c r="A1" s="7" t="s">
        <v>13</v>
      </c>
      <c r="B1" s="36"/>
      <c r="C1" s="37"/>
      <c r="D1" s="33"/>
      <c r="E1" s="33"/>
      <c r="F1" s="9"/>
      <c r="G1" s="10"/>
      <c r="H1" s="11"/>
      <c r="I1" s="12"/>
      <c r="J1" s="13"/>
    </row>
    <row r="2" spans="1:15" x14ac:dyDescent="0.3">
      <c r="A2" s="7" t="s">
        <v>14</v>
      </c>
      <c r="B2" s="8"/>
      <c r="C2" s="33"/>
      <c r="D2" s="33"/>
      <c r="E2" s="33"/>
      <c r="F2" s="9"/>
      <c r="G2" s="33"/>
      <c r="H2" s="33"/>
      <c r="I2" s="11"/>
      <c r="J2" s="13"/>
    </row>
    <row r="3" spans="1:15" x14ac:dyDescent="0.3">
      <c r="A3" s="7"/>
      <c r="B3" s="8"/>
      <c r="C3" s="34">
        <f>SUBTOTAL(9,C5:C13)</f>
        <v>-6367856.0700000003</v>
      </c>
      <c r="D3" s="34">
        <f>SUBTOTAL(9,D5:D13)</f>
        <v>-6367856.0700000003</v>
      </c>
      <c r="E3" s="34">
        <f>SUBTOTAL(9,E5:E13)</f>
        <v>0</v>
      </c>
      <c r="F3" s="9"/>
      <c r="G3" s="34">
        <f>SUBTOTAL(9,G5:G13)</f>
        <v>-5972456.4299999997</v>
      </c>
      <c r="H3" s="34">
        <f>SUBTOTAL(9,H5:H13)</f>
        <v>-5972456.4300000006</v>
      </c>
      <c r="I3" s="34">
        <f>SUBTOTAL(9,I5:I13)</f>
        <v>0</v>
      </c>
    </row>
    <row r="4" spans="1:15" ht="26.4" x14ac:dyDescent="0.3">
      <c r="A4" s="14" t="s">
        <v>20</v>
      </c>
      <c r="B4" s="14" t="s">
        <v>15</v>
      </c>
      <c r="C4" s="35" t="s">
        <v>64</v>
      </c>
      <c r="D4" s="35" t="s">
        <v>65</v>
      </c>
      <c r="E4" s="35" t="s">
        <v>66</v>
      </c>
      <c r="F4" s="40" t="s">
        <v>16</v>
      </c>
      <c r="G4" s="15" t="s">
        <v>59</v>
      </c>
      <c r="H4" s="15" t="s">
        <v>60</v>
      </c>
      <c r="I4" s="15" t="s">
        <v>61</v>
      </c>
      <c r="J4" s="14" t="s">
        <v>16</v>
      </c>
    </row>
    <row r="5" spans="1:15" x14ac:dyDescent="0.3">
      <c r="A5" t="s">
        <v>19</v>
      </c>
      <c r="B5" t="s">
        <v>5</v>
      </c>
      <c r="C5" s="13">
        <v>702</v>
      </c>
      <c r="D5" s="11">
        <f>aruanne!E6</f>
        <v>702</v>
      </c>
      <c r="E5" s="11">
        <f t="shared" ref="E5:E13" si="0">C5-D5</f>
        <v>0</v>
      </c>
      <c r="G5" s="13">
        <v>483</v>
      </c>
      <c r="H5" s="11">
        <f>aruanne!F6</f>
        <v>483</v>
      </c>
      <c r="I5" s="11">
        <f t="shared" ref="I5:I13" si="1">G5-H5</f>
        <v>0</v>
      </c>
      <c r="K5" s="13"/>
      <c r="O5" s="13"/>
    </row>
    <row r="6" spans="1:15" x14ac:dyDescent="0.3">
      <c r="A6" t="s">
        <v>19</v>
      </c>
      <c r="B6" t="s">
        <v>43</v>
      </c>
      <c r="C6" s="13">
        <v>43576.22</v>
      </c>
      <c r="D6" s="11">
        <f>aruanne!E7</f>
        <v>43576.22</v>
      </c>
      <c r="E6" s="11">
        <f t="shared" si="0"/>
        <v>0</v>
      </c>
      <c r="G6" s="13">
        <v>40172.39</v>
      </c>
      <c r="H6" s="11">
        <f>aruanne!F7</f>
        <v>40172.39</v>
      </c>
      <c r="I6" s="11">
        <f t="shared" si="1"/>
        <v>0</v>
      </c>
      <c r="K6" s="13"/>
      <c r="O6" s="13"/>
    </row>
    <row r="7" spans="1:15" x14ac:dyDescent="0.3">
      <c r="A7" t="s">
        <v>19</v>
      </c>
      <c r="B7" t="s">
        <v>4</v>
      </c>
      <c r="C7" s="13"/>
      <c r="D7" s="11">
        <f>aruanne!E8+aruanne!E16</f>
        <v>0</v>
      </c>
      <c r="E7" s="11">
        <f t="shared" si="0"/>
        <v>0</v>
      </c>
      <c r="G7" s="13">
        <v>127512.61</v>
      </c>
      <c r="H7" s="11">
        <f>aruanne!F8+aruanne!F16</f>
        <v>127512.61</v>
      </c>
      <c r="I7" s="11">
        <f t="shared" si="1"/>
        <v>0</v>
      </c>
      <c r="K7" s="13"/>
      <c r="O7" s="13"/>
    </row>
    <row r="8" spans="1:15" x14ac:dyDescent="0.3">
      <c r="A8" t="s">
        <v>19</v>
      </c>
      <c r="B8" t="s">
        <v>17</v>
      </c>
      <c r="C8" s="13"/>
      <c r="D8" s="11">
        <v>0</v>
      </c>
      <c r="E8" s="11">
        <f t="shared" si="0"/>
        <v>0</v>
      </c>
      <c r="G8" s="13">
        <v>0</v>
      </c>
      <c r="H8" s="11">
        <v>0</v>
      </c>
      <c r="I8" s="11">
        <f t="shared" si="1"/>
        <v>0</v>
      </c>
      <c r="K8" s="13"/>
      <c r="O8" s="13"/>
    </row>
    <row r="9" spans="1:15" x14ac:dyDescent="0.3">
      <c r="A9" t="s">
        <v>19</v>
      </c>
      <c r="B9" t="s">
        <v>46</v>
      </c>
      <c r="C9" s="13">
        <f>-5693293.29-C10-C13</f>
        <v>-5254097.13</v>
      </c>
      <c r="D9" s="11">
        <f>aruanne!E9+aruanne!E18+aruanne!E19-D10</f>
        <v>-5254097.13</v>
      </c>
      <c r="E9" s="11">
        <f t="shared" si="0"/>
        <v>0</v>
      </c>
      <c r="G9" s="13">
        <v>-5118252.3499999996</v>
      </c>
      <c r="H9" s="11">
        <f>aruanne!F9+aruanne!F18+aruanne!F19-H10</f>
        <v>-5118252.3500000006</v>
      </c>
      <c r="I9" s="11">
        <f t="shared" si="1"/>
        <v>0</v>
      </c>
      <c r="K9" s="13"/>
      <c r="O9" s="13"/>
    </row>
    <row r="10" spans="1:15" x14ac:dyDescent="0.3">
      <c r="A10" t="s">
        <v>19</v>
      </c>
      <c r="B10" t="s">
        <v>40</v>
      </c>
      <c r="C10" s="13">
        <v>-350596.22</v>
      </c>
      <c r="D10" s="11">
        <f>aruanne!E11</f>
        <v>-350596.22</v>
      </c>
      <c r="E10" s="11">
        <f t="shared" si="0"/>
        <v>0</v>
      </c>
      <c r="G10" s="13">
        <v>-302051.24</v>
      </c>
      <c r="H10" s="11">
        <f>aruanne!F11</f>
        <v>-302051.24</v>
      </c>
      <c r="I10" s="11">
        <f t="shared" si="1"/>
        <v>0</v>
      </c>
      <c r="K10" s="13"/>
      <c r="O10" s="13"/>
    </row>
    <row r="11" spans="1:15" x14ac:dyDescent="0.3">
      <c r="A11" t="s">
        <v>19</v>
      </c>
      <c r="B11" t="s">
        <v>18</v>
      </c>
      <c r="C11" s="13">
        <v>-316114</v>
      </c>
      <c r="D11" s="11">
        <f>aruanne!E17</f>
        <v>-316114</v>
      </c>
      <c r="E11" s="11">
        <f t="shared" si="0"/>
        <v>0</v>
      </c>
      <c r="G11" s="13">
        <v>-298850</v>
      </c>
      <c r="H11" s="11">
        <f>aruanne!F17</f>
        <v>-298850</v>
      </c>
      <c r="I11" s="11">
        <f t="shared" si="1"/>
        <v>0</v>
      </c>
      <c r="K11" s="13"/>
      <c r="O11" s="13"/>
    </row>
    <row r="12" spans="1:15" x14ac:dyDescent="0.3">
      <c r="A12" t="s">
        <v>19</v>
      </c>
      <c r="B12" s="16" t="s">
        <v>47</v>
      </c>
      <c r="C12" s="29">
        <v>-402727</v>
      </c>
      <c r="D12" s="11">
        <f>aruanne!E12+aruanne!E20-D13</f>
        <v>-402727</v>
      </c>
      <c r="E12" s="11">
        <f t="shared" ref="E12" si="2">C12-D12</f>
        <v>0</v>
      </c>
      <c r="F12" s="17"/>
      <c r="G12" s="29">
        <v>-351503.47</v>
      </c>
      <c r="H12" s="11">
        <f>aruanne!F12+aruanne!F20-H13</f>
        <v>-351503.47</v>
      </c>
      <c r="I12" s="11">
        <f t="shared" ref="I12" si="3">G12-H12</f>
        <v>0</v>
      </c>
      <c r="K12" s="13"/>
      <c r="O12" s="13"/>
    </row>
    <row r="13" spans="1:15" x14ac:dyDescent="0.3">
      <c r="A13" t="s">
        <v>19</v>
      </c>
      <c r="B13" t="s">
        <v>45</v>
      </c>
      <c r="C13" s="29">
        <v>-88599.94</v>
      </c>
      <c r="D13" s="11">
        <f>aruanne!E14</f>
        <v>-88599.94</v>
      </c>
      <c r="E13" s="11">
        <f t="shared" si="0"/>
        <v>0</v>
      </c>
      <c r="F13" s="17"/>
      <c r="G13" s="29">
        <v>-69967.37</v>
      </c>
      <c r="H13" s="11">
        <f>aruanne!F14</f>
        <v>-69967.37</v>
      </c>
      <c r="I13" s="11">
        <f t="shared" si="1"/>
        <v>0</v>
      </c>
      <c r="K13" s="13"/>
      <c r="O13" s="13"/>
    </row>
  </sheetData>
  <autoFilter ref="A4:J13" xr:uid="{EF1F9403-50E9-43C6-AF9D-B37F0A9328D9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6A9-CF0E-4B82-AA53-D93B7E26FB31}">
  <dimension ref="A1:C35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C13" sqref="C13"/>
    </sheetView>
  </sheetViews>
  <sheetFormatPr defaultRowHeight="14.4" x14ac:dyDescent="0.3"/>
  <cols>
    <col min="1" max="1" width="58.33203125" customWidth="1"/>
    <col min="3" max="3" width="13.44140625" customWidth="1"/>
  </cols>
  <sheetData>
    <row r="1" spans="1:3" x14ac:dyDescent="0.3">
      <c r="A1" s="7" t="s">
        <v>13</v>
      </c>
    </row>
    <row r="2" spans="1:3" x14ac:dyDescent="0.3">
      <c r="A2" s="7" t="s">
        <v>21</v>
      </c>
    </row>
    <row r="3" spans="1:3" x14ac:dyDescent="0.3">
      <c r="A3" s="18" t="s">
        <v>0</v>
      </c>
    </row>
    <row r="4" spans="1:3" x14ac:dyDescent="0.3">
      <c r="A4" s="7"/>
      <c r="B4" s="8"/>
      <c r="C4" s="8"/>
    </row>
    <row r="5" spans="1:3" x14ac:dyDescent="0.3">
      <c r="A5" s="7"/>
      <c r="B5" s="8">
        <v>2</v>
      </c>
      <c r="C5" s="8">
        <v>2</v>
      </c>
    </row>
    <row r="6" spans="1:3" ht="52.5" customHeight="1" x14ac:dyDescent="0.3">
      <c r="A6" s="19"/>
      <c r="B6" s="20" t="s">
        <v>22</v>
      </c>
      <c r="C6" s="20" t="s">
        <v>49</v>
      </c>
    </row>
    <row r="7" spans="1:3" x14ac:dyDescent="0.3">
      <c r="A7" s="21" t="s">
        <v>23</v>
      </c>
      <c r="B7" s="22">
        <f>aruanne!C5</f>
        <v>28000</v>
      </c>
      <c r="C7" s="22">
        <f>aruanne!C9+aruanne!C12</f>
        <v>-5990366</v>
      </c>
    </row>
    <row r="8" spans="1:3" x14ac:dyDescent="0.3">
      <c r="A8" s="21" t="s">
        <v>24</v>
      </c>
      <c r="B8" s="22"/>
      <c r="C8" s="22">
        <v>-563577</v>
      </c>
    </row>
    <row r="9" spans="1:3" x14ac:dyDescent="0.3">
      <c r="A9" s="21" t="s">
        <v>68</v>
      </c>
      <c r="B9" s="22"/>
      <c r="C9" s="22"/>
    </row>
    <row r="10" spans="1:3" x14ac:dyDescent="0.3">
      <c r="A10" s="21" t="s">
        <v>67</v>
      </c>
      <c r="B10" s="22"/>
      <c r="C10" s="22"/>
    </row>
    <row r="11" spans="1:3" x14ac:dyDescent="0.3">
      <c r="A11" s="21" t="s">
        <v>69</v>
      </c>
      <c r="B11" s="22"/>
      <c r="C11" s="22"/>
    </row>
    <row r="12" spans="1:3" x14ac:dyDescent="0.3">
      <c r="A12" s="24" t="s">
        <v>53</v>
      </c>
      <c r="B12" s="22"/>
      <c r="C12" s="22"/>
    </row>
    <row r="13" spans="1:3" x14ac:dyDescent="0.3">
      <c r="A13" s="24" t="s">
        <v>25</v>
      </c>
      <c r="B13" s="22"/>
      <c r="C13" s="22">
        <v>-56000</v>
      </c>
    </row>
    <row r="14" spans="1:3" x14ac:dyDescent="0.3">
      <c r="A14" s="21" t="s">
        <v>26</v>
      </c>
      <c r="B14" s="22"/>
      <c r="C14" s="22"/>
    </row>
    <row r="15" spans="1:3" x14ac:dyDescent="0.3">
      <c r="A15" s="21" t="s">
        <v>27</v>
      </c>
      <c r="B15" s="25"/>
      <c r="C15" s="22"/>
    </row>
    <row r="16" spans="1:3" x14ac:dyDescent="0.3">
      <c r="A16" s="21" t="s">
        <v>41</v>
      </c>
      <c r="B16" s="25"/>
      <c r="C16" s="22"/>
    </row>
    <row r="17" spans="1:3" x14ac:dyDescent="0.3">
      <c r="A17" s="21" t="s">
        <v>42</v>
      </c>
      <c r="B17" s="25"/>
      <c r="C17" s="25"/>
    </row>
    <row r="18" spans="1:3" x14ac:dyDescent="0.3">
      <c r="A18" s="21" t="s">
        <v>28</v>
      </c>
      <c r="B18" s="22"/>
      <c r="C18" s="22"/>
    </row>
    <row r="19" spans="1:3" x14ac:dyDescent="0.3">
      <c r="A19" s="21" t="s">
        <v>29</v>
      </c>
      <c r="B19" s="22"/>
      <c r="C19" s="22"/>
    </row>
    <row r="20" spans="1:3" x14ac:dyDescent="0.3">
      <c r="A20" s="54" t="s">
        <v>30</v>
      </c>
      <c r="B20" s="22"/>
      <c r="C20" s="22"/>
    </row>
    <row r="21" spans="1:3" x14ac:dyDescent="0.3">
      <c r="A21" s="21" t="s">
        <v>31</v>
      </c>
      <c r="B21" s="23"/>
      <c r="C21" s="23">
        <v>28000</v>
      </c>
    </row>
    <row r="22" spans="1:3" x14ac:dyDescent="0.3">
      <c r="A22" s="21" t="s">
        <v>32</v>
      </c>
      <c r="B22" s="23"/>
      <c r="C22" s="23">
        <v>-43576.22</v>
      </c>
    </row>
    <row r="23" spans="1:3" x14ac:dyDescent="0.3">
      <c r="A23" s="21" t="s">
        <v>33</v>
      </c>
      <c r="B23" s="22"/>
      <c r="C23" s="22"/>
    </row>
    <row r="24" spans="1:3" x14ac:dyDescent="0.3">
      <c r="A24" s="21" t="s">
        <v>54</v>
      </c>
      <c r="B24" s="22"/>
      <c r="C24" s="22"/>
    </row>
    <row r="25" spans="1:3" x14ac:dyDescent="0.3">
      <c r="A25" s="54" t="s">
        <v>55</v>
      </c>
      <c r="B25" s="22"/>
      <c r="C25" s="22"/>
    </row>
    <row r="26" spans="1:3" x14ac:dyDescent="0.3">
      <c r="A26" s="21" t="s">
        <v>34</v>
      </c>
      <c r="B26" s="22"/>
      <c r="C26" s="22"/>
    </row>
    <row r="27" spans="1:3" x14ac:dyDescent="0.3">
      <c r="A27" s="21" t="s">
        <v>35</v>
      </c>
      <c r="B27" s="22"/>
      <c r="C27" s="22"/>
    </row>
    <row r="28" spans="1:3" x14ac:dyDescent="0.3">
      <c r="A28" s="21" t="s">
        <v>36</v>
      </c>
      <c r="B28" s="22"/>
      <c r="C28" s="22"/>
    </row>
    <row r="29" spans="1:3" x14ac:dyDescent="0.3">
      <c r="A29" s="54" t="s">
        <v>57</v>
      </c>
      <c r="B29" s="22"/>
      <c r="C29" s="22"/>
    </row>
    <row r="30" spans="1:3" x14ac:dyDescent="0.3">
      <c r="A30" s="21" t="s">
        <v>37</v>
      </c>
      <c r="B30" s="22"/>
      <c r="C30" s="22"/>
    </row>
    <row r="31" spans="1:3" x14ac:dyDescent="0.3">
      <c r="A31" s="54" t="s">
        <v>56</v>
      </c>
      <c r="B31" s="22"/>
      <c r="C31" s="22"/>
    </row>
    <row r="32" spans="1:3" x14ac:dyDescent="0.3">
      <c r="A32" s="21" t="s">
        <v>38</v>
      </c>
      <c r="B32" s="22"/>
      <c r="C32" s="22"/>
    </row>
    <row r="33" spans="1:3" x14ac:dyDescent="0.3">
      <c r="A33" s="26" t="s">
        <v>39</v>
      </c>
      <c r="B33" s="27">
        <f t="shared" ref="B33:C33" si="0">SUM(B7:B32)</f>
        <v>28000</v>
      </c>
      <c r="C33" s="27">
        <f t="shared" si="0"/>
        <v>-6625519.2199999997</v>
      </c>
    </row>
    <row r="34" spans="1:3" x14ac:dyDescent="0.3">
      <c r="A34" s="28"/>
      <c r="B34" s="28">
        <f>aruanne!D5</f>
        <v>28000</v>
      </c>
      <c r="C34" s="28">
        <f>aruanne!D9+aruanne!D12</f>
        <v>-6625519.54</v>
      </c>
    </row>
    <row r="35" spans="1:3" x14ac:dyDescent="0.3">
      <c r="A35" s="28"/>
      <c r="B35" s="28">
        <f t="shared" ref="B35:C35" si="1">B33-B34</f>
        <v>0</v>
      </c>
      <c r="C35" s="28">
        <f t="shared" si="1"/>
        <v>0.32000000029802322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aruanne</vt:lpstr>
      <vt:lpstr>vordlus</vt:lpstr>
      <vt:lpstr>lisa1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 Maar</dc:creator>
  <cp:lastModifiedBy>Pille Puidak</cp:lastModifiedBy>
  <dcterms:created xsi:type="dcterms:W3CDTF">2022-02-14T16:37:54Z</dcterms:created>
  <dcterms:modified xsi:type="dcterms:W3CDTF">2025-03-17T19:25:36Z</dcterms:modified>
</cp:coreProperties>
</file>